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icher\Documents\A8590\Design Tool\"/>
    </mc:Choice>
  </mc:AlternateContent>
  <workbookProtection lockStructure="1"/>
  <bookViews>
    <workbookView xWindow="5670" yWindow="3465" windowWidth="19155" windowHeight="8580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Design!$A$1:$I$93</definedName>
    <definedName name="_xlnm.Print_Area" localSheetId="1">Snubber!$A$2:$I$34</definedName>
  </definedNames>
  <calcPr calcId="152511" iterate="1"/>
</workbook>
</file>

<file path=xl/calcChain.xml><?xml version="1.0" encoding="utf-8"?>
<calcChain xmlns="http://schemas.openxmlformats.org/spreadsheetml/2006/main">
  <c r="B44" i="7" l="1"/>
  <c r="AP16" i="12" l="1"/>
  <c r="AP5" i="12"/>
  <c r="AP6" i="12" s="1"/>
  <c r="B16" i="12"/>
  <c r="B17" i="12" s="1"/>
  <c r="B18" i="12" s="1"/>
  <c r="B19" i="12" s="1"/>
  <c r="B20" i="12" s="1"/>
  <c r="B21" i="12" s="1"/>
  <c r="B22" i="12" s="1"/>
  <c r="B23" i="12" s="1"/>
  <c r="B24" i="12" s="1"/>
  <c r="V16" i="12"/>
  <c r="V17" i="12" s="1"/>
  <c r="V18" i="12" s="1"/>
  <c r="V19" i="12" s="1"/>
  <c r="V20" i="12" s="1"/>
  <c r="V21" i="12" s="1"/>
  <c r="V22" i="12" s="1"/>
  <c r="V23" i="12" s="1"/>
  <c r="V24" i="12" s="1"/>
  <c r="V5" i="12"/>
  <c r="V6" i="12" s="1"/>
  <c r="V7" i="12" s="1"/>
  <c r="V8" i="12" s="1"/>
  <c r="V9" i="12" s="1"/>
  <c r="V10" i="12" s="1"/>
  <c r="V11" i="12" s="1"/>
  <c r="V12" i="12" s="1"/>
  <c r="V13" i="12" s="1"/>
  <c r="B5" i="12"/>
  <c r="B6" i="12" s="1"/>
  <c r="B7" i="12" s="1"/>
  <c r="B8" i="12" s="1"/>
  <c r="B9" i="12" s="1"/>
  <c r="B10" i="12" s="1"/>
  <c r="B11" i="12" s="1"/>
  <c r="B12" i="12" s="1"/>
  <c r="B13" i="12" s="1"/>
  <c r="AW18" i="12"/>
  <c r="B23" i="1"/>
  <c r="C4" i="7"/>
  <c r="AP7" i="12" l="1"/>
  <c r="AP17" i="12"/>
  <c r="C37" i="1"/>
  <c r="B37" i="1"/>
  <c r="B34" i="1"/>
  <c r="AW19" i="12"/>
  <c r="AW20" i="12"/>
  <c r="AW21" i="12"/>
  <c r="AW22" i="12"/>
  <c r="AW23" i="12"/>
  <c r="AW24" i="12"/>
  <c r="AW10" i="12"/>
  <c r="AW11" i="12"/>
  <c r="AW12" i="12"/>
  <c r="AW13" i="12"/>
  <c r="AC19" i="12"/>
  <c r="AC20" i="12"/>
  <c r="AC21" i="12"/>
  <c r="AC22" i="12"/>
  <c r="AC23" i="12"/>
  <c r="AC24" i="12"/>
  <c r="AC10" i="12"/>
  <c r="AC11" i="12"/>
  <c r="AC12" i="12"/>
  <c r="AC13" i="12"/>
  <c r="A19" i="12"/>
  <c r="I19" i="12"/>
  <c r="A20" i="12"/>
  <c r="I20" i="12"/>
  <c r="A21" i="12"/>
  <c r="I21" i="12"/>
  <c r="A22" i="12"/>
  <c r="I22" i="12"/>
  <c r="A23" i="12"/>
  <c r="I23" i="12"/>
  <c r="A24" i="12"/>
  <c r="I24" i="12"/>
  <c r="I10" i="12"/>
  <c r="I11" i="12"/>
  <c r="I12" i="12"/>
  <c r="I13" i="12"/>
  <c r="AP8" i="12" l="1"/>
  <c r="AP18" i="12"/>
  <c r="G61" i="2"/>
  <c r="C65" i="2" s="1"/>
  <c r="B68" i="1"/>
  <c r="B75" i="1"/>
  <c r="I60" i="2"/>
  <c r="H60" i="2"/>
  <c r="G60" i="2"/>
  <c r="AP9" i="12" l="1"/>
  <c r="AP19" i="12"/>
  <c r="B65" i="2"/>
  <c r="H66" i="2"/>
  <c r="H65" i="2"/>
  <c r="H64" i="2"/>
  <c r="C67" i="2" s="1"/>
  <c r="F4" i="1"/>
  <c r="H114" i="7"/>
  <c r="H113" i="7"/>
  <c r="B53" i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" i="7"/>
  <c r="A47" i="7"/>
  <c r="AU88" i="7"/>
  <c r="AQ2" i="12"/>
  <c r="W2" i="12"/>
  <c r="C2" i="12"/>
  <c r="A18" i="12"/>
  <c r="A17" i="12"/>
  <c r="A16" i="12"/>
  <c r="A15" i="12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G87" i="7"/>
  <c r="R87" i="7"/>
  <c r="C87" i="7"/>
  <c r="B87" i="7"/>
  <c r="AG86" i="7"/>
  <c r="R86" i="7"/>
  <c r="C86" i="7"/>
  <c r="AG85" i="7"/>
  <c r="R85" i="7"/>
  <c r="C85" i="7"/>
  <c r="AG84" i="7"/>
  <c r="R84" i="7"/>
  <c r="C84" i="7"/>
  <c r="AG83" i="7"/>
  <c r="R83" i="7"/>
  <c r="C83" i="7"/>
  <c r="AG82" i="7"/>
  <c r="R82" i="7"/>
  <c r="C82" i="7"/>
  <c r="AG81" i="7"/>
  <c r="R81" i="7"/>
  <c r="C81" i="7"/>
  <c r="AG80" i="7"/>
  <c r="R80" i="7"/>
  <c r="C80" i="7"/>
  <c r="AG79" i="7"/>
  <c r="R79" i="7"/>
  <c r="C79" i="7"/>
  <c r="AG78" i="7"/>
  <c r="R78" i="7"/>
  <c r="C78" i="7"/>
  <c r="AG77" i="7"/>
  <c r="R77" i="7"/>
  <c r="C77" i="7"/>
  <c r="AG76" i="7"/>
  <c r="R76" i="7"/>
  <c r="C76" i="7"/>
  <c r="AG75" i="7"/>
  <c r="R75" i="7"/>
  <c r="C75" i="7"/>
  <c r="AG74" i="7"/>
  <c r="R74" i="7"/>
  <c r="C74" i="7"/>
  <c r="AG73" i="7"/>
  <c r="R73" i="7"/>
  <c r="C73" i="7"/>
  <c r="AG72" i="7"/>
  <c r="R72" i="7"/>
  <c r="C72" i="7"/>
  <c r="AG71" i="7"/>
  <c r="R71" i="7"/>
  <c r="C71" i="7"/>
  <c r="AG70" i="7"/>
  <c r="R70" i="7"/>
  <c r="C70" i="7"/>
  <c r="AG69" i="7"/>
  <c r="R69" i="7"/>
  <c r="C69" i="7"/>
  <c r="AG68" i="7"/>
  <c r="R68" i="7"/>
  <c r="C68" i="7"/>
  <c r="AG67" i="7"/>
  <c r="R67" i="7"/>
  <c r="C67" i="7"/>
  <c r="AG66" i="7"/>
  <c r="R66" i="7"/>
  <c r="C66" i="7"/>
  <c r="AG65" i="7"/>
  <c r="R65" i="7"/>
  <c r="C65" i="7"/>
  <c r="AG64" i="7"/>
  <c r="R64" i="7"/>
  <c r="C64" i="7"/>
  <c r="AG63" i="7"/>
  <c r="R63" i="7"/>
  <c r="C63" i="7"/>
  <c r="AG62" i="7"/>
  <c r="R62" i="7"/>
  <c r="C62" i="7"/>
  <c r="AG61" i="7"/>
  <c r="R61" i="7"/>
  <c r="C61" i="7"/>
  <c r="AG60" i="7"/>
  <c r="R60" i="7"/>
  <c r="C60" i="7"/>
  <c r="AG59" i="7"/>
  <c r="R59" i="7"/>
  <c r="C59" i="7"/>
  <c r="AG58" i="7"/>
  <c r="R58" i="7"/>
  <c r="C58" i="7"/>
  <c r="AG57" i="7"/>
  <c r="R57" i="7"/>
  <c r="C57" i="7"/>
  <c r="AG56" i="7"/>
  <c r="R56" i="7"/>
  <c r="C56" i="7"/>
  <c r="AG55" i="7"/>
  <c r="R55" i="7"/>
  <c r="C55" i="7"/>
  <c r="AG54" i="7"/>
  <c r="R54" i="7"/>
  <c r="C54" i="7"/>
  <c r="AG53" i="7"/>
  <c r="R53" i="7"/>
  <c r="C53" i="7"/>
  <c r="AG52" i="7"/>
  <c r="R52" i="7"/>
  <c r="C52" i="7"/>
  <c r="AG51" i="7"/>
  <c r="R51" i="7"/>
  <c r="C51" i="7"/>
  <c r="AG50" i="7"/>
  <c r="R50" i="7"/>
  <c r="C50" i="7"/>
  <c r="AG49" i="7"/>
  <c r="R49" i="7"/>
  <c r="C49" i="7"/>
  <c r="AG48" i="7"/>
  <c r="R48" i="7"/>
  <c r="C48" i="7"/>
  <c r="AG47" i="7"/>
  <c r="R47" i="7"/>
  <c r="C47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" i="7"/>
  <c r="C5" i="8"/>
  <c r="B15" i="8" s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AP10" i="12" l="1"/>
  <c r="AP20" i="12"/>
  <c r="BA19" i="12"/>
  <c r="BA20" i="12"/>
  <c r="BA21" i="12"/>
  <c r="BA22" i="12"/>
  <c r="BA23" i="12"/>
  <c r="BA24" i="12"/>
  <c r="BA10" i="12"/>
  <c r="BA11" i="12"/>
  <c r="BA12" i="12"/>
  <c r="BA13" i="12"/>
  <c r="AT19" i="12"/>
  <c r="AT20" i="12"/>
  <c r="AT21" i="12"/>
  <c r="AT22" i="12"/>
  <c r="AT23" i="12"/>
  <c r="AT24" i="12"/>
  <c r="AT10" i="12"/>
  <c r="AT11" i="12"/>
  <c r="AT12" i="12"/>
  <c r="AT13" i="12"/>
  <c r="AG16" i="12"/>
  <c r="AG19" i="12"/>
  <c r="AG20" i="12"/>
  <c r="AG21" i="12"/>
  <c r="AG22" i="12"/>
  <c r="AG23" i="12"/>
  <c r="AG24" i="12"/>
  <c r="AG10" i="12"/>
  <c r="AG11" i="12"/>
  <c r="AG12" i="12"/>
  <c r="AG13" i="12"/>
  <c r="Z19" i="12"/>
  <c r="Z20" i="12"/>
  <c r="Z21" i="12"/>
  <c r="Z22" i="12"/>
  <c r="Z23" i="12"/>
  <c r="Z24" i="12"/>
  <c r="Z10" i="12"/>
  <c r="Z11" i="12"/>
  <c r="Z12" i="12"/>
  <c r="Z13" i="12"/>
  <c r="F21" i="12"/>
  <c r="F22" i="12"/>
  <c r="F24" i="12"/>
  <c r="F19" i="12"/>
  <c r="F10" i="12"/>
  <c r="F11" i="12"/>
  <c r="F12" i="12"/>
  <c r="F13" i="12"/>
  <c r="M19" i="12"/>
  <c r="M20" i="12"/>
  <c r="M21" i="12"/>
  <c r="M22" i="12"/>
  <c r="M23" i="12"/>
  <c r="M24" i="12"/>
  <c r="M10" i="12"/>
  <c r="M11" i="12"/>
  <c r="M12" i="12"/>
  <c r="M13" i="12"/>
  <c r="F20" i="12"/>
  <c r="F23" i="12"/>
  <c r="B12" i="8"/>
  <c r="B13" i="8" s="1"/>
  <c r="B66" i="2"/>
  <c r="C66" i="2"/>
  <c r="B67" i="2"/>
  <c r="H67" i="2"/>
  <c r="D56" i="1" s="1"/>
  <c r="B72" i="1"/>
  <c r="B76" i="1" s="1"/>
  <c r="B73" i="1"/>
  <c r="AG5" i="12"/>
  <c r="AG9" i="12"/>
  <c r="AG17" i="12"/>
  <c r="AG6" i="12"/>
  <c r="AG4" i="12"/>
  <c r="AG18" i="12"/>
  <c r="AG7" i="12"/>
  <c r="AG15" i="12"/>
  <c r="B86" i="7"/>
  <c r="B85" i="7" s="1"/>
  <c r="B84" i="7" s="1"/>
  <c r="AG8" i="12"/>
  <c r="BA6" i="12"/>
  <c r="BA4" i="12"/>
  <c r="BA7" i="12"/>
  <c r="BA16" i="12"/>
  <c r="BA8" i="12"/>
  <c r="BA15" i="12"/>
  <c r="BA17" i="12"/>
  <c r="BA9" i="12"/>
  <c r="BA5" i="12"/>
  <c r="BA18" i="12"/>
  <c r="M7" i="12"/>
  <c r="M16" i="12"/>
  <c r="M15" i="12"/>
  <c r="M9" i="12"/>
  <c r="M5" i="12"/>
  <c r="M18" i="12"/>
  <c r="M8" i="12"/>
  <c r="M17" i="12"/>
  <c r="M4" i="12"/>
  <c r="M6" i="12"/>
  <c r="AA24" i="12"/>
  <c r="G13" i="12"/>
  <c r="B43" i="7"/>
  <c r="AP11" i="12" l="1"/>
  <c r="AP21" i="12"/>
  <c r="AU21" i="12"/>
  <c r="AU20" i="12"/>
  <c r="AA22" i="12"/>
  <c r="G10" i="12"/>
  <c r="AA23" i="12"/>
  <c r="AA19" i="12"/>
  <c r="AA20" i="12"/>
  <c r="G11" i="12"/>
  <c r="AA21" i="12"/>
  <c r="AU19" i="12"/>
  <c r="G12" i="12"/>
  <c r="G19" i="12"/>
  <c r="G20" i="12"/>
  <c r="B68" i="2"/>
  <c r="B55" i="1" s="1"/>
  <c r="C68" i="2"/>
  <c r="B56" i="1" s="1"/>
  <c r="B83" i="7"/>
  <c r="B42" i="7"/>
  <c r="B42" i="2"/>
  <c r="AP12" i="12" l="1"/>
  <c r="AP22" i="12"/>
  <c r="AU22" i="12" s="1"/>
  <c r="AA10" i="12"/>
  <c r="AU10" i="12"/>
  <c r="G21" i="12"/>
  <c r="B82" i="7"/>
  <c r="B41" i="7"/>
  <c r="B12" i="2"/>
  <c r="D12" i="2"/>
  <c r="C12" i="2"/>
  <c r="B25" i="1"/>
  <c r="C27" i="1" s="1"/>
  <c r="B63" i="1"/>
  <c r="B65" i="1" s="1"/>
  <c r="D4" i="2"/>
  <c r="B4" i="2"/>
  <c r="AP13" i="12" l="1"/>
  <c r="AP24" i="12" s="1"/>
  <c r="AU24" i="12" s="1"/>
  <c r="AP23" i="12"/>
  <c r="AU23" i="12" s="1"/>
  <c r="AA11" i="12"/>
  <c r="AU11" i="12"/>
  <c r="G22" i="12"/>
  <c r="G23" i="12"/>
  <c r="B27" i="1"/>
  <c r="B81" i="7"/>
  <c r="B40" i="7"/>
  <c r="C29" i="1"/>
  <c r="B66" i="1"/>
  <c r="B29" i="1"/>
  <c r="D29" i="1"/>
  <c r="AA13" i="12" l="1"/>
  <c r="AA12" i="12"/>
  <c r="AU13" i="12"/>
  <c r="AU12" i="12"/>
  <c r="G24" i="12"/>
  <c r="B80" i="7"/>
  <c r="B79" i="7" s="1"/>
  <c r="B39" i="7"/>
  <c r="B78" i="7" l="1"/>
  <c r="B38" i="7"/>
  <c r="B77" i="7" l="1"/>
  <c r="B37" i="7"/>
  <c r="B76" i="7" l="1"/>
  <c r="B36" i="7"/>
  <c r="B75" i="7" l="1"/>
  <c r="B35" i="7"/>
  <c r="B74" i="7" l="1"/>
  <c r="B34" i="7"/>
  <c r="B33" i="7" s="1"/>
  <c r="B73" i="7" l="1"/>
  <c r="B72" i="7" l="1"/>
  <c r="B32" i="7"/>
  <c r="B71" i="7" l="1"/>
  <c r="B31" i="7"/>
  <c r="B70" i="7" l="1"/>
  <c r="B30" i="7"/>
  <c r="B69" i="7" l="1"/>
  <c r="B29" i="7"/>
  <c r="B68" i="7" l="1"/>
  <c r="B28" i="7"/>
  <c r="B67" i="7" l="1"/>
  <c r="B27" i="7"/>
  <c r="B66" i="7" l="1"/>
  <c r="B26" i="7"/>
  <c r="B65" i="7" l="1"/>
  <c r="B25" i="7"/>
  <c r="B64" i="7" l="1"/>
  <c r="B24" i="7"/>
  <c r="B63" i="7" l="1"/>
  <c r="B23" i="7"/>
  <c r="B62" i="7" l="1"/>
  <c r="B22" i="7"/>
  <c r="B61" i="7" l="1"/>
  <c r="B21" i="7"/>
  <c r="B60" i="7" l="1"/>
  <c r="B20" i="7"/>
  <c r="B59" i="7" l="1"/>
  <c r="B19" i="7"/>
  <c r="B58" i="7" l="1"/>
  <c r="B18" i="7"/>
  <c r="B57" i="7" l="1"/>
  <c r="B17" i="7"/>
  <c r="B56" i="7" l="1"/>
  <c r="B16" i="7"/>
  <c r="B55" i="7" l="1"/>
  <c r="B15" i="7"/>
  <c r="B54" i="7" l="1"/>
  <c r="B14" i="7"/>
  <c r="B53" i="7" l="1"/>
  <c r="B13" i="7"/>
  <c r="B52" i="7" l="1"/>
  <c r="B12" i="7"/>
  <c r="B51" i="7" l="1"/>
  <c r="B11" i="7"/>
  <c r="B50" i="7" l="1"/>
  <c r="B10" i="7"/>
  <c r="B49" i="7" l="1"/>
  <c r="B9" i="7"/>
  <c r="B48" i="7" l="1"/>
  <c r="B8" i="7"/>
  <c r="B47" i="7" l="1"/>
  <c r="B7" i="7"/>
  <c r="B6" i="7" l="1"/>
  <c r="B5" i="7" l="1"/>
  <c r="B4" i="7" s="1"/>
  <c r="B35" i="1" l="1"/>
  <c r="C35" i="1"/>
  <c r="B36" i="1"/>
  <c r="C36" i="1"/>
  <c r="B51" i="1"/>
  <c r="G4" i="7"/>
  <c r="H4" i="7"/>
  <c r="J4" i="7"/>
  <c r="V4" i="7"/>
  <c r="W4" i="7"/>
  <c r="Y4" i="7"/>
  <c r="AK4" i="7"/>
  <c r="AL4" i="7"/>
  <c r="AN4" i="7"/>
  <c r="G5" i="7"/>
  <c r="H5" i="7"/>
  <c r="J5" i="7"/>
  <c r="V5" i="7"/>
  <c r="W5" i="7"/>
  <c r="Y5" i="7"/>
  <c r="AK5" i="7"/>
  <c r="AL5" i="7"/>
  <c r="AN5" i="7"/>
  <c r="G6" i="7"/>
  <c r="H6" i="7"/>
  <c r="J6" i="7"/>
  <c r="V6" i="7"/>
  <c r="W6" i="7"/>
  <c r="Y6" i="7"/>
  <c r="AK6" i="7"/>
  <c r="AL6" i="7"/>
  <c r="AN6" i="7"/>
  <c r="G7" i="7"/>
  <c r="H7" i="7"/>
  <c r="J7" i="7"/>
  <c r="V7" i="7"/>
  <c r="W7" i="7"/>
  <c r="Y7" i="7"/>
  <c r="AK7" i="7"/>
  <c r="AL7" i="7"/>
  <c r="AN7" i="7"/>
  <c r="G8" i="7"/>
  <c r="H8" i="7"/>
  <c r="J8" i="7"/>
  <c r="V8" i="7"/>
  <c r="W8" i="7"/>
  <c r="Y8" i="7"/>
  <c r="AK8" i="7"/>
  <c r="AL8" i="7"/>
  <c r="AN8" i="7"/>
  <c r="G9" i="7"/>
  <c r="H9" i="7"/>
  <c r="J9" i="7"/>
  <c r="V9" i="7"/>
  <c r="W9" i="7"/>
  <c r="Y9" i="7"/>
  <c r="AK9" i="7"/>
  <c r="AL9" i="7"/>
  <c r="AN9" i="7"/>
  <c r="G10" i="7"/>
  <c r="H10" i="7"/>
  <c r="J10" i="7"/>
  <c r="V10" i="7"/>
  <c r="W10" i="7"/>
  <c r="Y10" i="7"/>
  <c r="AK10" i="7"/>
  <c r="AL10" i="7"/>
  <c r="AN10" i="7"/>
  <c r="G11" i="7"/>
  <c r="H11" i="7"/>
  <c r="J11" i="7"/>
  <c r="V11" i="7"/>
  <c r="W11" i="7"/>
  <c r="Y11" i="7"/>
  <c r="AK11" i="7"/>
  <c r="AL11" i="7"/>
  <c r="AN11" i="7"/>
  <c r="G12" i="7"/>
  <c r="H12" i="7"/>
  <c r="J12" i="7"/>
  <c r="V12" i="7"/>
  <c r="W12" i="7"/>
  <c r="Y12" i="7"/>
  <c r="AK12" i="7"/>
  <c r="AL12" i="7"/>
  <c r="AN12" i="7"/>
  <c r="G13" i="7"/>
  <c r="H13" i="7"/>
  <c r="J13" i="7"/>
  <c r="V13" i="7"/>
  <c r="W13" i="7"/>
  <c r="Y13" i="7"/>
  <c r="AK13" i="7"/>
  <c r="AL13" i="7"/>
  <c r="AN13" i="7"/>
  <c r="G14" i="7"/>
  <c r="H14" i="7"/>
  <c r="J14" i="7"/>
  <c r="V14" i="7"/>
  <c r="W14" i="7"/>
  <c r="Y14" i="7"/>
  <c r="AK14" i="7"/>
  <c r="AL14" i="7"/>
  <c r="AN14" i="7"/>
  <c r="G15" i="7"/>
  <c r="H15" i="7"/>
  <c r="J15" i="7"/>
  <c r="V15" i="7"/>
  <c r="W15" i="7"/>
  <c r="Y15" i="7"/>
  <c r="AK15" i="7"/>
  <c r="AL15" i="7"/>
  <c r="AN15" i="7"/>
  <c r="G16" i="7"/>
  <c r="H16" i="7"/>
  <c r="J16" i="7"/>
  <c r="V16" i="7"/>
  <c r="W16" i="7"/>
  <c r="Y16" i="7"/>
  <c r="AK16" i="7"/>
  <c r="AL16" i="7"/>
  <c r="AN16" i="7"/>
  <c r="G17" i="7"/>
  <c r="H17" i="7"/>
  <c r="J17" i="7"/>
  <c r="V17" i="7"/>
  <c r="W17" i="7"/>
  <c r="Y17" i="7"/>
  <c r="AK17" i="7"/>
  <c r="AL17" i="7"/>
  <c r="AN17" i="7"/>
  <c r="G18" i="7"/>
  <c r="H18" i="7"/>
  <c r="J18" i="7"/>
  <c r="V18" i="7"/>
  <c r="W18" i="7"/>
  <c r="Y18" i="7"/>
  <c r="AK18" i="7"/>
  <c r="AL18" i="7"/>
  <c r="AN18" i="7"/>
  <c r="G19" i="7"/>
  <c r="H19" i="7"/>
  <c r="J19" i="7"/>
  <c r="V19" i="7"/>
  <c r="W19" i="7"/>
  <c r="Y19" i="7"/>
  <c r="AK19" i="7"/>
  <c r="AL19" i="7"/>
  <c r="AN19" i="7"/>
  <c r="G20" i="7"/>
  <c r="H20" i="7"/>
  <c r="J20" i="7"/>
  <c r="V20" i="7"/>
  <c r="W20" i="7"/>
  <c r="Y20" i="7"/>
  <c r="AK20" i="7"/>
  <c r="AL20" i="7"/>
  <c r="AN20" i="7"/>
  <c r="G21" i="7"/>
  <c r="H21" i="7"/>
  <c r="J21" i="7"/>
  <c r="V21" i="7"/>
  <c r="W21" i="7"/>
  <c r="Y21" i="7"/>
  <c r="AK21" i="7"/>
  <c r="AL21" i="7"/>
  <c r="AN21" i="7"/>
  <c r="G22" i="7"/>
  <c r="H22" i="7"/>
  <c r="J22" i="7"/>
  <c r="V22" i="7"/>
  <c r="W22" i="7"/>
  <c r="Y22" i="7"/>
  <c r="AK22" i="7"/>
  <c r="AL22" i="7"/>
  <c r="AN22" i="7"/>
  <c r="G23" i="7"/>
  <c r="H23" i="7"/>
  <c r="J23" i="7"/>
  <c r="V23" i="7"/>
  <c r="W23" i="7"/>
  <c r="Y23" i="7"/>
  <c r="AK23" i="7"/>
  <c r="AL23" i="7"/>
  <c r="AN23" i="7"/>
  <c r="G24" i="7"/>
  <c r="H24" i="7"/>
  <c r="J24" i="7"/>
  <c r="V24" i="7"/>
  <c r="W24" i="7"/>
  <c r="Y24" i="7"/>
  <c r="AK24" i="7"/>
  <c r="AL24" i="7"/>
  <c r="AN24" i="7"/>
  <c r="G25" i="7"/>
  <c r="H25" i="7"/>
  <c r="J25" i="7"/>
  <c r="V25" i="7"/>
  <c r="W25" i="7"/>
  <c r="Y25" i="7"/>
  <c r="AK25" i="7"/>
  <c r="AL25" i="7"/>
  <c r="AN25" i="7"/>
  <c r="G26" i="7"/>
  <c r="H26" i="7"/>
  <c r="J26" i="7"/>
  <c r="V26" i="7"/>
  <c r="W26" i="7"/>
  <c r="Y26" i="7"/>
  <c r="AK26" i="7"/>
  <c r="AL26" i="7"/>
  <c r="AN26" i="7"/>
  <c r="G27" i="7"/>
  <c r="H27" i="7"/>
  <c r="J27" i="7"/>
  <c r="V27" i="7"/>
  <c r="W27" i="7"/>
  <c r="Y27" i="7"/>
  <c r="AK27" i="7"/>
  <c r="AL27" i="7"/>
  <c r="AN27" i="7"/>
  <c r="G28" i="7"/>
  <c r="H28" i="7"/>
  <c r="J28" i="7"/>
  <c r="V28" i="7"/>
  <c r="W28" i="7"/>
  <c r="Y28" i="7"/>
  <c r="AK28" i="7"/>
  <c r="AL28" i="7"/>
  <c r="AN28" i="7"/>
  <c r="G29" i="7"/>
  <c r="H29" i="7"/>
  <c r="J29" i="7"/>
  <c r="V29" i="7"/>
  <c r="W29" i="7"/>
  <c r="Y29" i="7"/>
  <c r="AK29" i="7"/>
  <c r="AL29" i="7"/>
  <c r="AN29" i="7"/>
  <c r="G30" i="7"/>
  <c r="H30" i="7"/>
  <c r="J30" i="7"/>
  <c r="V30" i="7"/>
  <c r="W30" i="7"/>
  <c r="Y30" i="7"/>
  <c r="AK30" i="7"/>
  <c r="AL30" i="7"/>
  <c r="AN30" i="7"/>
  <c r="G31" i="7"/>
  <c r="H31" i="7"/>
  <c r="J31" i="7"/>
  <c r="V31" i="7"/>
  <c r="W31" i="7"/>
  <c r="Y31" i="7"/>
  <c r="AK31" i="7"/>
  <c r="AL31" i="7"/>
  <c r="AN31" i="7"/>
  <c r="G32" i="7"/>
  <c r="H32" i="7"/>
  <c r="J32" i="7"/>
  <c r="V32" i="7"/>
  <c r="W32" i="7"/>
  <c r="Y32" i="7"/>
  <c r="AK32" i="7"/>
  <c r="AL32" i="7"/>
  <c r="AN32" i="7"/>
  <c r="G33" i="7"/>
  <c r="H33" i="7"/>
  <c r="J33" i="7"/>
  <c r="V33" i="7"/>
  <c r="W33" i="7"/>
  <c r="Y33" i="7"/>
  <c r="AK33" i="7"/>
  <c r="AL33" i="7"/>
  <c r="AN33" i="7"/>
  <c r="G34" i="7"/>
  <c r="H34" i="7"/>
  <c r="J34" i="7"/>
  <c r="V34" i="7"/>
  <c r="W34" i="7"/>
  <c r="Y34" i="7"/>
  <c r="AK34" i="7"/>
  <c r="AL34" i="7"/>
  <c r="AN34" i="7"/>
  <c r="G35" i="7"/>
  <c r="H35" i="7"/>
  <c r="J35" i="7"/>
  <c r="V35" i="7"/>
  <c r="W35" i="7"/>
  <c r="Y35" i="7"/>
  <c r="AK35" i="7"/>
  <c r="AL35" i="7"/>
  <c r="AN35" i="7"/>
  <c r="G36" i="7"/>
  <c r="H36" i="7"/>
  <c r="J36" i="7"/>
  <c r="V36" i="7"/>
  <c r="W36" i="7"/>
  <c r="Y36" i="7"/>
  <c r="AK36" i="7"/>
  <c r="AL36" i="7"/>
  <c r="AN36" i="7"/>
  <c r="G37" i="7"/>
  <c r="H37" i="7"/>
  <c r="J37" i="7"/>
  <c r="V37" i="7"/>
  <c r="W37" i="7"/>
  <c r="Y37" i="7"/>
  <c r="AK37" i="7"/>
  <c r="AL37" i="7"/>
  <c r="AN37" i="7"/>
  <c r="G38" i="7"/>
  <c r="H38" i="7"/>
  <c r="J38" i="7"/>
  <c r="V38" i="7"/>
  <c r="W38" i="7"/>
  <c r="Y38" i="7"/>
  <c r="AK38" i="7"/>
  <c r="AL38" i="7"/>
  <c r="AN38" i="7"/>
  <c r="G39" i="7"/>
  <c r="H39" i="7"/>
  <c r="J39" i="7"/>
  <c r="V39" i="7"/>
  <c r="W39" i="7"/>
  <c r="Y39" i="7"/>
  <c r="AK39" i="7"/>
  <c r="AL39" i="7"/>
  <c r="AN39" i="7"/>
  <c r="G40" i="7"/>
  <c r="H40" i="7"/>
  <c r="J40" i="7"/>
  <c r="V40" i="7"/>
  <c r="W40" i="7"/>
  <c r="Y40" i="7"/>
  <c r="AK40" i="7"/>
  <c r="AL40" i="7"/>
  <c r="AN40" i="7"/>
  <c r="G41" i="7"/>
  <c r="H41" i="7"/>
  <c r="J41" i="7"/>
  <c r="V41" i="7"/>
  <c r="W41" i="7"/>
  <c r="Y41" i="7"/>
  <c r="AK41" i="7"/>
  <c r="AL41" i="7"/>
  <c r="AN41" i="7"/>
  <c r="G42" i="7"/>
  <c r="H42" i="7"/>
  <c r="J42" i="7"/>
  <c r="V42" i="7"/>
  <c r="W42" i="7"/>
  <c r="Y42" i="7"/>
  <c r="AK42" i="7"/>
  <c r="AL42" i="7"/>
  <c r="AN42" i="7"/>
  <c r="G43" i="7"/>
  <c r="H43" i="7"/>
  <c r="J43" i="7"/>
  <c r="V43" i="7"/>
  <c r="W43" i="7"/>
  <c r="Y43" i="7"/>
  <c r="AK43" i="7"/>
  <c r="AL43" i="7"/>
  <c r="AN43" i="7"/>
  <c r="G44" i="7"/>
  <c r="H44" i="7"/>
  <c r="J44" i="7"/>
  <c r="V44" i="7"/>
  <c r="W44" i="7"/>
  <c r="Y44" i="7"/>
  <c r="AK44" i="7"/>
  <c r="AL44" i="7"/>
  <c r="AN44" i="7"/>
  <c r="G47" i="7"/>
  <c r="H47" i="7"/>
  <c r="J47" i="7"/>
  <c r="V47" i="7"/>
  <c r="W47" i="7"/>
  <c r="Y47" i="7"/>
  <c r="AK47" i="7"/>
  <c r="AL47" i="7"/>
  <c r="AN47" i="7"/>
  <c r="G48" i="7"/>
  <c r="H48" i="7"/>
  <c r="J48" i="7"/>
  <c r="V48" i="7"/>
  <c r="W48" i="7"/>
  <c r="Y48" i="7"/>
  <c r="AK48" i="7"/>
  <c r="AL48" i="7"/>
  <c r="AN48" i="7"/>
  <c r="G49" i="7"/>
  <c r="H49" i="7"/>
  <c r="J49" i="7"/>
  <c r="V49" i="7"/>
  <c r="W49" i="7"/>
  <c r="Y49" i="7"/>
  <c r="AK49" i="7"/>
  <c r="AL49" i="7"/>
  <c r="AN49" i="7"/>
  <c r="G50" i="7"/>
  <c r="H50" i="7"/>
  <c r="J50" i="7"/>
  <c r="V50" i="7"/>
  <c r="W50" i="7"/>
  <c r="Y50" i="7"/>
  <c r="AK50" i="7"/>
  <c r="AL50" i="7"/>
  <c r="AN50" i="7"/>
  <c r="G51" i="7"/>
  <c r="H51" i="7"/>
  <c r="J51" i="7"/>
  <c r="V51" i="7"/>
  <c r="W51" i="7"/>
  <c r="Y51" i="7"/>
  <c r="AK51" i="7"/>
  <c r="AL51" i="7"/>
  <c r="AN51" i="7"/>
  <c r="G52" i="7"/>
  <c r="H52" i="7"/>
  <c r="J52" i="7"/>
  <c r="V52" i="7"/>
  <c r="W52" i="7"/>
  <c r="Y52" i="7"/>
  <c r="AK52" i="7"/>
  <c r="AL52" i="7"/>
  <c r="AN52" i="7"/>
  <c r="G53" i="7"/>
  <c r="H53" i="7"/>
  <c r="J53" i="7"/>
  <c r="V53" i="7"/>
  <c r="W53" i="7"/>
  <c r="Y53" i="7"/>
  <c r="AK53" i="7"/>
  <c r="AL53" i="7"/>
  <c r="AN53" i="7"/>
  <c r="G54" i="7"/>
  <c r="H54" i="7"/>
  <c r="J54" i="7"/>
  <c r="V54" i="7"/>
  <c r="W54" i="7"/>
  <c r="Y54" i="7"/>
  <c r="AK54" i="7"/>
  <c r="AL54" i="7"/>
  <c r="AN54" i="7"/>
  <c r="G55" i="7"/>
  <c r="H55" i="7"/>
  <c r="J55" i="7"/>
  <c r="V55" i="7"/>
  <c r="W55" i="7"/>
  <c r="Y55" i="7"/>
  <c r="AK55" i="7"/>
  <c r="AL55" i="7"/>
  <c r="AN55" i="7"/>
  <c r="G56" i="7"/>
  <c r="H56" i="7"/>
  <c r="J56" i="7"/>
  <c r="V56" i="7"/>
  <c r="W56" i="7"/>
  <c r="Y56" i="7"/>
  <c r="AK56" i="7"/>
  <c r="AL56" i="7"/>
  <c r="AN56" i="7"/>
  <c r="G57" i="7"/>
  <c r="H57" i="7"/>
  <c r="J57" i="7"/>
  <c r="V57" i="7"/>
  <c r="W57" i="7"/>
  <c r="Y57" i="7"/>
  <c r="AK57" i="7"/>
  <c r="AL57" i="7"/>
  <c r="AN57" i="7"/>
  <c r="G58" i="7"/>
  <c r="H58" i="7"/>
  <c r="J58" i="7"/>
  <c r="V58" i="7"/>
  <c r="W58" i="7"/>
  <c r="Y58" i="7"/>
  <c r="AK58" i="7"/>
  <c r="AL58" i="7"/>
  <c r="AN58" i="7"/>
  <c r="G59" i="7"/>
  <c r="H59" i="7"/>
  <c r="J59" i="7"/>
  <c r="V59" i="7"/>
  <c r="W59" i="7"/>
  <c r="Y59" i="7"/>
  <c r="AK59" i="7"/>
  <c r="AL59" i="7"/>
  <c r="AN59" i="7"/>
  <c r="G60" i="7"/>
  <c r="H60" i="7"/>
  <c r="J60" i="7"/>
  <c r="V60" i="7"/>
  <c r="W60" i="7"/>
  <c r="Y60" i="7"/>
  <c r="AK60" i="7"/>
  <c r="AL60" i="7"/>
  <c r="AN60" i="7"/>
  <c r="G61" i="7"/>
  <c r="H61" i="7"/>
  <c r="J61" i="7"/>
  <c r="V61" i="7"/>
  <c r="W61" i="7"/>
  <c r="Y61" i="7"/>
  <c r="AK61" i="7"/>
  <c r="AL61" i="7"/>
  <c r="AN61" i="7"/>
  <c r="G62" i="7"/>
  <c r="H62" i="7"/>
  <c r="J62" i="7"/>
  <c r="V62" i="7"/>
  <c r="W62" i="7"/>
  <c r="Y62" i="7"/>
  <c r="AK62" i="7"/>
  <c r="AL62" i="7"/>
  <c r="AN62" i="7"/>
  <c r="G63" i="7"/>
  <c r="H63" i="7"/>
  <c r="J63" i="7"/>
  <c r="V63" i="7"/>
  <c r="W63" i="7"/>
  <c r="Y63" i="7"/>
  <c r="AK63" i="7"/>
  <c r="AL63" i="7"/>
  <c r="AN63" i="7"/>
  <c r="G64" i="7"/>
  <c r="H64" i="7"/>
  <c r="J64" i="7"/>
  <c r="V64" i="7"/>
  <c r="W64" i="7"/>
  <c r="Y64" i="7"/>
  <c r="AK64" i="7"/>
  <c r="AL64" i="7"/>
  <c r="AN64" i="7"/>
  <c r="G65" i="7"/>
  <c r="H65" i="7"/>
  <c r="J65" i="7"/>
  <c r="V65" i="7"/>
  <c r="W65" i="7"/>
  <c r="Y65" i="7"/>
  <c r="AK65" i="7"/>
  <c r="AL65" i="7"/>
  <c r="AN65" i="7"/>
  <c r="G66" i="7"/>
  <c r="H66" i="7"/>
  <c r="J66" i="7"/>
  <c r="V66" i="7"/>
  <c r="W66" i="7"/>
  <c r="Y66" i="7"/>
  <c r="AK66" i="7"/>
  <c r="AL66" i="7"/>
  <c r="AN66" i="7"/>
  <c r="G67" i="7"/>
  <c r="H67" i="7"/>
  <c r="J67" i="7"/>
  <c r="V67" i="7"/>
  <c r="W67" i="7"/>
  <c r="Y67" i="7"/>
  <c r="AK67" i="7"/>
  <c r="AL67" i="7"/>
  <c r="AN67" i="7"/>
  <c r="G68" i="7"/>
  <c r="H68" i="7"/>
  <c r="J68" i="7"/>
  <c r="V68" i="7"/>
  <c r="W68" i="7"/>
  <c r="Y68" i="7"/>
  <c r="AK68" i="7"/>
  <c r="AL68" i="7"/>
  <c r="AN68" i="7"/>
  <c r="G69" i="7"/>
  <c r="H69" i="7"/>
  <c r="J69" i="7"/>
  <c r="V69" i="7"/>
  <c r="W69" i="7"/>
  <c r="Y69" i="7"/>
  <c r="AK69" i="7"/>
  <c r="AL69" i="7"/>
  <c r="AN69" i="7"/>
  <c r="G70" i="7"/>
  <c r="H70" i="7"/>
  <c r="J70" i="7"/>
  <c r="V70" i="7"/>
  <c r="W70" i="7"/>
  <c r="Y70" i="7"/>
  <c r="AK70" i="7"/>
  <c r="AL70" i="7"/>
  <c r="AN70" i="7"/>
  <c r="G71" i="7"/>
  <c r="H71" i="7"/>
  <c r="J71" i="7"/>
  <c r="V71" i="7"/>
  <c r="W71" i="7"/>
  <c r="Y71" i="7"/>
  <c r="AK71" i="7"/>
  <c r="AL71" i="7"/>
  <c r="AN71" i="7"/>
  <c r="G72" i="7"/>
  <c r="H72" i="7"/>
  <c r="J72" i="7"/>
  <c r="V72" i="7"/>
  <c r="W72" i="7"/>
  <c r="Y72" i="7"/>
  <c r="AK72" i="7"/>
  <c r="AL72" i="7"/>
  <c r="AN72" i="7"/>
  <c r="G73" i="7"/>
  <c r="H73" i="7"/>
  <c r="J73" i="7"/>
  <c r="V73" i="7"/>
  <c r="W73" i="7"/>
  <c r="Y73" i="7"/>
  <c r="AK73" i="7"/>
  <c r="AL73" i="7"/>
  <c r="AN73" i="7"/>
  <c r="G74" i="7"/>
  <c r="H74" i="7"/>
  <c r="J74" i="7"/>
  <c r="V74" i="7"/>
  <c r="W74" i="7"/>
  <c r="Y74" i="7"/>
  <c r="AK74" i="7"/>
  <c r="AL74" i="7"/>
  <c r="AN74" i="7"/>
  <c r="G75" i="7"/>
  <c r="H75" i="7"/>
  <c r="J75" i="7"/>
  <c r="V75" i="7"/>
  <c r="W75" i="7"/>
  <c r="Y75" i="7"/>
  <c r="AK75" i="7"/>
  <c r="AL75" i="7"/>
  <c r="AN75" i="7"/>
  <c r="G76" i="7"/>
  <c r="H76" i="7"/>
  <c r="J76" i="7"/>
  <c r="V76" i="7"/>
  <c r="W76" i="7"/>
  <c r="Y76" i="7"/>
  <c r="AK76" i="7"/>
  <c r="AL76" i="7"/>
  <c r="AN76" i="7"/>
  <c r="G77" i="7"/>
  <c r="H77" i="7"/>
  <c r="J77" i="7"/>
  <c r="V77" i="7"/>
  <c r="W77" i="7"/>
  <c r="Y77" i="7"/>
  <c r="AK77" i="7"/>
  <c r="AL77" i="7"/>
  <c r="AN77" i="7"/>
  <c r="G78" i="7"/>
  <c r="H78" i="7"/>
  <c r="J78" i="7"/>
  <c r="V78" i="7"/>
  <c r="W78" i="7"/>
  <c r="Y78" i="7"/>
  <c r="AK78" i="7"/>
  <c r="AL78" i="7"/>
  <c r="AN78" i="7"/>
  <c r="G79" i="7"/>
  <c r="H79" i="7"/>
  <c r="J79" i="7"/>
  <c r="V79" i="7"/>
  <c r="W79" i="7"/>
  <c r="Y79" i="7"/>
  <c r="AK79" i="7"/>
  <c r="AL79" i="7"/>
  <c r="AN79" i="7"/>
  <c r="G80" i="7"/>
  <c r="H80" i="7"/>
  <c r="J80" i="7"/>
  <c r="V80" i="7"/>
  <c r="W80" i="7"/>
  <c r="Y80" i="7"/>
  <c r="AK80" i="7"/>
  <c r="AL80" i="7"/>
  <c r="AN80" i="7"/>
  <c r="G81" i="7"/>
  <c r="H81" i="7"/>
  <c r="J81" i="7"/>
  <c r="V81" i="7"/>
  <c r="W81" i="7"/>
  <c r="Y81" i="7"/>
  <c r="AK81" i="7"/>
  <c r="AL81" i="7"/>
  <c r="AN81" i="7"/>
  <c r="G82" i="7"/>
  <c r="H82" i="7"/>
  <c r="J82" i="7"/>
  <c r="V82" i="7"/>
  <c r="W82" i="7"/>
  <c r="Y82" i="7"/>
  <c r="AK82" i="7"/>
  <c r="AL82" i="7"/>
  <c r="AN82" i="7"/>
  <c r="G83" i="7"/>
  <c r="H83" i="7"/>
  <c r="J83" i="7"/>
  <c r="V83" i="7"/>
  <c r="W83" i="7"/>
  <c r="Y83" i="7"/>
  <c r="AK83" i="7"/>
  <c r="AL83" i="7"/>
  <c r="AN83" i="7"/>
  <c r="G84" i="7"/>
  <c r="H84" i="7"/>
  <c r="J84" i="7"/>
  <c r="V84" i="7"/>
  <c r="W84" i="7"/>
  <c r="Y84" i="7"/>
  <c r="AK84" i="7"/>
  <c r="AL84" i="7"/>
  <c r="AN84" i="7"/>
  <c r="G85" i="7"/>
  <c r="H85" i="7"/>
  <c r="J85" i="7"/>
  <c r="V85" i="7"/>
  <c r="W85" i="7"/>
  <c r="Y85" i="7"/>
  <c r="AK85" i="7"/>
  <c r="AL85" i="7"/>
  <c r="AN85" i="7"/>
  <c r="G86" i="7"/>
  <c r="H86" i="7"/>
  <c r="J86" i="7"/>
  <c r="V86" i="7"/>
  <c r="W86" i="7"/>
  <c r="Y86" i="7"/>
  <c r="AK86" i="7"/>
  <c r="AL86" i="7"/>
  <c r="AN86" i="7"/>
  <c r="G87" i="7"/>
  <c r="H87" i="7"/>
  <c r="J87" i="7"/>
  <c r="V87" i="7"/>
  <c r="W87" i="7"/>
  <c r="Y87" i="7"/>
  <c r="AK87" i="7"/>
  <c r="AL87" i="7"/>
  <c r="AN87" i="7"/>
  <c r="F4" i="12"/>
  <c r="G4" i="12"/>
  <c r="I4" i="12"/>
  <c r="Z4" i="12"/>
  <c r="AA4" i="12"/>
  <c r="AC4" i="12"/>
  <c r="AT4" i="12"/>
  <c r="AU4" i="12"/>
  <c r="AW4" i="12"/>
  <c r="F5" i="12"/>
  <c r="G5" i="12"/>
  <c r="I5" i="12"/>
  <c r="Z5" i="12"/>
  <c r="AA5" i="12"/>
  <c r="AC5" i="12"/>
  <c r="AT5" i="12"/>
  <c r="AU5" i="12"/>
  <c r="AW5" i="12"/>
  <c r="F6" i="12"/>
  <c r="G6" i="12"/>
  <c r="I6" i="12"/>
  <c r="Z6" i="12"/>
  <c r="AA6" i="12"/>
  <c r="AC6" i="12"/>
  <c r="AT6" i="12"/>
  <c r="AU6" i="12"/>
  <c r="AW6" i="12"/>
  <c r="F7" i="12"/>
  <c r="G7" i="12"/>
  <c r="I7" i="12"/>
  <c r="Z7" i="12"/>
  <c r="AA7" i="12"/>
  <c r="AC7" i="12"/>
  <c r="AT7" i="12"/>
  <c r="AU7" i="12"/>
  <c r="AW7" i="12"/>
  <c r="F8" i="12"/>
  <c r="G8" i="12"/>
  <c r="I8" i="12"/>
  <c r="Z8" i="12"/>
  <c r="AA8" i="12"/>
  <c r="AC8" i="12"/>
  <c r="AT8" i="12"/>
  <c r="AU8" i="12"/>
  <c r="AW8" i="12"/>
  <c r="F9" i="12"/>
  <c r="G9" i="12"/>
  <c r="I9" i="12"/>
  <c r="Z9" i="12"/>
  <c r="AA9" i="12"/>
  <c r="AC9" i="12"/>
  <c r="AT9" i="12"/>
  <c r="AU9" i="12"/>
  <c r="AW9" i="12"/>
  <c r="F15" i="12"/>
  <c r="G15" i="12"/>
  <c r="I15" i="12"/>
  <c r="Z15" i="12"/>
  <c r="AA15" i="12"/>
  <c r="AC15" i="12"/>
  <c r="AT15" i="12"/>
  <c r="AU15" i="12"/>
  <c r="AW15" i="12"/>
  <c r="F16" i="12"/>
  <c r="G16" i="12"/>
  <c r="I16" i="12"/>
  <c r="Z16" i="12"/>
  <c r="AA16" i="12"/>
  <c r="AC16" i="12"/>
  <c r="AT16" i="12"/>
  <c r="AU16" i="12"/>
  <c r="AW16" i="12"/>
  <c r="F17" i="12"/>
  <c r="G17" i="12"/>
  <c r="I17" i="12"/>
  <c r="Z17" i="12"/>
  <c r="AA17" i="12"/>
  <c r="AC17" i="12"/>
  <c r="AT17" i="12"/>
  <c r="AU17" i="12"/>
  <c r="AW17" i="12"/>
  <c r="F18" i="12"/>
  <c r="G18" i="12"/>
  <c r="I18" i="12"/>
  <c r="Z18" i="12"/>
  <c r="AA18" i="12"/>
  <c r="AC18" i="12"/>
  <c r="AT18" i="12"/>
  <c r="AU18" i="12"/>
  <c r="B17" i="8"/>
  <c r="B30" i="1"/>
  <c r="C30" i="1"/>
  <c r="D30" i="1"/>
  <c r="B32" i="1"/>
  <c r="E33" i="1"/>
  <c r="B38" i="1"/>
  <c r="B40" i="1"/>
  <c r="C40" i="1"/>
  <c r="B41" i="1"/>
  <c r="B44" i="1"/>
  <c r="B45" i="1"/>
  <c r="B46" i="1"/>
  <c r="B47" i="1"/>
  <c r="B48" i="1"/>
  <c r="B54" i="1"/>
  <c r="B58" i="1"/>
  <c r="B60" i="1"/>
  <c r="B61" i="1"/>
  <c r="B70" i="1"/>
  <c r="B71" i="1"/>
  <c r="C75" i="1"/>
  <c r="D4" i="7"/>
  <c r="E4" i="7"/>
  <c r="F4" i="7"/>
  <c r="I4" i="7"/>
  <c r="K4" i="7"/>
  <c r="L4" i="7"/>
  <c r="M4" i="7"/>
  <c r="N4" i="7"/>
  <c r="O4" i="7"/>
  <c r="P4" i="7"/>
  <c r="Q4" i="7"/>
  <c r="S4" i="7"/>
  <c r="T4" i="7"/>
  <c r="U4" i="7"/>
  <c r="X4" i="7"/>
  <c r="Z4" i="7"/>
  <c r="AA4" i="7"/>
  <c r="AB4" i="7"/>
  <c r="AC4" i="7"/>
  <c r="AD4" i="7"/>
  <c r="AE4" i="7"/>
  <c r="AF4" i="7"/>
  <c r="AH4" i="7"/>
  <c r="AI4" i="7"/>
  <c r="AJ4" i="7"/>
  <c r="AM4" i="7"/>
  <c r="AO4" i="7"/>
  <c r="AP4" i="7"/>
  <c r="AQ4" i="7"/>
  <c r="AR4" i="7"/>
  <c r="AS4" i="7"/>
  <c r="AT4" i="7"/>
  <c r="AU4" i="7"/>
  <c r="D5" i="7"/>
  <c r="E5" i="7"/>
  <c r="F5" i="7"/>
  <c r="I5" i="7"/>
  <c r="K5" i="7"/>
  <c r="L5" i="7"/>
  <c r="M5" i="7"/>
  <c r="N5" i="7"/>
  <c r="O5" i="7"/>
  <c r="P5" i="7"/>
  <c r="Q5" i="7"/>
  <c r="S5" i="7"/>
  <c r="T5" i="7"/>
  <c r="U5" i="7"/>
  <c r="X5" i="7"/>
  <c r="Z5" i="7"/>
  <c r="AA5" i="7"/>
  <c r="AB5" i="7"/>
  <c r="AC5" i="7"/>
  <c r="AD5" i="7"/>
  <c r="AE5" i="7"/>
  <c r="AF5" i="7"/>
  <c r="AH5" i="7"/>
  <c r="AI5" i="7"/>
  <c r="AJ5" i="7"/>
  <c r="AM5" i="7"/>
  <c r="AO5" i="7"/>
  <c r="AP5" i="7"/>
  <c r="AQ5" i="7"/>
  <c r="AR5" i="7"/>
  <c r="AS5" i="7"/>
  <c r="AT5" i="7"/>
  <c r="AU5" i="7"/>
  <c r="D6" i="7"/>
  <c r="E6" i="7"/>
  <c r="F6" i="7"/>
  <c r="I6" i="7"/>
  <c r="K6" i="7"/>
  <c r="L6" i="7"/>
  <c r="M6" i="7"/>
  <c r="N6" i="7"/>
  <c r="O6" i="7"/>
  <c r="P6" i="7"/>
  <c r="Q6" i="7"/>
  <c r="S6" i="7"/>
  <c r="T6" i="7"/>
  <c r="U6" i="7"/>
  <c r="X6" i="7"/>
  <c r="Z6" i="7"/>
  <c r="AA6" i="7"/>
  <c r="AB6" i="7"/>
  <c r="AC6" i="7"/>
  <c r="AD6" i="7"/>
  <c r="AE6" i="7"/>
  <c r="AF6" i="7"/>
  <c r="AH6" i="7"/>
  <c r="AI6" i="7"/>
  <c r="AJ6" i="7"/>
  <c r="AM6" i="7"/>
  <c r="AO6" i="7"/>
  <c r="AP6" i="7"/>
  <c r="AQ6" i="7"/>
  <c r="AR6" i="7"/>
  <c r="AS6" i="7"/>
  <c r="AT6" i="7"/>
  <c r="AU6" i="7"/>
  <c r="D7" i="7"/>
  <c r="E7" i="7"/>
  <c r="F7" i="7"/>
  <c r="I7" i="7"/>
  <c r="K7" i="7"/>
  <c r="L7" i="7"/>
  <c r="M7" i="7"/>
  <c r="N7" i="7"/>
  <c r="O7" i="7"/>
  <c r="P7" i="7"/>
  <c r="Q7" i="7"/>
  <c r="S7" i="7"/>
  <c r="T7" i="7"/>
  <c r="U7" i="7"/>
  <c r="X7" i="7"/>
  <c r="Z7" i="7"/>
  <c r="AA7" i="7"/>
  <c r="AB7" i="7"/>
  <c r="AC7" i="7"/>
  <c r="AD7" i="7"/>
  <c r="AE7" i="7"/>
  <c r="AF7" i="7"/>
  <c r="AH7" i="7"/>
  <c r="AI7" i="7"/>
  <c r="AJ7" i="7"/>
  <c r="AM7" i="7"/>
  <c r="AO7" i="7"/>
  <c r="AP7" i="7"/>
  <c r="AQ7" i="7"/>
  <c r="AR7" i="7"/>
  <c r="AS7" i="7"/>
  <c r="AT7" i="7"/>
  <c r="AU7" i="7"/>
  <c r="D8" i="7"/>
  <c r="E8" i="7"/>
  <c r="F8" i="7"/>
  <c r="I8" i="7"/>
  <c r="K8" i="7"/>
  <c r="L8" i="7"/>
  <c r="M8" i="7"/>
  <c r="N8" i="7"/>
  <c r="O8" i="7"/>
  <c r="P8" i="7"/>
  <c r="Q8" i="7"/>
  <c r="S8" i="7"/>
  <c r="T8" i="7"/>
  <c r="U8" i="7"/>
  <c r="X8" i="7"/>
  <c r="Z8" i="7"/>
  <c r="AA8" i="7"/>
  <c r="AB8" i="7"/>
  <c r="AC8" i="7"/>
  <c r="AD8" i="7"/>
  <c r="AE8" i="7"/>
  <c r="AF8" i="7"/>
  <c r="AH8" i="7"/>
  <c r="AI8" i="7"/>
  <c r="AJ8" i="7"/>
  <c r="AM8" i="7"/>
  <c r="AO8" i="7"/>
  <c r="AP8" i="7"/>
  <c r="AQ8" i="7"/>
  <c r="AR8" i="7"/>
  <c r="AS8" i="7"/>
  <c r="AT8" i="7"/>
  <c r="AU8" i="7"/>
  <c r="D9" i="7"/>
  <c r="E9" i="7"/>
  <c r="F9" i="7"/>
  <c r="I9" i="7"/>
  <c r="K9" i="7"/>
  <c r="L9" i="7"/>
  <c r="M9" i="7"/>
  <c r="N9" i="7"/>
  <c r="O9" i="7"/>
  <c r="P9" i="7"/>
  <c r="Q9" i="7"/>
  <c r="S9" i="7"/>
  <c r="T9" i="7"/>
  <c r="U9" i="7"/>
  <c r="X9" i="7"/>
  <c r="Z9" i="7"/>
  <c r="AA9" i="7"/>
  <c r="AB9" i="7"/>
  <c r="AC9" i="7"/>
  <c r="AD9" i="7"/>
  <c r="AE9" i="7"/>
  <c r="AF9" i="7"/>
  <c r="AH9" i="7"/>
  <c r="AI9" i="7"/>
  <c r="AJ9" i="7"/>
  <c r="AM9" i="7"/>
  <c r="AO9" i="7"/>
  <c r="AP9" i="7"/>
  <c r="AQ9" i="7"/>
  <c r="AR9" i="7"/>
  <c r="AS9" i="7"/>
  <c r="AT9" i="7"/>
  <c r="AU9" i="7"/>
  <c r="D10" i="7"/>
  <c r="E10" i="7"/>
  <c r="F10" i="7"/>
  <c r="I10" i="7"/>
  <c r="K10" i="7"/>
  <c r="L10" i="7"/>
  <c r="M10" i="7"/>
  <c r="N10" i="7"/>
  <c r="O10" i="7"/>
  <c r="P10" i="7"/>
  <c r="Q10" i="7"/>
  <c r="S10" i="7"/>
  <c r="T10" i="7"/>
  <c r="U10" i="7"/>
  <c r="X10" i="7"/>
  <c r="Z10" i="7"/>
  <c r="AA10" i="7"/>
  <c r="AB10" i="7"/>
  <c r="AC10" i="7"/>
  <c r="AD10" i="7"/>
  <c r="AE10" i="7"/>
  <c r="AF10" i="7"/>
  <c r="AH10" i="7"/>
  <c r="AI10" i="7"/>
  <c r="AJ10" i="7"/>
  <c r="AM10" i="7"/>
  <c r="AO10" i="7"/>
  <c r="AP10" i="7"/>
  <c r="AQ10" i="7"/>
  <c r="AR10" i="7"/>
  <c r="AS10" i="7"/>
  <c r="AT10" i="7"/>
  <c r="AU10" i="7"/>
  <c r="D11" i="7"/>
  <c r="E11" i="7"/>
  <c r="F11" i="7"/>
  <c r="I11" i="7"/>
  <c r="K11" i="7"/>
  <c r="L11" i="7"/>
  <c r="M11" i="7"/>
  <c r="N11" i="7"/>
  <c r="O11" i="7"/>
  <c r="P11" i="7"/>
  <c r="Q11" i="7"/>
  <c r="S11" i="7"/>
  <c r="T11" i="7"/>
  <c r="U11" i="7"/>
  <c r="X11" i="7"/>
  <c r="Z11" i="7"/>
  <c r="AA11" i="7"/>
  <c r="AB11" i="7"/>
  <c r="AC11" i="7"/>
  <c r="AD11" i="7"/>
  <c r="AE11" i="7"/>
  <c r="AF11" i="7"/>
  <c r="AH11" i="7"/>
  <c r="AI11" i="7"/>
  <c r="AJ11" i="7"/>
  <c r="AM11" i="7"/>
  <c r="AO11" i="7"/>
  <c r="AP11" i="7"/>
  <c r="AQ11" i="7"/>
  <c r="AR11" i="7"/>
  <c r="AS11" i="7"/>
  <c r="AT11" i="7"/>
  <c r="AU11" i="7"/>
  <c r="D12" i="7"/>
  <c r="E12" i="7"/>
  <c r="F12" i="7"/>
  <c r="I12" i="7"/>
  <c r="K12" i="7"/>
  <c r="L12" i="7"/>
  <c r="M12" i="7"/>
  <c r="N12" i="7"/>
  <c r="O12" i="7"/>
  <c r="P12" i="7"/>
  <c r="Q12" i="7"/>
  <c r="S12" i="7"/>
  <c r="T12" i="7"/>
  <c r="U12" i="7"/>
  <c r="X12" i="7"/>
  <c r="Z12" i="7"/>
  <c r="AA12" i="7"/>
  <c r="AB12" i="7"/>
  <c r="AC12" i="7"/>
  <c r="AD12" i="7"/>
  <c r="AE12" i="7"/>
  <c r="AF12" i="7"/>
  <c r="AH12" i="7"/>
  <c r="AI12" i="7"/>
  <c r="AJ12" i="7"/>
  <c r="AM12" i="7"/>
  <c r="AO12" i="7"/>
  <c r="AP12" i="7"/>
  <c r="AQ12" i="7"/>
  <c r="AR12" i="7"/>
  <c r="AS12" i="7"/>
  <c r="AT12" i="7"/>
  <c r="AU12" i="7"/>
  <c r="D13" i="7"/>
  <c r="E13" i="7"/>
  <c r="F13" i="7"/>
  <c r="I13" i="7"/>
  <c r="K13" i="7"/>
  <c r="L13" i="7"/>
  <c r="M13" i="7"/>
  <c r="N13" i="7"/>
  <c r="O13" i="7"/>
  <c r="P13" i="7"/>
  <c r="Q13" i="7"/>
  <c r="S13" i="7"/>
  <c r="T13" i="7"/>
  <c r="U13" i="7"/>
  <c r="X13" i="7"/>
  <c r="Z13" i="7"/>
  <c r="AA13" i="7"/>
  <c r="AB13" i="7"/>
  <c r="AC13" i="7"/>
  <c r="AD13" i="7"/>
  <c r="AE13" i="7"/>
  <c r="AF13" i="7"/>
  <c r="AH13" i="7"/>
  <c r="AI13" i="7"/>
  <c r="AJ13" i="7"/>
  <c r="AM13" i="7"/>
  <c r="AO13" i="7"/>
  <c r="AP13" i="7"/>
  <c r="AQ13" i="7"/>
  <c r="AR13" i="7"/>
  <c r="AS13" i="7"/>
  <c r="AT13" i="7"/>
  <c r="AU13" i="7"/>
  <c r="D14" i="7"/>
  <c r="E14" i="7"/>
  <c r="F14" i="7"/>
  <c r="I14" i="7"/>
  <c r="K14" i="7"/>
  <c r="L14" i="7"/>
  <c r="M14" i="7"/>
  <c r="N14" i="7"/>
  <c r="O14" i="7"/>
  <c r="P14" i="7"/>
  <c r="Q14" i="7"/>
  <c r="S14" i="7"/>
  <c r="T14" i="7"/>
  <c r="U14" i="7"/>
  <c r="X14" i="7"/>
  <c r="Z14" i="7"/>
  <c r="AA14" i="7"/>
  <c r="AB14" i="7"/>
  <c r="AC14" i="7"/>
  <c r="AD14" i="7"/>
  <c r="AE14" i="7"/>
  <c r="AF14" i="7"/>
  <c r="AH14" i="7"/>
  <c r="AI14" i="7"/>
  <c r="AJ14" i="7"/>
  <c r="AM14" i="7"/>
  <c r="AO14" i="7"/>
  <c r="AP14" i="7"/>
  <c r="AQ14" i="7"/>
  <c r="AR14" i="7"/>
  <c r="AS14" i="7"/>
  <c r="AT14" i="7"/>
  <c r="AU14" i="7"/>
  <c r="D15" i="7"/>
  <c r="E15" i="7"/>
  <c r="F15" i="7"/>
  <c r="I15" i="7"/>
  <c r="K15" i="7"/>
  <c r="L15" i="7"/>
  <c r="M15" i="7"/>
  <c r="N15" i="7"/>
  <c r="O15" i="7"/>
  <c r="P15" i="7"/>
  <c r="Q15" i="7"/>
  <c r="S15" i="7"/>
  <c r="T15" i="7"/>
  <c r="U15" i="7"/>
  <c r="X15" i="7"/>
  <c r="Z15" i="7"/>
  <c r="AA15" i="7"/>
  <c r="AB15" i="7"/>
  <c r="AC15" i="7"/>
  <c r="AD15" i="7"/>
  <c r="AE15" i="7"/>
  <c r="AF15" i="7"/>
  <c r="AH15" i="7"/>
  <c r="AI15" i="7"/>
  <c r="AJ15" i="7"/>
  <c r="AM15" i="7"/>
  <c r="AO15" i="7"/>
  <c r="AP15" i="7"/>
  <c r="AQ15" i="7"/>
  <c r="AR15" i="7"/>
  <c r="AS15" i="7"/>
  <c r="AT15" i="7"/>
  <c r="AU15" i="7"/>
  <c r="D16" i="7"/>
  <c r="E16" i="7"/>
  <c r="F16" i="7"/>
  <c r="I16" i="7"/>
  <c r="K16" i="7"/>
  <c r="L16" i="7"/>
  <c r="M16" i="7"/>
  <c r="N16" i="7"/>
  <c r="O16" i="7"/>
  <c r="P16" i="7"/>
  <c r="Q16" i="7"/>
  <c r="S16" i="7"/>
  <c r="T16" i="7"/>
  <c r="U16" i="7"/>
  <c r="X16" i="7"/>
  <c r="Z16" i="7"/>
  <c r="AA16" i="7"/>
  <c r="AB16" i="7"/>
  <c r="AC16" i="7"/>
  <c r="AD16" i="7"/>
  <c r="AE16" i="7"/>
  <c r="AF16" i="7"/>
  <c r="AH16" i="7"/>
  <c r="AI16" i="7"/>
  <c r="AJ16" i="7"/>
  <c r="AM16" i="7"/>
  <c r="AO16" i="7"/>
  <c r="AP16" i="7"/>
  <c r="AQ16" i="7"/>
  <c r="AR16" i="7"/>
  <c r="AS16" i="7"/>
  <c r="AT16" i="7"/>
  <c r="AU16" i="7"/>
  <c r="D17" i="7"/>
  <c r="E17" i="7"/>
  <c r="F17" i="7"/>
  <c r="I17" i="7"/>
  <c r="K17" i="7"/>
  <c r="L17" i="7"/>
  <c r="M17" i="7"/>
  <c r="N17" i="7"/>
  <c r="O17" i="7"/>
  <c r="P17" i="7"/>
  <c r="Q17" i="7"/>
  <c r="S17" i="7"/>
  <c r="T17" i="7"/>
  <c r="U17" i="7"/>
  <c r="X17" i="7"/>
  <c r="Z17" i="7"/>
  <c r="AA17" i="7"/>
  <c r="AB17" i="7"/>
  <c r="AC17" i="7"/>
  <c r="AD17" i="7"/>
  <c r="AE17" i="7"/>
  <c r="AF17" i="7"/>
  <c r="AH17" i="7"/>
  <c r="AI17" i="7"/>
  <c r="AJ17" i="7"/>
  <c r="AM17" i="7"/>
  <c r="AO17" i="7"/>
  <c r="AP17" i="7"/>
  <c r="AQ17" i="7"/>
  <c r="AR17" i="7"/>
  <c r="AS17" i="7"/>
  <c r="AT17" i="7"/>
  <c r="AU17" i="7"/>
  <c r="D18" i="7"/>
  <c r="E18" i="7"/>
  <c r="F18" i="7"/>
  <c r="I18" i="7"/>
  <c r="K18" i="7"/>
  <c r="L18" i="7"/>
  <c r="M18" i="7"/>
  <c r="N18" i="7"/>
  <c r="O18" i="7"/>
  <c r="P18" i="7"/>
  <c r="Q18" i="7"/>
  <c r="S18" i="7"/>
  <c r="T18" i="7"/>
  <c r="U18" i="7"/>
  <c r="X18" i="7"/>
  <c r="Z18" i="7"/>
  <c r="AA18" i="7"/>
  <c r="AB18" i="7"/>
  <c r="AC18" i="7"/>
  <c r="AD18" i="7"/>
  <c r="AE18" i="7"/>
  <c r="AF18" i="7"/>
  <c r="AH18" i="7"/>
  <c r="AI18" i="7"/>
  <c r="AJ18" i="7"/>
  <c r="AM18" i="7"/>
  <c r="AO18" i="7"/>
  <c r="AP18" i="7"/>
  <c r="AQ18" i="7"/>
  <c r="AR18" i="7"/>
  <c r="AS18" i="7"/>
  <c r="AT18" i="7"/>
  <c r="AU18" i="7"/>
  <c r="D19" i="7"/>
  <c r="E19" i="7"/>
  <c r="F19" i="7"/>
  <c r="I19" i="7"/>
  <c r="K19" i="7"/>
  <c r="L19" i="7"/>
  <c r="M19" i="7"/>
  <c r="N19" i="7"/>
  <c r="O19" i="7"/>
  <c r="P19" i="7"/>
  <c r="Q19" i="7"/>
  <c r="S19" i="7"/>
  <c r="T19" i="7"/>
  <c r="U19" i="7"/>
  <c r="X19" i="7"/>
  <c r="Z19" i="7"/>
  <c r="AA19" i="7"/>
  <c r="AB19" i="7"/>
  <c r="AC19" i="7"/>
  <c r="AD19" i="7"/>
  <c r="AE19" i="7"/>
  <c r="AF19" i="7"/>
  <c r="AH19" i="7"/>
  <c r="AI19" i="7"/>
  <c r="AJ19" i="7"/>
  <c r="AM19" i="7"/>
  <c r="AO19" i="7"/>
  <c r="AP19" i="7"/>
  <c r="AQ19" i="7"/>
  <c r="AR19" i="7"/>
  <c r="AS19" i="7"/>
  <c r="AT19" i="7"/>
  <c r="AU19" i="7"/>
  <c r="D20" i="7"/>
  <c r="E20" i="7"/>
  <c r="F20" i="7"/>
  <c r="I20" i="7"/>
  <c r="K20" i="7"/>
  <c r="L20" i="7"/>
  <c r="M20" i="7"/>
  <c r="N20" i="7"/>
  <c r="O20" i="7"/>
  <c r="P20" i="7"/>
  <c r="Q20" i="7"/>
  <c r="S20" i="7"/>
  <c r="T20" i="7"/>
  <c r="U20" i="7"/>
  <c r="X20" i="7"/>
  <c r="Z20" i="7"/>
  <c r="AA20" i="7"/>
  <c r="AB20" i="7"/>
  <c r="AC20" i="7"/>
  <c r="AD20" i="7"/>
  <c r="AE20" i="7"/>
  <c r="AF20" i="7"/>
  <c r="AH20" i="7"/>
  <c r="AI20" i="7"/>
  <c r="AJ20" i="7"/>
  <c r="AM20" i="7"/>
  <c r="AO20" i="7"/>
  <c r="AP20" i="7"/>
  <c r="AQ20" i="7"/>
  <c r="AR20" i="7"/>
  <c r="AS20" i="7"/>
  <c r="AT20" i="7"/>
  <c r="AU20" i="7"/>
  <c r="D21" i="7"/>
  <c r="E21" i="7"/>
  <c r="F21" i="7"/>
  <c r="I21" i="7"/>
  <c r="K21" i="7"/>
  <c r="L21" i="7"/>
  <c r="M21" i="7"/>
  <c r="N21" i="7"/>
  <c r="O21" i="7"/>
  <c r="P21" i="7"/>
  <c r="Q21" i="7"/>
  <c r="S21" i="7"/>
  <c r="T21" i="7"/>
  <c r="U21" i="7"/>
  <c r="X21" i="7"/>
  <c r="Z21" i="7"/>
  <c r="AA21" i="7"/>
  <c r="AB21" i="7"/>
  <c r="AC21" i="7"/>
  <c r="AD21" i="7"/>
  <c r="AE21" i="7"/>
  <c r="AF21" i="7"/>
  <c r="AH21" i="7"/>
  <c r="AI21" i="7"/>
  <c r="AJ21" i="7"/>
  <c r="AM21" i="7"/>
  <c r="AO21" i="7"/>
  <c r="AP21" i="7"/>
  <c r="AQ21" i="7"/>
  <c r="AR21" i="7"/>
  <c r="AS21" i="7"/>
  <c r="AT21" i="7"/>
  <c r="AU21" i="7"/>
  <c r="D22" i="7"/>
  <c r="E22" i="7"/>
  <c r="F22" i="7"/>
  <c r="I22" i="7"/>
  <c r="K22" i="7"/>
  <c r="L22" i="7"/>
  <c r="M22" i="7"/>
  <c r="N22" i="7"/>
  <c r="O22" i="7"/>
  <c r="P22" i="7"/>
  <c r="Q22" i="7"/>
  <c r="S22" i="7"/>
  <c r="T22" i="7"/>
  <c r="U22" i="7"/>
  <c r="X22" i="7"/>
  <c r="Z22" i="7"/>
  <c r="AA22" i="7"/>
  <c r="AB22" i="7"/>
  <c r="AC22" i="7"/>
  <c r="AD22" i="7"/>
  <c r="AE22" i="7"/>
  <c r="AF22" i="7"/>
  <c r="AH22" i="7"/>
  <c r="AI22" i="7"/>
  <c r="AJ22" i="7"/>
  <c r="AM22" i="7"/>
  <c r="AO22" i="7"/>
  <c r="AP22" i="7"/>
  <c r="AQ22" i="7"/>
  <c r="AR22" i="7"/>
  <c r="AS22" i="7"/>
  <c r="AT22" i="7"/>
  <c r="AU22" i="7"/>
  <c r="D23" i="7"/>
  <c r="E23" i="7"/>
  <c r="F23" i="7"/>
  <c r="I23" i="7"/>
  <c r="K23" i="7"/>
  <c r="L23" i="7"/>
  <c r="M23" i="7"/>
  <c r="N23" i="7"/>
  <c r="O23" i="7"/>
  <c r="P23" i="7"/>
  <c r="Q23" i="7"/>
  <c r="S23" i="7"/>
  <c r="T23" i="7"/>
  <c r="U23" i="7"/>
  <c r="X23" i="7"/>
  <c r="Z23" i="7"/>
  <c r="AA23" i="7"/>
  <c r="AB23" i="7"/>
  <c r="AC23" i="7"/>
  <c r="AD23" i="7"/>
  <c r="AE23" i="7"/>
  <c r="AF23" i="7"/>
  <c r="AH23" i="7"/>
  <c r="AI23" i="7"/>
  <c r="AJ23" i="7"/>
  <c r="AM23" i="7"/>
  <c r="AO23" i="7"/>
  <c r="AP23" i="7"/>
  <c r="AQ23" i="7"/>
  <c r="AR23" i="7"/>
  <c r="AS23" i="7"/>
  <c r="AT23" i="7"/>
  <c r="AU23" i="7"/>
  <c r="D24" i="7"/>
  <c r="E24" i="7"/>
  <c r="F24" i="7"/>
  <c r="I24" i="7"/>
  <c r="K24" i="7"/>
  <c r="L24" i="7"/>
  <c r="M24" i="7"/>
  <c r="N24" i="7"/>
  <c r="O24" i="7"/>
  <c r="P24" i="7"/>
  <c r="Q24" i="7"/>
  <c r="S24" i="7"/>
  <c r="T24" i="7"/>
  <c r="U24" i="7"/>
  <c r="X24" i="7"/>
  <c r="Z24" i="7"/>
  <c r="AA24" i="7"/>
  <c r="AB24" i="7"/>
  <c r="AC24" i="7"/>
  <c r="AD24" i="7"/>
  <c r="AE24" i="7"/>
  <c r="AF24" i="7"/>
  <c r="AH24" i="7"/>
  <c r="AI24" i="7"/>
  <c r="AJ24" i="7"/>
  <c r="AM24" i="7"/>
  <c r="AO24" i="7"/>
  <c r="AP24" i="7"/>
  <c r="AQ24" i="7"/>
  <c r="AR24" i="7"/>
  <c r="AS24" i="7"/>
  <c r="AT24" i="7"/>
  <c r="AU24" i="7"/>
  <c r="D25" i="7"/>
  <c r="E25" i="7"/>
  <c r="F25" i="7"/>
  <c r="I25" i="7"/>
  <c r="K25" i="7"/>
  <c r="L25" i="7"/>
  <c r="M25" i="7"/>
  <c r="N25" i="7"/>
  <c r="O25" i="7"/>
  <c r="P25" i="7"/>
  <c r="Q25" i="7"/>
  <c r="S25" i="7"/>
  <c r="T25" i="7"/>
  <c r="U25" i="7"/>
  <c r="X25" i="7"/>
  <c r="Z25" i="7"/>
  <c r="AA25" i="7"/>
  <c r="AB25" i="7"/>
  <c r="AC25" i="7"/>
  <c r="AD25" i="7"/>
  <c r="AE25" i="7"/>
  <c r="AF25" i="7"/>
  <c r="AH25" i="7"/>
  <c r="AI25" i="7"/>
  <c r="AJ25" i="7"/>
  <c r="AM25" i="7"/>
  <c r="AO25" i="7"/>
  <c r="AP25" i="7"/>
  <c r="AQ25" i="7"/>
  <c r="AR25" i="7"/>
  <c r="AS25" i="7"/>
  <c r="AT25" i="7"/>
  <c r="AU25" i="7"/>
  <c r="D26" i="7"/>
  <c r="E26" i="7"/>
  <c r="F26" i="7"/>
  <c r="I26" i="7"/>
  <c r="K26" i="7"/>
  <c r="L26" i="7"/>
  <c r="M26" i="7"/>
  <c r="N26" i="7"/>
  <c r="O26" i="7"/>
  <c r="P26" i="7"/>
  <c r="Q26" i="7"/>
  <c r="S26" i="7"/>
  <c r="T26" i="7"/>
  <c r="U26" i="7"/>
  <c r="X26" i="7"/>
  <c r="Z26" i="7"/>
  <c r="AA26" i="7"/>
  <c r="AB26" i="7"/>
  <c r="AC26" i="7"/>
  <c r="AD26" i="7"/>
  <c r="AE26" i="7"/>
  <c r="AF26" i="7"/>
  <c r="AH26" i="7"/>
  <c r="AI26" i="7"/>
  <c r="AJ26" i="7"/>
  <c r="AM26" i="7"/>
  <c r="AO26" i="7"/>
  <c r="AP26" i="7"/>
  <c r="AQ26" i="7"/>
  <c r="AR26" i="7"/>
  <c r="AS26" i="7"/>
  <c r="AT26" i="7"/>
  <c r="AU26" i="7"/>
  <c r="D27" i="7"/>
  <c r="E27" i="7"/>
  <c r="F27" i="7"/>
  <c r="I27" i="7"/>
  <c r="K27" i="7"/>
  <c r="L27" i="7"/>
  <c r="M27" i="7"/>
  <c r="N27" i="7"/>
  <c r="O27" i="7"/>
  <c r="P27" i="7"/>
  <c r="Q27" i="7"/>
  <c r="S27" i="7"/>
  <c r="T27" i="7"/>
  <c r="U27" i="7"/>
  <c r="X27" i="7"/>
  <c r="Z27" i="7"/>
  <c r="AA27" i="7"/>
  <c r="AB27" i="7"/>
  <c r="AC27" i="7"/>
  <c r="AD27" i="7"/>
  <c r="AE27" i="7"/>
  <c r="AF27" i="7"/>
  <c r="AH27" i="7"/>
  <c r="AI27" i="7"/>
  <c r="AJ27" i="7"/>
  <c r="AM27" i="7"/>
  <c r="AO27" i="7"/>
  <c r="AP27" i="7"/>
  <c r="AQ27" i="7"/>
  <c r="AR27" i="7"/>
  <c r="AS27" i="7"/>
  <c r="AT27" i="7"/>
  <c r="AU27" i="7"/>
  <c r="D28" i="7"/>
  <c r="E28" i="7"/>
  <c r="F28" i="7"/>
  <c r="I28" i="7"/>
  <c r="K28" i="7"/>
  <c r="L28" i="7"/>
  <c r="M28" i="7"/>
  <c r="N28" i="7"/>
  <c r="O28" i="7"/>
  <c r="P28" i="7"/>
  <c r="Q28" i="7"/>
  <c r="S28" i="7"/>
  <c r="T28" i="7"/>
  <c r="U28" i="7"/>
  <c r="X28" i="7"/>
  <c r="Z28" i="7"/>
  <c r="AA28" i="7"/>
  <c r="AB28" i="7"/>
  <c r="AC28" i="7"/>
  <c r="AD28" i="7"/>
  <c r="AE28" i="7"/>
  <c r="AF28" i="7"/>
  <c r="AH28" i="7"/>
  <c r="AI28" i="7"/>
  <c r="AJ28" i="7"/>
  <c r="AM28" i="7"/>
  <c r="AO28" i="7"/>
  <c r="AP28" i="7"/>
  <c r="AQ28" i="7"/>
  <c r="AR28" i="7"/>
  <c r="AS28" i="7"/>
  <c r="AT28" i="7"/>
  <c r="AU28" i="7"/>
  <c r="D29" i="7"/>
  <c r="E29" i="7"/>
  <c r="F29" i="7"/>
  <c r="I29" i="7"/>
  <c r="K29" i="7"/>
  <c r="L29" i="7"/>
  <c r="M29" i="7"/>
  <c r="N29" i="7"/>
  <c r="O29" i="7"/>
  <c r="P29" i="7"/>
  <c r="Q29" i="7"/>
  <c r="S29" i="7"/>
  <c r="T29" i="7"/>
  <c r="U29" i="7"/>
  <c r="X29" i="7"/>
  <c r="Z29" i="7"/>
  <c r="AA29" i="7"/>
  <c r="AB29" i="7"/>
  <c r="AC29" i="7"/>
  <c r="AD29" i="7"/>
  <c r="AE29" i="7"/>
  <c r="AF29" i="7"/>
  <c r="AH29" i="7"/>
  <c r="AI29" i="7"/>
  <c r="AJ29" i="7"/>
  <c r="AM29" i="7"/>
  <c r="AO29" i="7"/>
  <c r="AP29" i="7"/>
  <c r="AQ29" i="7"/>
  <c r="AR29" i="7"/>
  <c r="AS29" i="7"/>
  <c r="AT29" i="7"/>
  <c r="AU29" i="7"/>
  <c r="D30" i="7"/>
  <c r="E30" i="7"/>
  <c r="F30" i="7"/>
  <c r="I30" i="7"/>
  <c r="K30" i="7"/>
  <c r="L30" i="7"/>
  <c r="M30" i="7"/>
  <c r="N30" i="7"/>
  <c r="O30" i="7"/>
  <c r="P30" i="7"/>
  <c r="Q30" i="7"/>
  <c r="S30" i="7"/>
  <c r="T30" i="7"/>
  <c r="U30" i="7"/>
  <c r="X30" i="7"/>
  <c r="Z30" i="7"/>
  <c r="AA30" i="7"/>
  <c r="AB30" i="7"/>
  <c r="AC30" i="7"/>
  <c r="AD30" i="7"/>
  <c r="AE30" i="7"/>
  <c r="AF30" i="7"/>
  <c r="AH30" i="7"/>
  <c r="AI30" i="7"/>
  <c r="AJ30" i="7"/>
  <c r="AM30" i="7"/>
  <c r="AO30" i="7"/>
  <c r="AP30" i="7"/>
  <c r="AQ30" i="7"/>
  <c r="AR30" i="7"/>
  <c r="AS30" i="7"/>
  <c r="AT30" i="7"/>
  <c r="AU30" i="7"/>
  <c r="D31" i="7"/>
  <c r="E31" i="7"/>
  <c r="F31" i="7"/>
  <c r="I31" i="7"/>
  <c r="K31" i="7"/>
  <c r="L31" i="7"/>
  <c r="M31" i="7"/>
  <c r="N31" i="7"/>
  <c r="O31" i="7"/>
  <c r="P31" i="7"/>
  <c r="Q31" i="7"/>
  <c r="S31" i="7"/>
  <c r="T31" i="7"/>
  <c r="U31" i="7"/>
  <c r="X31" i="7"/>
  <c r="Z31" i="7"/>
  <c r="AA31" i="7"/>
  <c r="AB31" i="7"/>
  <c r="AC31" i="7"/>
  <c r="AD31" i="7"/>
  <c r="AE31" i="7"/>
  <c r="AF31" i="7"/>
  <c r="AH31" i="7"/>
  <c r="AI31" i="7"/>
  <c r="AJ31" i="7"/>
  <c r="AM31" i="7"/>
  <c r="AO31" i="7"/>
  <c r="AP31" i="7"/>
  <c r="AQ31" i="7"/>
  <c r="AR31" i="7"/>
  <c r="AS31" i="7"/>
  <c r="AT31" i="7"/>
  <c r="AU31" i="7"/>
  <c r="D32" i="7"/>
  <c r="E32" i="7"/>
  <c r="F32" i="7"/>
  <c r="I32" i="7"/>
  <c r="K32" i="7"/>
  <c r="L32" i="7"/>
  <c r="M32" i="7"/>
  <c r="N32" i="7"/>
  <c r="O32" i="7"/>
  <c r="P32" i="7"/>
  <c r="Q32" i="7"/>
  <c r="S32" i="7"/>
  <c r="T32" i="7"/>
  <c r="U32" i="7"/>
  <c r="X32" i="7"/>
  <c r="Z32" i="7"/>
  <c r="AA32" i="7"/>
  <c r="AB32" i="7"/>
  <c r="AC32" i="7"/>
  <c r="AD32" i="7"/>
  <c r="AE32" i="7"/>
  <c r="AF32" i="7"/>
  <c r="AH32" i="7"/>
  <c r="AI32" i="7"/>
  <c r="AJ32" i="7"/>
  <c r="AM32" i="7"/>
  <c r="AO32" i="7"/>
  <c r="AP32" i="7"/>
  <c r="AQ32" i="7"/>
  <c r="AR32" i="7"/>
  <c r="AS32" i="7"/>
  <c r="AT32" i="7"/>
  <c r="AU32" i="7"/>
  <c r="D33" i="7"/>
  <c r="E33" i="7"/>
  <c r="F33" i="7"/>
  <c r="I33" i="7"/>
  <c r="K33" i="7"/>
  <c r="L33" i="7"/>
  <c r="M33" i="7"/>
  <c r="N33" i="7"/>
  <c r="O33" i="7"/>
  <c r="P33" i="7"/>
  <c r="Q33" i="7"/>
  <c r="S33" i="7"/>
  <c r="T33" i="7"/>
  <c r="U33" i="7"/>
  <c r="X33" i="7"/>
  <c r="Z33" i="7"/>
  <c r="AA33" i="7"/>
  <c r="AB33" i="7"/>
  <c r="AC33" i="7"/>
  <c r="AD33" i="7"/>
  <c r="AE33" i="7"/>
  <c r="AF33" i="7"/>
  <c r="AH33" i="7"/>
  <c r="AI33" i="7"/>
  <c r="AJ33" i="7"/>
  <c r="AM33" i="7"/>
  <c r="AO33" i="7"/>
  <c r="AP33" i="7"/>
  <c r="AQ33" i="7"/>
  <c r="AR33" i="7"/>
  <c r="AS33" i="7"/>
  <c r="AT33" i="7"/>
  <c r="AU33" i="7"/>
  <c r="D34" i="7"/>
  <c r="E34" i="7"/>
  <c r="F34" i="7"/>
  <c r="I34" i="7"/>
  <c r="K34" i="7"/>
  <c r="L34" i="7"/>
  <c r="M34" i="7"/>
  <c r="N34" i="7"/>
  <c r="O34" i="7"/>
  <c r="P34" i="7"/>
  <c r="Q34" i="7"/>
  <c r="S34" i="7"/>
  <c r="T34" i="7"/>
  <c r="U34" i="7"/>
  <c r="X34" i="7"/>
  <c r="Z34" i="7"/>
  <c r="AA34" i="7"/>
  <c r="AB34" i="7"/>
  <c r="AC34" i="7"/>
  <c r="AD34" i="7"/>
  <c r="AE34" i="7"/>
  <c r="AF34" i="7"/>
  <c r="AH34" i="7"/>
  <c r="AI34" i="7"/>
  <c r="AJ34" i="7"/>
  <c r="AM34" i="7"/>
  <c r="AO34" i="7"/>
  <c r="AP34" i="7"/>
  <c r="AQ34" i="7"/>
  <c r="AR34" i="7"/>
  <c r="AS34" i="7"/>
  <c r="AT34" i="7"/>
  <c r="AU34" i="7"/>
  <c r="D35" i="7"/>
  <c r="E35" i="7"/>
  <c r="F35" i="7"/>
  <c r="I35" i="7"/>
  <c r="K35" i="7"/>
  <c r="L35" i="7"/>
  <c r="M35" i="7"/>
  <c r="N35" i="7"/>
  <c r="O35" i="7"/>
  <c r="P35" i="7"/>
  <c r="Q35" i="7"/>
  <c r="S35" i="7"/>
  <c r="T35" i="7"/>
  <c r="U35" i="7"/>
  <c r="X35" i="7"/>
  <c r="Z35" i="7"/>
  <c r="AA35" i="7"/>
  <c r="AB35" i="7"/>
  <c r="AC35" i="7"/>
  <c r="AD35" i="7"/>
  <c r="AE35" i="7"/>
  <c r="AF35" i="7"/>
  <c r="AH35" i="7"/>
  <c r="AI35" i="7"/>
  <c r="AJ35" i="7"/>
  <c r="AM35" i="7"/>
  <c r="AO35" i="7"/>
  <c r="AP35" i="7"/>
  <c r="AQ35" i="7"/>
  <c r="AR35" i="7"/>
  <c r="AS35" i="7"/>
  <c r="AT35" i="7"/>
  <c r="AU35" i="7"/>
  <c r="D36" i="7"/>
  <c r="E36" i="7"/>
  <c r="F36" i="7"/>
  <c r="I36" i="7"/>
  <c r="K36" i="7"/>
  <c r="L36" i="7"/>
  <c r="M36" i="7"/>
  <c r="N36" i="7"/>
  <c r="O36" i="7"/>
  <c r="P36" i="7"/>
  <c r="Q36" i="7"/>
  <c r="S36" i="7"/>
  <c r="T36" i="7"/>
  <c r="U36" i="7"/>
  <c r="X36" i="7"/>
  <c r="Z36" i="7"/>
  <c r="AA36" i="7"/>
  <c r="AB36" i="7"/>
  <c r="AC36" i="7"/>
  <c r="AD36" i="7"/>
  <c r="AE36" i="7"/>
  <c r="AF36" i="7"/>
  <c r="AH36" i="7"/>
  <c r="AI36" i="7"/>
  <c r="AJ36" i="7"/>
  <c r="AM36" i="7"/>
  <c r="AO36" i="7"/>
  <c r="AP36" i="7"/>
  <c r="AQ36" i="7"/>
  <c r="AR36" i="7"/>
  <c r="AS36" i="7"/>
  <c r="AT36" i="7"/>
  <c r="AU36" i="7"/>
  <c r="D37" i="7"/>
  <c r="E37" i="7"/>
  <c r="F37" i="7"/>
  <c r="I37" i="7"/>
  <c r="K37" i="7"/>
  <c r="L37" i="7"/>
  <c r="M37" i="7"/>
  <c r="N37" i="7"/>
  <c r="O37" i="7"/>
  <c r="P37" i="7"/>
  <c r="Q37" i="7"/>
  <c r="S37" i="7"/>
  <c r="T37" i="7"/>
  <c r="U37" i="7"/>
  <c r="X37" i="7"/>
  <c r="Z37" i="7"/>
  <c r="AA37" i="7"/>
  <c r="AB37" i="7"/>
  <c r="AC37" i="7"/>
  <c r="AD37" i="7"/>
  <c r="AE37" i="7"/>
  <c r="AF37" i="7"/>
  <c r="AH37" i="7"/>
  <c r="AI37" i="7"/>
  <c r="AJ37" i="7"/>
  <c r="AM37" i="7"/>
  <c r="AO37" i="7"/>
  <c r="AP37" i="7"/>
  <c r="AQ37" i="7"/>
  <c r="AR37" i="7"/>
  <c r="AS37" i="7"/>
  <c r="AT37" i="7"/>
  <c r="AU37" i="7"/>
  <c r="D38" i="7"/>
  <c r="E38" i="7"/>
  <c r="F38" i="7"/>
  <c r="I38" i="7"/>
  <c r="K38" i="7"/>
  <c r="L38" i="7"/>
  <c r="M38" i="7"/>
  <c r="N38" i="7"/>
  <c r="O38" i="7"/>
  <c r="P38" i="7"/>
  <c r="Q38" i="7"/>
  <c r="S38" i="7"/>
  <c r="T38" i="7"/>
  <c r="U38" i="7"/>
  <c r="X38" i="7"/>
  <c r="Z38" i="7"/>
  <c r="AA38" i="7"/>
  <c r="AB38" i="7"/>
  <c r="AC38" i="7"/>
  <c r="AD38" i="7"/>
  <c r="AE38" i="7"/>
  <c r="AF38" i="7"/>
  <c r="AH38" i="7"/>
  <c r="AI38" i="7"/>
  <c r="AJ38" i="7"/>
  <c r="AM38" i="7"/>
  <c r="AO38" i="7"/>
  <c r="AP38" i="7"/>
  <c r="AQ38" i="7"/>
  <c r="AR38" i="7"/>
  <c r="AS38" i="7"/>
  <c r="AT38" i="7"/>
  <c r="AU38" i="7"/>
  <c r="D39" i="7"/>
  <c r="E39" i="7"/>
  <c r="F39" i="7"/>
  <c r="I39" i="7"/>
  <c r="K39" i="7"/>
  <c r="L39" i="7"/>
  <c r="M39" i="7"/>
  <c r="N39" i="7"/>
  <c r="O39" i="7"/>
  <c r="P39" i="7"/>
  <c r="Q39" i="7"/>
  <c r="S39" i="7"/>
  <c r="T39" i="7"/>
  <c r="U39" i="7"/>
  <c r="X39" i="7"/>
  <c r="Z39" i="7"/>
  <c r="AA39" i="7"/>
  <c r="AB39" i="7"/>
  <c r="AC39" i="7"/>
  <c r="AD39" i="7"/>
  <c r="AE39" i="7"/>
  <c r="AF39" i="7"/>
  <c r="AH39" i="7"/>
  <c r="AI39" i="7"/>
  <c r="AJ39" i="7"/>
  <c r="AM39" i="7"/>
  <c r="AO39" i="7"/>
  <c r="AP39" i="7"/>
  <c r="AQ39" i="7"/>
  <c r="AR39" i="7"/>
  <c r="AS39" i="7"/>
  <c r="AT39" i="7"/>
  <c r="AU39" i="7"/>
  <c r="D40" i="7"/>
  <c r="E40" i="7"/>
  <c r="F40" i="7"/>
  <c r="I40" i="7"/>
  <c r="K40" i="7"/>
  <c r="L40" i="7"/>
  <c r="M40" i="7"/>
  <c r="N40" i="7"/>
  <c r="O40" i="7"/>
  <c r="P40" i="7"/>
  <c r="Q40" i="7"/>
  <c r="S40" i="7"/>
  <c r="T40" i="7"/>
  <c r="U40" i="7"/>
  <c r="X40" i="7"/>
  <c r="Z40" i="7"/>
  <c r="AA40" i="7"/>
  <c r="AB40" i="7"/>
  <c r="AC40" i="7"/>
  <c r="AD40" i="7"/>
  <c r="AE40" i="7"/>
  <c r="AF40" i="7"/>
  <c r="AH40" i="7"/>
  <c r="AI40" i="7"/>
  <c r="AJ40" i="7"/>
  <c r="AM40" i="7"/>
  <c r="AO40" i="7"/>
  <c r="AP40" i="7"/>
  <c r="AQ40" i="7"/>
  <c r="AR40" i="7"/>
  <c r="AS40" i="7"/>
  <c r="AT40" i="7"/>
  <c r="AU40" i="7"/>
  <c r="D41" i="7"/>
  <c r="E41" i="7"/>
  <c r="F41" i="7"/>
  <c r="I41" i="7"/>
  <c r="K41" i="7"/>
  <c r="L41" i="7"/>
  <c r="M41" i="7"/>
  <c r="N41" i="7"/>
  <c r="O41" i="7"/>
  <c r="P41" i="7"/>
  <c r="Q41" i="7"/>
  <c r="S41" i="7"/>
  <c r="T41" i="7"/>
  <c r="U41" i="7"/>
  <c r="X41" i="7"/>
  <c r="Z41" i="7"/>
  <c r="AA41" i="7"/>
  <c r="AB41" i="7"/>
  <c r="AC41" i="7"/>
  <c r="AD41" i="7"/>
  <c r="AE41" i="7"/>
  <c r="AF41" i="7"/>
  <c r="AH41" i="7"/>
  <c r="AI41" i="7"/>
  <c r="AJ41" i="7"/>
  <c r="AM41" i="7"/>
  <c r="AO41" i="7"/>
  <c r="AP41" i="7"/>
  <c r="AQ41" i="7"/>
  <c r="AR41" i="7"/>
  <c r="AS41" i="7"/>
  <c r="AT41" i="7"/>
  <c r="AU41" i="7"/>
  <c r="D42" i="7"/>
  <c r="E42" i="7"/>
  <c r="F42" i="7"/>
  <c r="I42" i="7"/>
  <c r="K42" i="7"/>
  <c r="L42" i="7"/>
  <c r="M42" i="7"/>
  <c r="N42" i="7"/>
  <c r="O42" i="7"/>
  <c r="P42" i="7"/>
  <c r="Q42" i="7"/>
  <c r="S42" i="7"/>
  <c r="T42" i="7"/>
  <c r="U42" i="7"/>
  <c r="X42" i="7"/>
  <c r="Z42" i="7"/>
  <c r="AA42" i="7"/>
  <c r="AB42" i="7"/>
  <c r="AC42" i="7"/>
  <c r="AD42" i="7"/>
  <c r="AE42" i="7"/>
  <c r="AF42" i="7"/>
  <c r="AH42" i="7"/>
  <c r="AI42" i="7"/>
  <c r="AJ42" i="7"/>
  <c r="AM42" i="7"/>
  <c r="AO42" i="7"/>
  <c r="AP42" i="7"/>
  <c r="AQ42" i="7"/>
  <c r="AR42" i="7"/>
  <c r="AS42" i="7"/>
  <c r="AT42" i="7"/>
  <c r="AU42" i="7"/>
  <c r="D43" i="7"/>
  <c r="E43" i="7"/>
  <c r="F43" i="7"/>
  <c r="I43" i="7"/>
  <c r="K43" i="7"/>
  <c r="L43" i="7"/>
  <c r="M43" i="7"/>
  <c r="N43" i="7"/>
  <c r="O43" i="7"/>
  <c r="P43" i="7"/>
  <c r="Q43" i="7"/>
  <c r="S43" i="7"/>
  <c r="T43" i="7"/>
  <c r="U43" i="7"/>
  <c r="X43" i="7"/>
  <c r="Z43" i="7"/>
  <c r="AA43" i="7"/>
  <c r="AB43" i="7"/>
  <c r="AC43" i="7"/>
  <c r="AD43" i="7"/>
  <c r="AE43" i="7"/>
  <c r="AF43" i="7"/>
  <c r="AH43" i="7"/>
  <c r="AI43" i="7"/>
  <c r="AJ43" i="7"/>
  <c r="AM43" i="7"/>
  <c r="AO43" i="7"/>
  <c r="AP43" i="7"/>
  <c r="AQ43" i="7"/>
  <c r="AR43" i="7"/>
  <c r="AS43" i="7"/>
  <c r="AT43" i="7"/>
  <c r="AU43" i="7"/>
  <c r="D44" i="7"/>
  <c r="E44" i="7"/>
  <c r="F44" i="7"/>
  <c r="I44" i="7"/>
  <c r="K44" i="7"/>
  <c r="L44" i="7"/>
  <c r="M44" i="7"/>
  <c r="N44" i="7"/>
  <c r="O44" i="7"/>
  <c r="P44" i="7"/>
  <c r="Q44" i="7"/>
  <c r="S44" i="7"/>
  <c r="T44" i="7"/>
  <c r="U44" i="7"/>
  <c r="X44" i="7"/>
  <c r="Z44" i="7"/>
  <c r="AA44" i="7"/>
  <c r="AB44" i="7"/>
  <c r="AC44" i="7"/>
  <c r="AD44" i="7"/>
  <c r="AE44" i="7"/>
  <c r="AF44" i="7"/>
  <c r="AH44" i="7"/>
  <c r="AI44" i="7"/>
  <c r="AJ44" i="7"/>
  <c r="AM44" i="7"/>
  <c r="AO44" i="7"/>
  <c r="AP44" i="7"/>
  <c r="AQ44" i="7"/>
  <c r="AR44" i="7"/>
  <c r="AS44" i="7"/>
  <c r="AT44" i="7"/>
  <c r="AU44" i="7"/>
  <c r="D47" i="7"/>
  <c r="E47" i="7"/>
  <c r="F47" i="7"/>
  <c r="I47" i="7"/>
  <c r="K47" i="7"/>
  <c r="L47" i="7"/>
  <c r="M47" i="7"/>
  <c r="N47" i="7"/>
  <c r="O47" i="7"/>
  <c r="P47" i="7"/>
  <c r="Q47" i="7"/>
  <c r="S47" i="7"/>
  <c r="T47" i="7"/>
  <c r="U47" i="7"/>
  <c r="X47" i="7"/>
  <c r="Z47" i="7"/>
  <c r="AA47" i="7"/>
  <c r="AB47" i="7"/>
  <c r="AC47" i="7"/>
  <c r="AD47" i="7"/>
  <c r="AE47" i="7"/>
  <c r="AF47" i="7"/>
  <c r="AH47" i="7"/>
  <c r="AI47" i="7"/>
  <c r="AJ47" i="7"/>
  <c r="AM47" i="7"/>
  <c r="AO47" i="7"/>
  <c r="AP47" i="7"/>
  <c r="AQ47" i="7"/>
  <c r="AR47" i="7"/>
  <c r="AS47" i="7"/>
  <c r="AT47" i="7"/>
  <c r="AU47" i="7"/>
  <c r="D48" i="7"/>
  <c r="E48" i="7"/>
  <c r="F48" i="7"/>
  <c r="I48" i="7"/>
  <c r="K48" i="7"/>
  <c r="L48" i="7"/>
  <c r="M48" i="7"/>
  <c r="N48" i="7"/>
  <c r="O48" i="7"/>
  <c r="P48" i="7"/>
  <c r="Q48" i="7"/>
  <c r="S48" i="7"/>
  <c r="T48" i="7"/>
  <c r="U48" i="7"/>
  <c r="X48" i="7"/>
  <c r="Z48" i="7"/>
  <c r="AA48" i="7"/>
  <c r="AB48" i="7"/>
  <c r="AC48" i="7"/>
  <c r="AD48" i="7"/>
  <c r="AE48" i="7"/>
  <c r="AF48" i="7"/>
  <c r="AH48" i="7"/>
  <c r="AI48" i="7"/>
  <c r="AJ48" i="7"/>
  <c r="AM48" i="7"/>
  <c r="AO48" i="7"/>
  <c r="AP48" i="7"/>
  <c r="AQ48" i="7"/>
  <c r="AR48" i="7"/>
  <c r="AS48" i="7"/>
  <c r="AT48" i="7"/>
  <c r="AU48" i="7"/>
  <c r="D49" i="7"/>
  <c r="E49" i="7"/>
  <c r="F49" i="7"/>
  <c r="I49" i="7"/>
  <c r="K49" i="7"/>
  <c r="L49" i="7"/>
  <c r="M49" i="7"/>
  <c r="N49" i="7"/>
  <c r="O49" i="7"/>
  <c r="P49" i="7"/>
  <c r="Q49" i="7"/>
  <c r="S49" i="7"/>
  <c r="T49" i="7"/>
  <c r="U49" i="7"/>
  <c r="X49" i="7"/>
  <c r="Z49" i="7"/>
  <c r="AA49" i="7"/>
  <c r="AB49" i="7"/>
  <c r="AC49" i="7"/>
  <c r="AD49" i="7"/>
  <c r="AE49" i="7"/>
  <c r="AF49" i="7"/>
  <c r="AH49" i="7"/>
  <c r="AI49" i="7"/>
  <c r="AJ49" i="7"/>
  <c r="AM49" i="7"/>
  <c r="AO49" i="7"/>
  <c r="AP49" i="7"/>
  <c r="AQ49" i="7"/>
  <c r="AR49" i="7"/>
  <c r="AS49" i="7"/>
  <c r="AT49" i="7"/>
  <c r="AU49" i="7"/>
  <c r="D50" i="7"/>
  <c r="E50" i="7"/>
  <c r="F50" i="7"/>
  <c r="I50" i="7"/>
  <c r="K50" i="7"/>
  <c r="L50" i="7"/>
  <c r="M50" i="7"/>
  <c r="N50" i="7"/>
  <c r="O50" i="7"/>
  <c r="P50" i="7"/>
  <c r="Q50" i="7"/>
  <c r="S50" i="7"/>
  <c r="T50" i="7"/>
  <c r="U50" i="7"/>
  <c r="X50" i="7"/>
  <c r="Z50" i="7"/>
  <c r="AA50" i="7"/>
  <c r="AB50" i="7"/>
  <c r="AC50" i="7"/>
  <c r="AD50" i="7"/>
  <c r="AE50" i="7"/>
  <c r="AF50" i="7"/>
  <c r="AH50" i="7"/>
  <c r="AI50" i="7"/>
  <c r="AJ50" i="7"/>
  <c r="AM50" i="7"/>
  <c r="AO50" i="7"/>
  <c r="AP50" i="7"/>
  <c r="AQ50" i="7"/>
  <c r="AR50" i="7"/>
  <c r="AS50" i="7"/>
  <c r="AT50" i="7"/>
  <c r="AU50" i="7"/>
  <c r="D51" i="7"/>
  <c r="E51" i="7"/>
  <c r="F51" i="7"/>
  <c r="I51" i="7"/>
  <c r="K51" i="7"/>
  <c r="L51" i="7"/>
  <c r="M51" i="7"/>
  <c r="N51" i="7"/>
  <c r="O51" i="7"/>
  <c r="P51" i="7"/>
  <c r="Q51" i="7"/>
  <c r="S51" i="7"/>
  <c r="T51" i="7"/>
  <c r="U51" i="7"/>
  <c r="X51" i="7"/>
  <c r="Z51" i="7"/>
  <c r="AA51" i="7"/>
  <c r="AB51" i="7"/>
  <c r="AC51" i="7"/>
  <c r="AD51" i="7"/>
  <c r="AE51" i="7"/>
  <c r="AF51" i="7"/>
  <c r="AH51" i="7"/>
  <c r="AI51" i="7"/>
  <c r="AJ51" i="7"/>
  <c r="AM51" i="7"/>
  <c r="AO51" i="7"/>
  <c r="AP51" i="7"/>
  <c r="AQ51" i="7"/>
  <c r="AR51" i="7"/>
  <c r="AS51" i="7"/>
  <c r="AT51" i="7"/>
  <c r="AU51" i="7"/>
  <c r="D52" i="7"/>
  <c r="E52" i="7"/>
  <c r="F52" i="7"/>
  <c r="I52" i="7"/>
  <c r="K52" i="7"/>
  <c r="L52" i="7"/>
  <c r="M52" i="7"/>
  <c r="N52" i="7"/>
  <c r="O52" i="7"/>
  <c r="P52" i="7"/>
  <c r="Q52" i="7"/>
  <c r="S52" i="7"/>
  <c r="T52" i="7"/>
  <c r="U52" i="7"/>
  <c r="X52" i="7"/>
  <c r="Z52" i="7"/>
  <c r="AA52" i="7"/>
  <c r="AB52" i="7"/>
  <c r="AC52" i="7"/>
  <c r="AD52" i="7"/>
  <c r="AE52" i="7"/>
  <c r="AF52" i="7"/>
  <c r="AH52" i="7"/>
  <c r="AI52" i="7"/>
  <c r="AJ52" i="7"/>
  <c r="AM52" i="7"/>
  <c r="AO52" i="7"/>
  <c r="AP52" i="7"/>
  <c r="AQ52" i="7"/>
  <c r="AR52" i="7"/>
  <c r="AS52" i="7"/>
  <c r="AT52" i="7"/>
  <c r="AU52" i="7"/>
  <c r="D53" i="7"/>
  <c r="E53" i="7"/>
  <c r="F53" i="7"/>
  <c r="I53" i="7"/>
  <c r="K53" i="7"/>
  <c r="L53" i="7"/>
  <c r="M53" i="7"/>
  <c r="N53" i="7"/>
  <c r="O53" i="7"/>
  <c r="P53" i="7"/>
  <c r="Q53" i="7"/>
  <c r="S53" i="7"/>
  <c r="T53" i="7"/>
  <c r="U53" i="7"/>
  <c r="X53" i="7"/>
  <c r="Z53" i="7"/>
  <c r="AA53" i="7"/>
  <c r="AB53" i="7"/>
  <c r="AC53" i="7"/>
  <c r="AD53" i="7"/>
  <c r="AE53" i="7"/>
  <c r="AF53" i="7"/>
  <c r="AH53" i="7"/>
  <c r="AI53" i="7"/>
  <c r="AJ53" i="7"/>
  <c r="AM53" i="7"/>
  <c r="AO53" i="7"/>
  <c r="AP53" i="7"/>
  <c r="AQ53" i="7"/>
  <c r="AR53" i="7"/>
  <c r="AS53" i="7"/>
  <c r="AT53" i="7"/>
  <c r="AU53" i="7"/>
  <c r="D54" i="7"/>
  <c r="E54" i="7"/>
  <c r="F54" i="7"/>
  <c r="I54" i="7"/>
  <c r="K54" i="7"/>
  <c r="L54" i="7"/>
  <c r="M54" i="7"/>
  <c r="N54" i="7"/>
  <c r="O54" i="7"/>
  <c r="P54" i="7"/>
  <c r="Q54" i="7"/>
  <c r="S54" i="7"/>
  <c r="T54" i="7"/>
  <c r="U54" i="7"/>
  <c r="X54" i="7"/>
  <c r="Z54" i="7"/>
  <c r="AA54" i="7"/>
  <c r="AB54" i="7"/>
  <c r="AC54" i="7"/>
  <c r="AD54" i="7"/>
  <c r="AE54" i="7"/>
  <c r="AF54" i="7"/>
  <c r="AH54" i="7"/>
  <c r="AI54" i="7"/>
  <c r="AJ54" i="7"/>
  <c r="AM54" i="7"/>
  <c r="AO54" i="7"/>
  <c r="AP54" i="7"/>
  <c r="AQ54" i="7"/>
  <c r="AR54" i="7"/>
  <c r="AS54" i="7"/>
  <c r="AT54" i="7"/>
  <c r="AU54" i="7"/>
  <c r="D55" i="7"/>
  <c r="E55" i="7"/>
  <c r="F55" i="7"/>
  <c r="I55" i="7"/>
  <c r="K55" i="7"/>
  <c r="L55" i="7"/>
  <c r="M55" i="7"/>
  <c r="N55" i="7"/>
  <c r="O55" i="7"/>
  <c r="P55" i="7"/>
  <c r="Q55" i="7"/>
  <c r="S55" i="7"/>
  <c r="T55" i="7"/>
  <c r="U55" i="7"/>
  <c r="X55" i="7"/>
  <c r="Z55" i="7"/>
  <c r="AA55" i="7"/>
  <c r="AB55" i="7"/>
  <c r="AC55" i="7"/>
  <c r="AD55" i="7"/>
  <c r="AE55" i="7"/>
  <c r="AF55" i="7"/>
  <c r="AH55" i="7"/>
  <c r="AI55" i="7"/>
  <c r="AJ55" i="7"/>
  <c r="AM55" i="7"/>
  <c r="AO55" i="7"/>
  <c r="AP55" i="7"/>
  <c r="AQ55" i="7"/>
  <c r="AR55" i="7"/>
  <c r="AS55" i="7"/>
  <c r="AT55" i="7"/>
  <c r="AU55" i="7"/>
  <c r="D56" i="7"/>
  <c r="E56" i="7"/>
  <c r="F56" i="7"/>
  <c r="I56" i="7"/>
  <c r="K56" i="7"/>
  <c r="L56" i="7"/>
  <c r="M56" i="7"/>
  <c r="N56" i="7"/>
  <c r="O56" i="7"/>
  <c r="P56" i="7"/>
  <c r="Q56" i="7"/>
  <c r="S56" i="7"/>
  <c r="T56" i="7"/>
  <c r="U56" i="7"/>
  <c r="X56" i="7"/>
  <c r="Z56" i="7"/>
  <c r="AA56" i="7"/>
  <c r="AB56" i="7"/>
  <c r="AC56" i="7"/>
  <c r="AD56" i="7"/>
  <c r="AE56" i="7"/>
  <c r="AF56" i="7"/>
  <c r="AH56" i="7"/>
  <c r="AI56" i="7"/>
  <c r="AJ56" i="7"/>
  <c r="AM56" i="7"/>
  <c r="AO56" i="7"/>
  <c r="AP56" i="7"/>
  <c r="AQ56" i="7"/>
  <c r="AR56" i="7"/>
  <c r="AS56" i="7"/>
  <c r="AT56" i="7"/>
  <c r="AU56" i="7"/>
  <c r="D57" i="7"/>
  <c r="E57" i="7"/>
  <c r="F57" i="7"/>
  <c r="I57" i="7"/>
  <c r="K57" i="7"/>
  <c r="L57" i="7"/>
  <c r="M57" i="7"/>
  <c r="N57" i="7"/>
  <c r="O57" i="7"/>
  <c r="P57" i="7"/>
  <c r="Q57" i="7"/>
  <c r="S57" i="7"/>
  <c r="T57" i="7"/>
  <c r="U57" i="7"/>
  <c r="X57" i="7"/>
  <c r="Z57" i="7"/>
  <c r="AA57" i="7"/>
  <c r="AB57" i="7"/>
  <c r="AC57" i="7"/>
  <c r="AD57" i="7"/>
  <c r="AE57" i="7"/>
  <c r="AF57" i="7"/>
  <c r="AH57" i="7"/>
  <c r="AI57" i="7"/>
  <c r="AJ57" i="7"/>
  <c r="AM57" i="7"/>
  <c r="AO57" i="7"/>
  <c r="AP57" i="7"/>
  <c r="AQ57" i="7"/>
  <c r="AR57" i="7"/>
  <c r="AS57" i="7"/>
  <c r="AT57" i="7"/>
  <c r="AU57" i="7"/>
  <c r="D58" i="7"/>
  <c r="E58" i="7"/>
  <c r="F58" i="7"/>
  <c r="I58" i="7"/>
  <c r="K58" i="7"/>
  <c r="L58" i="7"/>
  <c r="M58" i="7"/>
  <c r="N58" i="7"/>
  <c r="O58" i="7"/>
  <c r="P58" i="7"/>
  <c r="Q58" i="7"/>
  <c r="S58" i="7"/>
  <c r="T58" i="7"/>
  <c r="U58" i="7"/>
  <c r="X58" i="7"/>
  <c r="Z58" i="7"/>
  <c r="AA58" i="7"/>
  <c r="AB58" i="7"/>
  <c r="AC58" i="7"/>
  <c r="AD58" i="7"/>
  <c r="AE58" i="7"/>
  <c r="AF58" i="7"/>
  <c r="AH58" i="7"/>
  <c r="AI58" i="7"/>
  <c r="AJ58" i="7"/>
  <c r="AM58" i="7"/>
  <c r="AO58" i="7"/>
  <c r="AP58" i="7"/>
  <c r="AQ58" i="7"/>
  <c r="AR58" i="7"/>
  <c r="AS58" i="7"/>
  <c r="AT58" i="7"/>
  <c r="AU58" i="7"/>
  <c r="D59" i="7"/>
  <c r="E59" i="7"/>
  <c r="F59" i="7"/>
  <c r="I59" i="7"/>
  <c r="K59" i="7"/>
  <c r="L59" i="7"/>
  <c r="M59" i="7"/>
  <c r="N59" i="7"/>
  <c r="O59" i="7"/>
  <c r="P59" i="7"/>
  <c r="Q59" i="7"/>
  <c r="S59" i="7"/>
  <c r="T59" i="7"/>
  <c r="U59" i="7"/>
  <c r="X59" i="7"/>
  <c r="Z59" i="7"/>
  <c r="AA59" i="7"/>
  <c r="AB59" i="7"/>
  <c r="AC59" i="7"/>
  <c r="AD59" i="7"/>
  <c r="AE59" i="7"/>
  <c r="AF59" i="7"/>
  <c r="AH59" i="7"/>
  <c r="AI59" i="7"/>
  <c r="AJ59" i="7"/>
  <c r="AM59" i="7"/>
  <c r="AO59" i="7"/>
  <c r="AP59" i="7"/>
  <c r="AQ59" i="7"/>
  <c r="AR59" i="7"/>
  <c r="AS59" i="7"/>
  <c r="AT59" i="7"/>
  <c r="AU59" i="7"/>
  <c r="D60" i="7"/>
  <c r="E60" i="7"/>
  <c r="F60" i="7"/>
  <c r="I60" i="7"/>
  <c r="K60" i="7"/>
  <c r="L60" i="7"/>
  <c r="M60" i="7"/>
  <c r="N60" i="7"/>
  <c r="O60" i="7"/>
  <c r="P60" i="7"/>
  <c r="Q60" i="7"/>
  <c r="S60" i="7"/>
  <c r="T60" i="7"/>
  <c r="U60" i="7"/>
  <c r="X60" i="7"/>
  <c r="Z60" i="7"/>
  <c r="AA60" i="7"/>
  <c r="AB60" i="7"/>
  <c r="AC60" i="7"/>
  <c r="AD60" i="7"/>
  <c r="AE60" i="7"/>
  <c r="AF60" i="7"/>
  <c r="AH60" i="7"/>
  <c r="AI60" i="7"/>
  <c r="AJ60" i="7"/>
  <c r="AM60" i="7"/>
  <c r="AO60" i="7"/>
  <c r="AP60" i="7"/>
  <c r="AQ60" i="7"/>
  <c r="AR60" i="7"/>
  <c r="AS60" i="7"/>
  <c r="AT60" i="7"/>
  <c r="AU60" i="7"/>
  <c r="D61" i="7"/>
  <c r="E61" i="7"/>
  <c r="F61" i="7"/>
  <c r="I61" i="7"/>
  <c r="K61" i="7"/>
  <c r="L61" i="7"/>
  <c r="M61" i="7"/>
  <c r="N61" i="7"/>
  <c r="O61" i="7"/>
  <c r="P61" i="7"/>
  <c r="Q61" i="7"/>
  <c r="S61" i="7"/>
  <c r="T61" i="7"/>
  <c r="U61" i="7"/>
  <c r="X61" i="7"/>
  <c r="Z61" i="7"/>
  <c r="AA61" i="7"/>
  <c r="AB61" i="7"/>
  <c r="AC61" i="7"/>
  <c r="AD61" i="7"/>
  <c r="AE61" i="7"/>
  <c r="AF61" i="7"/>
  <c r="AH61" i="7"/>
  <c r="AI61" i="7"/>
  <c r="AJ61" i="7"/>
  <c r="AM61" i="7"/>
  <c r="AO61" i="7"/>
  <c r="AP61" i="7"/>
  <c r="AQ61" i="7"/>
  <c r="AR61" i="7"/>
  <c r="AS61" i="7"/>
  <c r="AT61" i="7"/>
  <c r="AU61" i="7"/>
  <c r="D62" i="7"/>
  <c r="E62" i="7"/>
  <c r="F62" i="7"/>
  <c r="I62" i="7"/>
  <c r="K62" i="7"/>
  <c r="L62" i="7"/>
  <c r="M62" i="7"/>
  <c r="N62" i="7"/>
  <c r="O62" i="7"/>
  <c r="P62" i="7"/>
  <c r="Q62" i="7"/>
  <c r="S62" i="7"/>
  <c r="T62" i="7"/>
  <c r="U62" i="7"/>
  <c r="X62" i="7"/>
  <c r="Z62" i="7"/>
  <c r="AA62" i="7"/>
  <c r="AB62" i="7"/>
  <c r="AC62" i="7"/>
  <c r="AD62" i="7"/>
  <c r="AE62" i="7"/>
  <c r="AF62" i="7"/>
  <c r="AH62" i="7"/>
  <c r="AI62" i="7"/>
  <c r="AJ62" i="7"/>
  <c r="AM62" i="7"/>
  <c r="AO62" i="7"/>
  <c r="AP62" i="7"/>
  <c r="AQ62" i="7"/>
  <c r="AR62" i="7"/>
  <c r="AS62" i="7"/>
  <c r="AT62" i="7"/>
  <c r="AU62" i="7"/>
  <c r="D63" i="7"/>
  <c r="E63" i="7"/>
  <c r="F63" i="7"/>
  <c r="I63" i="7"/>
  <c r="K63" i="7"/>
  <c r="L63" i="7"/>
  <c r="M63" i="7"/>
  <c r="N63" i="7"/>
  <c r="O63" i="7"/>
  <c r="P63" i="7"/>
  <c r="Q63" i="7"/>
  <c r="S63" i="7"/>
  <c r="T63" i="7"/>
  <c r="U63" i="7"/>
  <c r="X63" i="7"/>
  <c r="Z63" i="7"/>
  <c r="AA63" i="7"/>
  <c r="AB63" i="7"/>
  <c r="AC63" i="7"/>
  <c r="AD63" i="7"/>
  <c r="AE63" i="7"/>
  <c r="AF63" i="7"/>
  <c r="AH63" i="7"/>
  <c r="AI63" i="7"/>
  <c r="AJ63" i="7"/>
  <c r="AM63" i="7"/>
  <c r="AO63" i="7"/>
  <c r="AP63" i="7"/>
  <c r="AQ63" i="7"/>
  <c r="AR63" i="7"/>
  <c r="AS63" i="7"/>
  <c r="AT63" i="7"/>
  <c r="AU63" i="7"/>
  <c r="D64" i="7"/>
  <c r="E64" i="7"/>
  <c r="F64" i="7"/>
  <c r="I64" i="7"/>
  <c r="K64" i="7"/>
  <c r="L64" i="7"/>
  <c r="M64" i="7"/>
  <c r="N64" i="7"/>
  <c r="O64" i="7"/>
  <c r="P64" i="7"/>
  <c r="Q64" i="7"/>
  <c r="S64" i="7"/>
  <c r="T64" i="7"/>
  <c r="U64" i="7"/>
  <c r="X64" i="7"/>
  <c r="Z64" i="7"/>
  <c r="AA64" i="7"/>
  <c r="AB64" i="7"/>
  <c r="AC64" i="7"/>
  <c r="AD64" i="7"/>
  <c r="AE64" i="7"/>
  <c r="AF64" i="7"/>
  <c r="AH64" i="7"/>
  <c r="AI64" i="7"/>
  <c r="AJ64" i="7"/>
  <c r="AM64" i="7"/>
  <c r="AO64" i="7"/>
  <c r="AP64" i="7"/>
  <c r="AQ64" i="7"/>
  <c r="AR64" i="7"/>
  <c r="AS64" i="7"/>
  <c r="AT64" i="7"/>
  <c r="AU64" i="7"/>
  <c r="D65" i="7"/>
  <c r="E65" i="7"/>
  <c r="F65" i="7"/>
  <c r="I65" i="7"/>
  <c r="K65" i="7"/>
  <c r="L65" i="7"/>
  <c r="M65" i="7"/>
  <c r="N65" i="7"/>
  <c r="O65" i="7"/>
  <c r="P65" i="7"/>
  <c r="Q65" i="7"/>
  <c r="S65" i="7"/>
  <c r="T65" i="7"/>
  <c r="U65" i="7"/>
  <c r="X65" i="7"/>
  <c r="Z65" i="7"/>
  <c r="AA65" i="7"/>
  <c r="AB65" i="7"/>
  <c r="AC65" i="7"/>
  <c r="AD65" i="7"/>
  <c r="AE65" i="7"/>
  <c r="AF65" i="7"/>
  <c r="AH65" i="7"/>
  <c r="AI65" i="7"/>
  <c r="AJ65" i="7"/>
  <c r="AM65" i="7"/>
  <c r="AO65" i="7"/>
  <c r="AP65" i="7"/>
  <c r="AQ65" i="7"/>
  <c r="AR65" i="7"/>
  <c r="AS65" i="7"/>
  <c r="AT65" i="7"/>
  <c r="AU65" i="7"/>
  <c r="D66" i="7"/>
  <c r="E66" i="7"/>
  <c r="F66" i="7"/>
  <c r="I66" i="7"/>
  <c r="K66" i="7"/>
  <c r="L66" i="7"/>
  <c r="M66" i="7"/>
  <c r="N66" i="7"/>
  <c r="O66" i="7"/>
  <c r="P66" i="7"/>
  <c r="Q66" i="7"/>
  <c r="S66" i="7"/>
  <c r="T66" i="7"/>
  <c r="U66" i="7"/>
  <c r="X66" i="7"/>
  <c r="Z66" i="7"/>
  <c r="AA66" i="7"/>
  <c r="AB66" i="7"/>
  <c r="AC66" i="7"/>
  <c r="AD66" i="7"/>
  <c r="AE66" i="7"/>
  <c r="AF66" i="7"/>
  <c r="AH66" i="7"/>
  <c r="AI66" i="7"/>
  <c r="AJ66" i="7"/>
  <c r="AM66" i="7"/>
  <c r="AO66" i="7"/>
  <c r="AP66" i="7"/>
  <c r="AQ66" i="7"/>
  <c r="AR66" i="7"/>
  <c r="AS66" i="7"/>
  <c r="AT66" i="7"/>
  <c r="AU66" i="7"/>
  <c r="D67" i="7"/>
  <c r="E67" i="7"/>
  <c r="F67" i="7"/>
  <c r="I67" i="7"/>
  <c r="K67" i="7"/>
  <c r="L67" i="7"/>
  <c r="M67" i="7"/>
  <c r="N67" i="7"/>
  <c r="O67" i="7"/>
  <c r="P67" i="7"/>
  <c r="Q67" i="7"/>
  <c r="S67" i="7"/>
  <c r="T67" i="7"/>
  <c r="U67" i="7"/>
  <c r="X67" i="7"/>
  <c r="Z67" i="7"/>
  <c r="AA67" i="7"/>
  <c r="AB67" i="7"/>
  <c r="AC67" i="7"/>
  <c r="AD67" i="7"/>
  <c r="AE67" i="7"/>
  <c r="AF67" i="7"/>
  <c r="AH67" i="7"/>
  <c r="AI67" i="7"/>
  <c r="AJ67" i="7"/>
  <c r="AM67" i="7"/>
  <c r="AO67" i="7"/>
  <c r="AP67" i="7"/>
  <c r="AQ67" i="7"/>
  <c r="AR67" i="7"/>
  <c r="AS67" i="7"/>
  <c r="AT67" i="7"/>
  <c r="AU67" i="7"/>
  <c r="D68" i="7"/>
  <c r="E68" i="7"/>
  <c r="F68" i="7"/>
  <c r="I68" i="7"/>
  <c r="K68" i="7"/>
  <c r="L68" i="7"/>
  <c r="M68" i="7"/>
  <c r="N68" i="7"/>
  <c r="O68" i="7"/>
  <c r="P68" i="7"/>
  <c r="Q68" i="7"/>
  <c r="S68" i="7"/>
  <c r="T68" i="7"/>
  <c r="U68" i="7"/>
  <c r="X68" i="7"/>
  <c r="Z68" i="7"/>
  <c r="AA68" i="7"/>
  <c r="AB68" i="7"/>
  <c r="AC68" i="7"/>
  <c r="AD68" i="7"/>
  <c r="AE68" i="7"/>
  <c r="AF68" i="7"/>
  <c r="AH68" i="7"/>
  <c r="AI68" i="7"/>
  <c r="AJ68" i="7"/>
  <c r="AM68" i="7"/>
  <c r="AO68" i="7"/>
  <c r="AP68" i="7"/>
  <c r="AQ68" i="7"/>
  <c r="AR68" i="7"/>
  <c r="AS68" i="7"/>
  <c r="AT68" i="7"/>
  <c r="AU68" i="7"/>
  <c r="D69" i="7"/>
  <c r="E69" i="7"/>
  <c r="F69" i="7"/>
  <c r="I69" i="7"/>
  <c r="K69" i="7"/>
  <c r="L69" i="7"/>
  <c r="M69" i="7"/>
  <c r="N69" i="7"/>
  <c r="O69" i="7"/>
  <c r="P69" i="7"/>
  <c r="Q69" i="7"/>
  <c r="S69" i="7"/>
  <c r="T69" i="7"/>
  <c r="U69" i="7"/>
  <c r="X69" i="7"/>
  <c r="Z69" i="7"/>
  <c r="AA69" i="7"/>
  <c r="AB69" i="7"/>
  <c r="AC69" i="7"/>
  <c r="AD69" i="7"/>
  <c r="AE69" i="7"/>
  <c r="AF69" i="7"/>
  <c r="AH69" i="7"/>
  <c r="AI69" i="7"/>
  <c r="AJ69" i="7"/>
  <c r="AM69" i="7"/>
  <c r="AO69" i="7"/>
  <c r="AP69" i="7"/>
  <c r="AQ69" i="7"/>
  <c r="AR69" i="7"/>
  <c r="AS69" i="7"/>
  <c r="AT69" i="7"/>
  <c r="AU69" i="7"/>
  <c r="D70" i="7"/>
  <c r="E70" i="7"/>
  <c r="F70" i="7"/>
  <c r="I70" i="7"/>
  <c r="K70" i="7"/>
  <c r="L70" i="7"/>
  <c r="M70" i="7"/>
  <c r="N70" i="7"/>
  <c r="O70" i="7"/>
  <c r="P70" i="7"/>
  <c r="Q70" i="7"/>
  <c r="S70" i="7"/>
  <c r="T70" i="7"/>
  <c r="U70" i="7"/>
  <c r="X70" i="7"/>
  <c r="Z70" i="7"/>
  <c r="AA70" i="7"/>
  <c r="AB70" i="7"/>
  <c r="AC70" i="7"/>
  <c r="AD70" i="7"/>
  <c r="AE70" i="7"/>
  <c r="AF70" i="7"/>
  <c r="AH70" i="7"/>
  <c r="AI70" i="7"/>
  <c r="AJ70" i="7"/>
  <c r="AM70" i="7"/>
  <c r="AO70" i="7"/>
  <c r="AP70" i="7"/>
  <c r="AQ70" i="7"/>
  <c r="AR70" i="7"/>
  <c r="AS70" i="7"/>
  <c r="AT70" i="7"/>
  <c r="AU70" i="7"/>
  <c r="D71" i="7"/>
  <c r="E71" i="7"/>
  <c r="F71" i="7"/>
  <c r="I71" i="7"/>
  <c r="K71" i="7"/>
  <c r="L71" i="7"/>
  <c r="M71" i="7"/>
  <c r="N71" i="7"/>
  <c r="O71" i="7"/>
  <c r="P71" i="7"/>
  <c r="Q71" i="7"/>
  <c r="S71" i="7"/>
  <c r="T71" i="7"/>
  <c r="U71" i="7"/>
  <c r="X71" i="7"/>
  <c r="Z71" i="7"/>
  <c r="AA71" i="7"/>
  <c r="AB71" i="7"/>
  <c r="AC71" i="7"/>
  <c r="AD71" i="7"/>
  <c r="AE71" i="7"/>
  <c r="AF71" i="7"/>
  <c r="AH71" i="7"/>
  <c r="AI71" i="7"/>
  <c r="AJ71" i="7"/>
  <c r="AM71" i="7"/>
  <c r="AO71" i="7"/>
  <c r="AP71" i="7"/>
  <c r="AQ71" i="7"/>
  <c r="AR71" i="7"/>
  <c r="AS71" i="7"/>
  <c r="AT71" i="7"/>
  <c r="AU71" i="7"/>
  <c r="D72" i="7"/>
  <c r="E72" i="7"/>
  <c r="F72" i="7"/>
  <c r="I72" i="7"/>
  <c r="K72" i="7"/>
  <c r="L72" i="7"/>
  <c r="M72" i="7"/>
  <c r="N72" i="7"/>
  <c r="O72" i="7"/>
  <c r="P72" i="7"/>
  <c r="Q72" i="7"/>
  <c r="S72" i="7"/>
  <c r="T72" i="7"/>
  <c r="U72" i="7"/>
  <c r="X72" i="7"/>
  <c r="Z72" i="7"/>
  <c r="AA72" i="7"/>
  <c r="AB72" i="7"/>
  <c r="AC72" i="7"/>
  <c r="AD72" i="7"/>
  <c r="AE72" i="7"/>
  <c r="AF72" i="7"/>
  <c r="AH72" i="7"/>
  <c r="AI72" i="7"/>
  <c r="AJ72" i="7"/>
  <c r="AM72" i="7"/>
  <c r="AO72" i="7"/>
  <c r="AP72" i="7"/>
  <c r="AQ72" i="7"/>
  <c r="AR72" i="7"/>
  <c r="AS72" i="7"/>
  <c r="AT72" i="7"/>
  <c r="AU72" i="7"/>
  <c r="D73" i="7"/>
  <c r="E73" i="7"/>
  <c r="F73" i="7"/>
  <c r="I73" i="7"/>
  <c r="K73" i="7"/>
  <c r="L73" i="7"/>
  <c r="M73" i="7"/>
  <c r="N73" i="7"/>
  <c r="O73" i="7"/>
  <c r="P73" i="7"/>
  <c r="Q73" i="7"/>
  <c r="S73" i="7"/>
  <c r="T73" i="7"/>
  <c r="U73" i="7"/>
  <c r="X73" i="7"/>
  <c r="Z73" i="7"/>
  <c r="AA73" i="7"/>
  <c r="AB73" i="7"/>
  <c r="AC73" i="7"/>
  <c r="AD73" i="7"/>
  <c r="AE73" i="7"/>
  <c r="AF73" i="7"/>
  <c r="AH73" i="7"/>
  <c r="AI73" i="7"/>
  <c r="AJ73" i="7"/>
  <c r="AM73" i="7"/>
  <c r="AO73" i="7"/>
  <c r="AP73" i="7"/>
  <c r="AQ73" i="7"/>
  <c r="AR73" i="7"/>
  <c r="AS73" i="7"/>
  <c r="AT73" i="7"/>
  <c r="AU73" i="7"/>
  <c r="D74" i="7"/>
  <c r="E74" i="7"/>
  <c r="F74" i="7"/>
  <c r="I74" i="7"/>
  <c r="K74" i="7"/>
  <c r="L74" i="7"/>
  <c r="M74" i="7"/>
  <c r="N74" i="7"/>
  <c r="O74" i="7"/>
  <c r="P74" i="7"/>
  <c r="Q74" i="7"/>
  <c r="S74" i="7"/>
  <c r="T74" i="7"/>
  <c r="U74" i="7"/>
  <c r="X74" i="7"/>
  <c r="Z74" i="7"/>
  <c r="AA74" i="7"/>
  <c r="AB74" i="7"/>
  <c r="AC74" i="7"/>
  <c r="AD74" i="7"/>
  <c r="AE74" i="7"/>
  <c r="AF74" i="7"/>
  <c r="AH74" i="7"/>
  <c r="AI74" i="7"/>
  <c r="AJ74" i="7"/>
  <c r="AM74" i="7"/>
  <c r="AO74" i="7"/>
  <c r="AP74" i="7"/>
  <c r="AQ74" i="7"/>
  <c r="AR74" i="7"/>
  <c r="AS74" i="7"/>
  <c r="AT74" i="7"/>
  <c r="AU74" i="7"/>
  <c r="D75" i="7"/>
  <c r="E75" i="7"/>
  <c r="F75" i="7"/>
  <c r="I75" i="7"/>
  <c r="K75" i="7"/>
  <c r="L75" i="7"/>
  <c r="M75" i="7"/>
  <c r="N75" i="7"/>
  <c r="O75" i="7"/>
  <c r="P75" i="7"/>
  <c r="Q75" i="7"/>
  <c r="S75" i="7"/>
  <c r="T75" i="7"/>
  <c r="U75" i="7"/>
  <c r="X75" i="7"/>
  <c r="Z75" i="7"/>
  <c r="AA75" i="7"/>
  <c r="AB75" i="7"/>
  <c r="AC75" i="7"/>
  <c r="AD75" i="7"/>
  <c r="AE75" i="7"/>
  <c r="AF75" i="7"/>
  <c r="AH75" i="7"/>
  <c r="AI75" i="7"/>
  <c r="AJ75" i="7"/>
  <c r="AM75" i="7"/>
  <c r="AO75" i="7"/>
  <c r="AP75" i="7"/>
  <c r="AQ75" i="7"/>
  <c r="AR75" i="7"/>
  <c r="AS75" i="7"/>
  <c r="AT75" i="7"/>
  <c r="AU75" i="7"/>
  <c r="D76" i="7"/>
  <c r="E76" i="7"/>
  <c r="F76" i="7"/>
  <c r="I76" i="7"/>
  <c r="K76" i="7"/>
  <c r="L76" i="7"/>
  <c r="M76" i="7"/>
  <c r="N76" i="7"/>
  <c r="O76" i="7"/>
  <c r="P76" i="7"/>
  <c r="Q76" i="7"/>
  <c r="S76" i="7"/>
  <c r="T76" i="7"/>
  <c r="U76" i="7"/>
  <c r="X76" i="7"/>
  <c r="Z76" i="7"/>
  <c r="AA76" i="7"/>
  <c r="AB76" i="7"/>
  <c r="AC76" i="7"/>
  <c r="AD76" i="7"/>
  <c r="AE76" i="7"/>
  <c r="AF76" i="7"/>
  <c r="AH76" i="7"/>
  <c r="AI76" i="7"/>
  <c r="AJ76" i="7"/>
  <c r="AM76" i="7"/>
  <c r="AO76" i="7"/>
  <c r="AP76" i="7"/>
  <c r="AQ76" i="7"/>
  <c r="AR76" i="7"/>
  <c r="AS76" i="7"/>
  <c r="AT76" i="7"/>
  <c r="AU76" i="7"/>
  <c r="D77" i="7"/>
  <c r="E77" i="7"/>
  <c r="F77" i="7"/>
  <c r="I77" i="7"/>
  <c r="K77" i="7"/>
  <c r="L77" i="7"/>
  <c r="M77" i="7"/>
  <c r="N77" i="7"/>
  <c r="O77" i="7"/>
  <c r="P77" i="7"/>
  <c r="Q77" i="7"/>
  <c r="S77" i="7"/>
  <c r="T77" i="7"/>
  <c r="U77" i="7"/>
  <c r="X77" i="7"/>
  <c r="Z77" i="7"/>
  <c r="AA77" i="7"/>
  <c r="AB77" i="7"/>
  <c r="AC77" i="7"/>
  <c r="AD77" i="7"/>
  <c r="AE77" i="7"/>
  <c r="AF77" i="7"/>
  <c r="AH77" i="7"/>
  <c r="AI77" i="7"/>
  <c r="AJ77" i="7"/>
  <c r="AM77" i="7"/>
  <c r="AO77" i="7"/>
  <c r="AP77" i="7"/>
  <c r="AQ77" i="7"/>
  <c r="AR77" i="7"/>
  <c r="AS77" i="7"/>
  <c r="AT77" i="7"/>
  <c r="AU77" i="7"/>
  <c r="D78" i="7"/>
  <c r="E78" i="7"/>
  <c r="F78" i="7"/>
  <c r="I78" i="7"/>
  <c r="K78" i="7"/>
  <c r="L78" i="7"/>
  <c r="M78" i="7"/>
  <c r="N78" i="7"/>
  <c r="O78" i="7"/>
  <c r="P78" i="7"/>
  <c r="Q78" i="7"/>
  <c r="S78" i="7"/>
  <c r="T78" i="7"/>
  <c r="U78" i="7"/>
  <c r="X78" i="7"/>
  <c r="Z78" i="7"/>
  <c r="AA78" i="7"/>
  <c r="AB78" i="7"/>
  <c r="AC78" i="7"/>
  <c r="AD78" i="7"/>
  <c r="AE78" i="7"/>
  <c r="AF78" i="7"/>
  <c r="AH78" i="7"/>
  <c r="AI78" i="7"/>
  <c r="AJ78" i="7"/>
  <c r="AM78" i="7"/>
  <c r="AO78" i="7"/>
  <c r="AP78" i="7"/>
  <c r="AQ78" i="7"/>
  <c r="AR78" i="7"/>
  <c r="AS78" i="7"/>
  <c r="AT78" i="7"/>
  <c r="AU78" i="7"/>
  <c r="D79" i="7"/>
  <c r="E79" i="7"/>
  <c r="F79" i="7"/>
  <c r="I79" i="7"/>
  <c r="K79" i="7"/>
  <c r="L79" i="7"/>
  <c r="M79" i="7"/>
  <c r="N79" i="7"/>
  <c r="O79" i="7"/>
  <c r="P79" i="7"/>
  <c r="Q79" i="7"/>
  <c r="S79" i="7"/>
  <c r="T79" i="7"/>
  <c r="U79" i="7"/>
  <c r="X79" i="7"/>
  <c r="Z79" i="7"/>
  <c r="AA79" i="7"/>
  <c r="AB79" i="7"/>
  <c r="AC79" i="7"/>
  <c r="AD79" i="7"/>
  <c r="AE79" i="7"/>
  <c r="AF79" i="7"/>
  <c r="AH79" i="7"/>
  <c r="AI79" i="7"/>
  <c r="AJ79" i="7"/>
  <c r="AM79" i="7"/>
  <c r="AO79" i="7"/>
  <c r="AP79" i="7"/>
  <c r="AQ79" i="7"/>
  <c r="AR79" i="7"/>
  <c r="AS79" i="7"/>
  <c r="AT79" i="7"/>
  <c r="AU79" i="7"/>
  <c r="D80" i="7"/>
  <c r="E80" i="7"/>
  <c r="F80" i="7"/>
  <c r="I80" i="7"/>
  <c r="K80" i="7"/>
  <c r="L80" i="7"/>
  <c r="M80" i="7"/>
  <c r="N80" i="7"/>
  <c r="O80" i="7"/>
  <c r="P80" i="7"/>
  <c r="Q80" i="7"/>
  <c r="S80" i="7"/>
  <c r="T80" i="7"/>
  <c r="U80" i="7"/>
  <c r="X80" i="7"/>
  <c r="Z80" i="7"/>
  <c r="AA80" i="7"/>
  <c r="AB80" i="7"/>
  <c r="AC80" i="7"/>
  <c r="AD80" i="7"/>
  <c r="AE80" i="7"/>
  <c r="AF80" i="7"/>
  <c r="AH80" i="7"/>
  <c r="AI80" i="7"/>
  <c r="AJ80" i="7"/>
  <c r="AM80" i="7"/>
  <c r="AO80" i="7"/>
  <c r="AP80" i="7"/>
  <c r="AQ80" i="7"/>
  <c r="AR80" i="7"/>
  <c r="AS80" i="7"/>
  <c r="AT80" i="7"/>
  <c r="AU80" i="7"/>
  <c r="D81" i="7"/>
  <c r="E81" i="7"/>
  <c r="F81" i="7"/>
  <c r="I81" i="7"/>
  <c r="K81" i="7"/>
  <c r="L81" i="7"/>
  <c r="M81" i="7"/>
  <c r="N81" i="7"/>
  <c r="O81" i="7"/>
  <c r="P81" i="7"/>
  <c r="Q81" i="7"/>
  <c r="S81" i="7"/>
  <c r="T81" i="7"/>
  <c r="U81" i="7"/>
  <c r="X81" i="7"/>
  <c r="Z81" i="7"/>
  <c r="AA81" i="7"/>
  <c r="AB81" i="7"/>
  <c r="AC81" i="7"/>
  <c r="AD81" i="7"/>
  <c r="AE81" i="7"/>
  <c r="AF81" i="7"/>
  <c r="AH81" i="7"/>
  <c r="AI81" i="7"/>
  <c r="AJ81" i="7"/>
  <c r="AM81" i="7"/>
  <c r="AO81" i="7"/>
  <c r="AP81" i="7"/>
  <c r="AQ81" i="7"/>
  <c r="AR81" i="7"/>
  <c r="AS81" i="7"/>
  <c r="AT81" i="7"/>
  <c r="AU81" i="7"/>
  <c r="D82" i="7"/>
  <c r="E82" i="7"/>
  <c r="F82" i="7"/>
  <c r="I82" i="7"/>
  <c r="K82" i="7"/>
  <c r="L82" i="7"/>
  <c r="M82" i="7"/>
  <c r="N82" i="7"/>
  <c r="O82" i="7"/>
  <c r="P82" i="7"/>
  <c r="Q82" i="7"/>
  <c r="S82" i="7"/>
  <c r="T82" i="7"/>
  <c r="U82" i="7"/>
  <c r="X82" i="7"/>
  <c r="Z82" i="7"/>
  <c r="AA82" i="7"/>
  <c r="AB82" i="7"/>
  <c r="AC82" i="7"/>
  <c r="AD82" i="7"/>
  <c r="AE82" i="7"/>
  <c r="AF82" i="7"/>
  <c r="AH82" i="7"/>
  <c r="AI82" i="7"/>
  <c r="AJ82" i="7"/>
  <c r="AM82" i="7"/>
  <c r="AO82" i="7"/>
  <c r="AP82" i="7"/>
  <c r="AQ82" i="7"/>
  <c r="AR82" i="7"/>
  <c r="AS82" i="7"/>
  <c r="AT82" i="7"/>
  <c r="AU82" i="7"/>
  <c r="D83" i="7"/>
  <c r="E83" i="7"/>
  <c r="F83" i="7"/>
  <c r="I83" i="7"/>
  <c r="K83" i="7"/>
  <c r="L83" i="7"/>
  <c r="M83" i="7"/>
  <c r="N83" i="7"/>
  <c r="O83" i="7"/>
  <c r="P83" i="7"/>
  <c r="Q83" i="7"/>
  <c r="S83" i="7"/>
  <c r="T83" i="7"/>
  <c r="U83" i="7"/>
  <c r="X83" i="7"/>
  <c r="Z83" i="7"/>
  <c r="AA83" i="7"/>
  <c r="AB83" i="7"/>
  <c r="AC83" i="7"/>
  <c r="AD83" i="7"/>
  <c r="AE83" i="7"/>
  <c r="AF83" i="7"/>
  <c r="AH83" i="7"/>
  <c r="AI83" i="7"/>
  <c r="AJ83" i="7"/>
  <c r="AM83" i="7"/>
  <c r="AO83" i="7"/>
  <c r="AP83" i="7"/>
  <c r="AQ83" i="7"/>
  <c r="AR83" i="7"/>
  <c r="AS83" i="7"/>
  <c r="AT83" i="7"/>
  <c r="AU83" i="7"/>
  <c r="D84" i="7"/>
  <c r="E84" i="7"/>
  <c r="F84" i="7"/>
  <c r="I84" i="7"/>
  <c r="K84" i="7"/>
  <c r="L84" i="7"/>
  <c r="M84" i="7"/>
  <c r="N84" i="7"/>
  <c r="O84" i="7"/>
  <c r="P84" i="7"/>
  <c r="Q84" i="7"/>
  <c r="S84" i="7"/>
  <c r="T84" i="7"/>
  <c r="U84" i="7"/>
  <c r="X84" i="7"/>
  <c r="Z84" i="7"/>
  <c r="AA84" i="7"/>
  <c r="AB84" i="7"/>
  <c r="AC84" i="7"/>
  <c r="AD84" i="7"/>
  <c r="AE84" i="7"/>
  <c r="AF84" i="7"/>
  <c r="AH84" i="7"/>
  <c r="AI84" i="7"/>
  <c r="AJ84" i="7"/>
  <c r="AM84" i="7"/>
  <c r="AO84" i="7"/>
  <c r="AP84" i="7"/>
  <c r="AQ84" i="7"/>
  <c r="AR84" i="7"/>
  <c r="AS84" i="7"/>
  <c r="AT84" i="7"/>
  <c r="AU84" i="7"/>
  <c r="D85" i="7"/>
  <c r="E85" i="7"/>
  <c r="F85" i="7"/>
  <c r="I85" i="7"/>
  <c r="K85" i="7"/>
  <c r="L85" i="7"/>
  <c r="M85" i="7"/>
  <c r="N85" i="7"/>
  <c r="O85" i="7"/>
  <c r="P85" i="7"/>
  <c r="Q85" i="7"/>
  <c r="S85" i="7"/>
  <c r="T85" i="7"/>
  <c r="U85" i="7"/>
  <c r="X85" i="7"/>
  <c r="Z85" i="7"/>
  <c r="AA85" i="7"/>
  <c r="AB85" i="7"/>
  <c r="AC85" i="7"/>
  <c r="AD85" i="7"/>
  <c r="AE85" i="7"/>
  <c r="AF85" i="7"/>
  <c r="AH85" i="7"/>
  <c r="AI85" i="7"/>
  <c r="AJ85" i="7"/>
  <c r="AM85" i="7"/>
  <c r="AO85" i="7"/>
  <c r="AP85" i="7"/>
  <c r="AQ85" i="7"/>
  <c r="AR85" i="7"/>
  <c r="AS85" i="7"/>
  <c r="AT85" i="7"/>
  <c r="AU85" i="7"/>
  <c r="D86" i="7"/>
  <c r="E86" i="7"/>
  <c r="F86" i="7"/>
  <c r="I86" i="7"/>
  <c r="K86" i="7"/>
  <c r="L86" i="7"/>
  <c r="M86" i="7"/>
  <c r="N86" i="7"/>
  <c r="O86" i="7"/>
  <c r="P86" i="7"/>
  <c r="Q86" i="7"/>
  <c r="S86" i="7"/>
  <c r="T86" i="7"/>
  <c r="U86" i="7"/>
  <c r="X86" i="7"/>
  <c r="Z86" i="7"/>
  <c r="AA86" i="7"/>
  <c r="AB86" i="7"/>
  <c r="AC86" i="7"/>
  <c r="AD86" i="7"/>
  <c r="AE86" i="7"/>
  <c r="AF86" i="7"/>
  <c r="AH86" i="7"/>
  <c r="AI86" i="7"/>
  <c r="AJ86" i="7"/>
  <c r="AM86" i="7"/>
  <c r="AO86" i="7"/>
  <c r="AP86" i="7"/>
  <c r="AQ86" i="7"/>
  <c r="AR86" i="7"/>
  <c r="AS86" i="7"/>
  <c r="AT86" i="7"/>
  <c r="AU86" i="7"/>
  <c r="D87" i="7"/>
  <c r="E87" i="7"/>
  <c r="F87" i="7"/>
  <c r="I87" i="7"/>
  <c r="K87" i="7"/>
  <c r="L87" i="7"/>
  <c r="M87" i="7"/>
  <c r="N87" i="7"/>
  <c r="O87" i="7"/>
  <c r="P87" i="7"/>
  <c r="Q87" i="7"/>
  <c r="S87" i="7"/>
  <c r="T87" i="7"/>
  <c r="U87" i="7"/>
  <c r="X87" i="7"/>
  <c r="Z87" i="7"/>
  <c r="AA87" i="7"/>
  <c r="AB87" i="7"/>
  <c r="AC87" i="7"/>
  <c r="AD87" i="7"/>
  <c r="AE87" i="7"/>
  <c r="AF87" i="7"/>
  <c r="AH87" i="7"/>
  <c r="AI87" i="7"/>
  <c r="AJ87" i="7"/>
  <c r="AM87" i="7"/>
  <c r="AO87" i="7"/>
  <c r="AP87" i="7"/>
  <c r="AQ87" i="7"/>
  <c r="AR87" i="7"/>
  <c r="AS87" i="7"/>
  <c r="AT87" i="7"/>
  <c r="AU87" i="7"/>
  <c r="C4" i="12"/>
  <c r="D4" i="12"/>
  <c r="E4" i="12"/>
  <c r="H4" i="12"/>
  <c r="J4" i="12"/>
  <c r="K4" i="12"/>
  <c r="L4" i="12"/>
  <c r="N4" i="12"/>
  <c r="O4" i="12"/>
  <c r="P4" i="12"/>
  <c r="Q4" i="12"/>
  <c r="R4" i="12"/>
  <c r="S4" i="12"/>
  <c r="T4" i="12"/>
  <c r="U4" i="12"/>
  <c r="W4" i="12"/>
  <c r="X4" i="12"/>
  <c r="Y4" i="12"/>
  <c r="AB4" i="12"/>
  <c r="AD4" i="12"/>
  <c r="AE4" i="12"/>
  <c r="AF4" i="12"/>
  <c r="AH4" i="12"/>
  <c r="AI4" i="12"/>
  <c r="AJ4" i="12"/>
  <c r="AK4" i="12"/>
  <c r="AL4" i="12"/>
  <c r="AM4" i="12"/>
  <c r="AN4" i="12"/>
  <c r="AO4" i="12"/>
  <c r="AQ4" i="12"/>
  <c r="AR4" i="12"/>
  <c r="AS4" i="12"/>
  <c r="AV4" i="12"/>
  <c r="AX4" i="12"/>
  <c r="AY4" i="12"/>
  <c r="AZ4" i="12"/>
  <c r="BB4" i="12"/>
  <c r="BC4" i="12"/>
  <c r="BD4" i="12"/>
  <c r="BE4" i="12"/>
  <c r="BF4" i="12"/>
  <c r="BG4" i="12"/>
  <c r="BH4" i="12"/>
  <c r="BI4" i="12"/>
  <c r="C5" i="12"/>
  <c r="D5" i="12"/>
  <c r="E5" i="12"/>
  <c r="H5" i="12"/>
  <c r="J5" i="12"/>
  <c r="K5" i="12"/>
  <c r="L5" i="12"/>
  <c r="N5" i="12"/>
  <c r="O5" i="12"/>
  <c r="P5" i="12"/>
  <c r="Q5" i="12"/>
  <c r="R5" i="12"/>
  <c r="S5" i="12"/>
  <c r="T5" i="12"/>
  <c r="U5" i="12"/>
  <c r="W5" i="12"/>
  <c r="X5" i="12"/>
  <c r="Y5" i="12"/>
  <c r="AB5" i="12"/>
  <c r="AD5" i="12"/>
  <c r="AE5" i="12"/>
  <c r="AF5" i="12"/>
  <c r="AH5" i="12"/>
  <c r="AI5" i="12"/>
  <c r="AJ5" i="12"/>
  <c r="AK5" i="12"/>
  <c r="AL5" i="12"/>
  <c r="AM5" i="12"/>
  <c r="AN5" i="12"/>
  <c r="AO5" i="12"/>
  <c r="AQ5" i="12"/>
  <c r="AR5" i="12"/>
  <c r="AS5" i="12"/>
  <c r="AV5" i="12"/>
  <c r="AX5" i="12"/>
  <c r="AY5" i="12"/>
  <c r="AZ5" i="12"/>
  <c r="BB5" i="12"/>
  <c r="BC5" i="12"/>
  <c r="BD5" i="12"/>
  <c r="BE5" i="12"/>
  <c r="BF5" i="12"/>
  <c r="BG5" i="12"/>
  <c r="BH5" i="12"/>
  <c r="BI5" i="12"/>
  <c r="C6" i="12"/>
  <c r="D6" i="12"/>
  <c r="E6" i="12"/>
  <c r="H6" i="12"/>
  <c r="J6" i="12"/>
  <c r="K6" i="12"/>
  <c r="L6" i="12"/>
  <c r="N6" i="12"/>
  <c r="O6" i="12"/>
  <c r="P6" i="12"/>
  <c r="Q6" i="12"/>
  <c r="R6" i="12"/>
  <c r="S6" i="12"/>
  <c r="T6" i="12"/>
  <c r="U6" i="12"/>
  <c r="W6" i="12"/>
  <c r="X6" i="12"/>
  <c r="Y6" i="12"/>
  <c r="AB6" i="12"/>
  <c r="AD6" i="12"/>
  <c r="AE6" i="12"/>
  <c r="AF6" i="12"/>
  <c r="AH6" i="12"/>
  <c r="AI6" i="12"/>
  <c r="AJ6" i="12"/>
  <c r="AK6" i="12"/>
  <c r="AL6" i="12"/>
  <c r="AM6" i="12"/>
  <c r="AN6" i="12"/>
  <c r="AO6" i="12"/>
  <c r="AQ6" i="12"/>
  <c r="AR6" i="12"/>
  <c r="AS6" i="12"/>
  <c r="AV6" i="12"/>
  <c r="AX6" i="12"/>
  <c r="AY6" i="12"/>
  <c r="AZ6" i="12"/>
  <c r="BB6" i="12"/>
  <c r="BC6" i="12"/>
  <c r="BD6" i="12"/>
  <c r="BE6" i="12"/>
  <c r="BF6" i="12"/>
  <c r="BG6" i="12"/>
  <c r="BH6" i="12"/>
  <c r="BI6" i="12"/>
  <c r="C7" i="12"/>
  <c r="D7" i="12"/>
  <c r="E7" i="12"/>
  <c r="H7" i="12"/>
  <c r="J7" i="12"/>
  <c r="K7" i="12"/>
  <c r="L7" i="12"/>
  <c r="N7" i="12"/>
  <c r="O7" i="12"/>
  <c r="P7" i="12"/>
  <c r="Q7" i="12"/>
  <c r="R7" i="12"/>
  <c r="S7" i="12"/>
  <c r="T7" i="12"/>
  <c r="U7" i="12"/>
  <c r="W7" i="12"/>
  <c r="X7" i="12"/>
  <c r="Y7" i="12"/>
  <c r="AB7" i="12"/>
  <c r="AD7" i="12"/>
  <c r="AE7" i="12"/>
  <c r="AF7" i="12"/>
  <c r="AH7" i="12"/>
  <c r="AI7" i="12"/>
  <c r="AJ7" i="12"/>
  <c r="AK7" i="12"/>
  <c r="AL7" i="12"/>
  <c r="AM7" i="12"/>
  <c r="AN7" i="12"/>
  <c r="AO7" i="12"/>
  <c r="AQ7" i="12"/>
  <c r="AR7" i="12"/>
  <c r="AS7" i="12"/>
  <c r="AV7" i="12"/>
  <c r="AX7" i="12"/>
  <c r="AY7" i="12"/>
  <c r="AZ7" i="12"/>
  <c r="BB7" i="12"/>
  <c r="BC7" i="12"/>
  <c r="BD7" i="12"/>
  <c r="BE7" i="12"/>
  <c r="BF7" i="12"/>
  <c r="BG7" i="12"/>
  <c r="BH7" i="12"/>
  <c r="BI7" i="12"/>
  <c r="C8" i="12"/>
  <c r="D8" i="12"/>
  <c r="E8" i="12"/>
  <c r="H8" i="12"/>
  <c r="J8" i="12"/>
  <c r="K8" i="12"/>
  <c r="L8" i="12"/>
  <c r="N8" i="12"/>
  <c r="O8" i="12"/>
  <c r="P8" i="12"/>
  <c r="Q8" i="12"/>
  <c r="R8" i="12"/>
  <c r="S8" i="12"/>
  <c r="T8" i="12"/>
  <c r="U8" i="12"/>
  <c r="W8" i="12"/>
  <c r="X8" i="12"/>
  <c r="Y8" i="12"/>
  <c r="AB8" i="12"/>
  <c r="AD8" i="12"/>
  <c r="AE8" i="12"/>
  <c r="AF8" i="12"/>
  <c r="AH8" i="12"/>
  <c r="AI8" i="12"/>
  <c r="AJ8" i="12"/>
  <c r="AK8" i="12"/>
  <c r="AL8" i="12"/>
  <c r="AM8" i="12"/>
  <c r="AN8" i="12"/>
  <c r="AO8" i="12"/>
  <c r="AQ8" i="12"/>
  <c r="AR8" i="12"/>
  <c r="AS8" i="12"/>
  <c r="AV8" i="12"/>
  <c r="AX8" i="12"/>
  <c r="AY8" i="12"/>
  <c r="AZ8" i="12"/>
  <c r="BB8" i="12"/>
  <c r="BC8" i="12"/>
  <c r="BD8" i="12"/>
  <c r="BE8" i="12"/>
  <c r="BF8" i="12"/>
  <c r="BG8" i="12"/>
  <c r="BH8" i="12"/>
  <c r="BI8" i="12"/>
  <c r="C9" i="12"/>
  <c r="D9" i="12"/>
  <c r="E9" i="12"/>
  <c r="H9" i="12"/>
  <c r="J9" i="12"/>
  <c r="K9" i="12"/>
  <c r="L9" i="12"/>
  <c r="N9" i="12"/>
  <c r="O9" i="12"/>
  <c r="P9" i="12"/>
  <c r="Q9" i="12"/>
  <c r="R9" i="12"/>
  <c r="S9" i="12"/>
  <c r="T9" i="12"/>
  <c r="U9" i="12"/>
  <c r="W9" i="12"/>
  <c r="X9" i="12"/>
  <c r="Y9" i="12"/>
  <c r="AB9" i="12"/>
  <c r="AD9" i="12"/>
  <c r="AE9" i="12"/>
  <c r="AF9" i="12"/>
  <c r="AH9" i="12"/>
  <c r="AI9" i="12"/>
  <c r="AJ9" i="12"/>
  <c r="AK9" i="12"/>
  <c r="AL9" i="12"/>
  <c r="AM9" i="12"/>
  <c r="AN9" i="12"/>
  <c r="AO9" i="12"/>
  <c r="AQ9" i="12"/>
  <c r="AR9" i="12"/>
  <c r="AS9" i="12"/>
  <c r="AV9" i="12"/>
  <c r="AX9" i="12"/>
  <c r="AY9" i="12"/>
  <c r="AZ9" i="12"/>
  <c r="BB9" i="12"/>
  <c r="BC9" i="12"/>
  <c r="BD9" i="12"/>
  <c r="BE9" i="12"/>
  <c r="BF9" i="12"/>
  <c r="BG9" i="12"/>
  <c r="BH9" i="12"/>
  <c r="BI9" i="12"/>
  <c r="C10" i="12"/>
  <c r="D10" i="12"/>
  <c r="E10" i="12"/>
  <c r="H10" i="12"/>
  <c r="J10" i="12"/>
  <c r="K10" i="12"/>
  <c r="L10" i="12"/>
  <c r="N10" i="12"/>
  <c r="O10" i="12"/>
  <c r="P10" i="12"/>
  <c r="Q10" i="12"/>
  <c r="R10" i="12"/>
  <c r="S10" i="12"/>
  <c r="T10" i="12"/>
  <c r="U10" i="12"/>
  <c r="W10" i="12"/>
  <c r="X10" i="12"/>
  <c r="Y10" i="12"/>
  <c r="AB10" i="12"/>
  <c r="AD10" i="12"/>
  <c r="AE10" i="12"/>
  <c r="AF10" i="12"/>
  <c r="AH10" i="12"/>
  <c r="AI10" i="12"/>
  <c r="AJ10" i="12"/>
  <c r="AK10" i="12"/>
  <c r="AL10" i="12"/>
  <c r="AM10" i="12"/>
  <c r="AN10" i="12"/>
  <c r="AO10" i="12"/>
  <c r="AQ10" i="12"/>
  <c r="AR10" i="12"/>
  <c r="AS10" i="12"/>
  <c r="AV10" i="12"/>
  <c r="AX10" i="12"/>
  <c r="AY10" i="12"/>
  <c r="AZ10" i="12"/>
  <c r="BB10" i="12"/>
  <c r="BC10" i="12"/>
  <c r="BD10" i="12"/>
  <c r="BE10" i="12"/>
  <c r="BF10" i="12"/>
  <c r="BG10" i="12"/>
  <c r="BH10" i="12"/>
  <c r="BI10" i="12"/>
  <c r="C11" i="12"/>
  <c r="D11" i="12"/>
  <c r="E11" i="12"/>
  <c r="H11" i="12"/>
  <c r="J11" i="12"/>
  <c r="K11" i="12"/>
  <c r="L11" i="12"/>
  <c r="N11" i="12"/>
  <c r="O11" i="12"/>
  <c r="P11" i="12"/>
  <c r="Q11" i="12"/>
  <c r="R11" i="12"/>
  <c r="S11" i="12"/>
  <c r="T11" i="12"/>
  <c r="U11" i="12"/>
  <c r="W11" i="12"/>
  <c r="X11" i="12"/>
  <c r="Y11" i="12"/>
  <c r="AB11" i="12"/>
  <c r="AD11" i="12"/>
  <c r="AE11" i="12"/>
  <c r="AF11" i="12"/>
  <c r="AH11" i="12"/>
  <c r="AI11" i="12"/>
  <c r="AJ11" i="12"/>
  <c r="AK11" i="12"/>
  <c r="AL11" i="12"/>
  <c r="AM11" i="12"/>
  <c r="AN11" i="12"/>
  <c r="AO11" i="12"/>
  <c r="AQ11" i="12"/>
  <c r="AR11" i="12"/>
  <c r="AS11" i="12"/>
  <c r="AV11" i="12"/>
  <c r="AX11" i="12"/>
  <c r="AY11" i="12"/>
  <c r="AZ11" i="12"/>
  <c r="BB11" i="12"/>
  <c r="BC11" i="12"/>
  <c r="BD11" i="12"/>
  <c r="BE11" i="12"/>
  <c r="BF11" i="12"/>
  <c r="BG11" i="12"/>
  <c r="BH11" i="12"/>
  <c r="BI11" i="12"/>
  <c r="C12" i="12"/>
  <c r="D12" i="12"/>
  <c r="E12" i="12"/>
  <c r="H12" i="12"/>
  <c r="J12" i="12"/>
  <c r="K12" i="12"/>
  <c r="L12" i="12"/>
  <c r="N12" i="12"/>
  <c r="O12" i="12"/>
  <c r="P12" i="12"/>
  <c r="Q12" i="12"/>
  <c r="R12" i="12"/>
  <c r="S12" i="12"/>
  <c r="T12" i="12"/>
  <c r="U12" i="12"/>
  <c r="W12" i="12"/>
  <c r="X12" i="12"/>
  <c r="Y12" i="12"/>
  <c r="AB12" i="12"/>
  <c r="AD12" i="12"/>
  <c r="AE12" i="12"/>
  <c r="AF12" i="12"/>
  <c r="AH12" i="12"/>
  <c r="AI12" i="12"/>
  <c r="AJ12" i="12"/>
  <c r="AK12" i="12"/>
  <c r="AL12" i="12"/>
  <c r="AM12" i="12"/>
  <c r="AN12" i="12"/>
  <c r="AO12" i="12"/>
  <c r="AQ12" i="12"/>
  <c r="AR12" i="12"/>
  <c r="AS12" i="12"/>
  <c r="AV12" i="12"/>
  <c r="AX12" i="12"/>
  <c r="AY12" i="12"/>
  <c r="AZ12" i="12"/>
  <c r="BB12" i="12"/>
  <c r="BC12" i="12"/>
  <c r="BD12" i="12"/>
  <c r="BE12" i="12"/>
  <c r="BF12" i="12"/>
  <c r="BG12" i="12"/>
  <c r="BH12" i="12"/>
  <c r="BI12" i="12"/>
  <c r="C13" i="12"/>
  <c r="D13" i="12"/>
  <c r="E13" i="12"/>
  <c r="H13" i="12"/>
  <c r="J13" i="12"/>
  <c r="K13" i="12"/>
  <c r="L13" i="12"/>
  <c r="N13" i="12"/>
  <c r="O13" i="12"/>
  <c r="P13" i="12"/>
  <c r="Q13" i="12"/>
  <c r="R13" i="12"/>
  <c r="S13" i="12"/>
  <c r="T13" i="12"/>
  <c r="U13" i="12"/>
  <c r="W13" i="12"/>
  <c r="X13" i="12"/>
  <c r="Y13" i="12"/>
  <c r="AB13" i="12"/>
  <c r="AD13" i="12"/>
  <c r="AE13" i="12"/>
  <c r="AF13" i="12"/>
  <c r="AH13" i="12"/>
  <c r="AI13" i="12"/>
  <c r="AJ13" i="12"/>
  <c r="AK13" i="12"/>
  <c r="AL13" i="12"/>
  <c r="AM13" i="12"/>
  <c r="AN13" i="12"/>
  <c r="AO13" i="12"/>
  <c r="AQ13" i="12"/>
  <c r="AR13" i="12"/>
  <c r="AS13" i="12"/>
  <c r="AV13" i="12"/>
  <c r="AX13" i="12"/>
  <c r="AY13" i="12"/>
  <c r="AZ13" i="12"/>
  <c r="BB13" i="12"/>
  <c r="BC13" i="12"/>
  <c r="BD13" i="12"/>
  <c r="BE13" i="12"/>
  <c r="BF13" i="12"/>
  <c r="BG13" i="12"/>
  <c r="BH13" i="12"/>
  <c r="BI13" i="12"/>
  <c r="C15" i="12"/>
  <c r="D15" i="12"/>
  <c r="E15" i="12"/>
  <c r="H15" i="12"/>
  <c r="J15" i="12"/>
  <c r="K15" i="12"/>
  <c r="L15" i="12"/>
  <c r="N15" i="12"/>
  <c r="O15" i="12"/>
  <c r="P15" i="12"/>
  <c r="Q15" i="12"/>
  <c r="R15" i="12"/>
  <c r="S15" i="12"/>
  <c r="T15" i="12"/>
  <c r="U15" i="12"/>
  <c r="W15" i="12"/>
  <c r="X15" i="12"/>
  <c r="Y15" i="12"/>
  <c r="AB15" i="12"/>
  <c r="AD15" i="12"/>
  <c r="AE15" i="12"/>
  <c r="AF15" i="12"/>
  <c r="AH15" i="12"/>
  <c r="AI15" i="12"/>
  <c r="AJ15" i="12"/>
  <c r="AK15" i="12"/>
  <c r="AL15" i="12"/>
  <c r="AM15" i="12"/>
  <c r="AN15" i="12"/>
  <c r="AO15" i="12"/>
  <c r="AQ15" i="12"/>
  <c r="AR15" i="12"/>
  <c r="AS15" i="12"/>
  <c r="AV15" i="12"/>
  <c r="AX15" i="12"/>
  <c r="AY15" i="12"/>
  <c r="AZ15" i="12"/>
  <c r="BB15" i="12"/>
  <c r="BC15" i="12"/>
  <c r="BD15" i="12"/>
  <c r="BE15" i="12"/>
  <c r="BF15" i="12"/>
  <c r="BG15" i="12"/>
  <c r="BH15" i="12"/>
  <c r="BI15" i="12"/>
  <c r="C16" i="12"/>
  <c r="D16" i="12"/>
  <c r="E16" i="12"/>
  <c r="H16" i="12"/>
  <c r="J16" i="12"/>
  <c r="K16" i="12"/>
  <c r="L16" i="12"/>
  <c r="N16" i="12"/>
  <c r="O16" i="12"/>
  <c r="P16" i="12"/>
  <c r="Q16" i="12"/>
  <c r="R16" i="12"/>
  <c r="S16" i="12"/>
  <c r="T16" i="12"/>
  <c r="U16" i="12"/>
  <c r="W16" i="12"/>
  <c r="X16" i="12"/>
  <c r="Y16" i="12"/>
  <c r="AB16" i="12"/>
  <c r="AD16" i="12"/>
  <c r="AE16" i="12"/>
  <c r="AF16" i="12"/>
  <c r="AH16" i="12"/>
  <c r="AI16" i="12"/>
  <c r="AJ16" i="12"/>
  <c r="AK16" i="12"/>
  <c r="AL16" i="12"/>
  <c r="AM16" i="12"/>
  <c r="AN16" i="12"/>
  <c r="AO16" i="12"/>
  <c r="AQ16" i="12"/>
  <c r="AR16" i="12"/>
  <c r="AS16" i="12"/>
  <c r="AV16" i="12"/>
  <c r="AX16" i="12"/>
  <c r="AY16" i="12"/>
  <c r="AZ16" i="12"/>
  <c r="BB16" i="12"/>
  <c r="BC16" i="12"/>
  <c r="BD16" i="12"/>
  <c r="BE16" i="12"/>
  <c r="BF16" i="12"/>
  <c r="BG16" i="12"/>
  <c r="BH16" i="12"/>
  <c r="BI16" i="12"/>
  <c r="C17" i="12"/>
  <c r="D17" i="12"/>
  <c r="E17" i="12"/>
  <c r="H17" i="12"/>
  <c r="J17" i="12"/>
  <c r="K17" i="12"/>
  <c r="L17" i="12"/>
  <c r="N17" i="12"/>
  <c r="O17" i="12"/>
  <c r="P17" i="12"/>
  <c r="Q17" i="12"/>
  <c r="R17" i="12"/>
  <c r="S17" i="12"/>
  <c r="T17" i="12"/>
  <c r="U17" i="12"/>
  <c r="W17" i="12"/>
  <c r="X17" i="12"/>
  <c r="Y17" i="12"/>
  <c r="AB17" i="12"/>
  <c r="AD17" i="12"/>
  <c r="AE17" i="12"/>
  <c r="AF17" i="12"/>
  <c r="AH17" i="12"/>
  <c r="AI17" i="12"/>
  <c r="AJ17" i="12"/>
  <c r="AK17" i="12"/>
  <c r="AL17" i="12"/>
  <c r="AM17" i="12"/>
  <c r="AN17" i="12"/>
  <c r="AO17" i="12"/>
  <c r="AQ17" i="12"/>
  <c r="AR17" i="12"/>
  <c r="AS17" i="12"/>
  <c r="AV17" i="12"/>
  <c r="AX17" i="12"/>
  <c r="AY17" i="12"/>
  <c r="AZ17" i="12"/>
  <c r="BB17" i="12"/>
  <c r="BC17" i="12"/>
  <c r="BD17" i="12"/>
  <c r="BE17" i="12"/>
  <c r="BF17" i="12"/>
  <c r="BG17" i="12"/>
  <c r="BH17" i="12"/>
  <c r="BI17" i="12"/>
  <c r="C18" i="12"/>
  <c r="D18" i="12"/>
  <c r="E18" i="12"/>
  <c r="H18" i="12"/>
  <c r="J18" i="12"/>
  <c r="K18" i="12"/>
  <c r="L18" i="12"/>
  <c r="N18" i="12"/>
  <c r="O18" i="12"/>
  <c r="P18" i="12"/>
  <c r="Q18" i="12"/>
  <c r="R18" i="12"/>
  <c r="S18" i="12"/>
  <c r="T18" i="12"/>
  <c r="U18" i="12"/>
  <c r="W18" i="12"/>
  <c r="X18" i="12"/>
  <c r="Y18" i="12"/>
  <c r="AB18" i="12"/>
  <c r="AD18" i="12"/>
  <c r="AE18" i="12"/>
  <c r="AF18" i="12"/>
  <c r="AH18" i="12"/>
  <c r="AI18" i="12"/>
  <c r="AJ18" i="12"/>
  <c r="AK18" i="12"/>
  <c r="AL18" i="12"/>
  <c r="AM18" i="12"/>
  <c r="AN18" i="12"/>
  <c r="AO18" i="12"/>
  <c r="AQ18" i="12"/>
  <c r="AR18" i="12"/>
  <c r="AS18" i="12"/>
  <c r="AV18" i="12"/>
  <c r="AX18" i="12"/>
  <c r="AY18" i="12"/>
  <c r="AZ18" i="12"/>
  <c r="BB18" i="12"/>
  <c r="BC18" i="12"/>
  <c r="BD18" i="12"/>
  <c r="BE18" i="12"/>
  <c r="BF18" i="12"/>
  <c r="BG18" i="12"/>
  <c r="BH18" i="12"/>
  <c r="BI18" i="12"/>
  <c r="C19" i="12"/>
  <c r="D19" i="12"/>
  <c r="E19" i="12"/>
  <c r="H19" i="12"/>
  <c r="J19" i="12"/>
  <c r="K19" i="12"/>
  <c r="L19" i="12"/>
  <c r="N19" i="12"/>
  <c r="O19" i="12"/>
  <c r="P19" i="12"/>
  <c r="Q19" i="12"/>
  <c r="R19" i="12"/>
  <c r="S19" i="12"/>
  <c r="T19" i="12"/>
  <c r="U19" i="12"/>
  <c r="W19" i="12"/>
  <c r="X19" i="12"/>
  <c r="Y19" i="12"/>
  <c r="AB19" i="12"/>
  <c r="AD19" i="12"/>
  <c r="AE19" i="12"/>
  <c r="AF19" i="12"/>
  <c r="AH19" i="12"/>
  <c r="AI19" i="12"/>
  <c r="AJ19" i="12"/>
  <c r="AK19" i="12"/>
  <c r="AL19" i="12"/>
  <c r="AM19" i="12"/>
  <c r="AN19" i="12"/>
  <c r="AO19" i="12"/>
  <c r="AQ19" i="12"/>
  <c r="AR19" i="12"/>
  <c r="AS19" i="12"/>
  <c r="AV19" i="12"/>
  <c r="AX19" i="12"/>
  <c r="AY19" i="12"/>
  <c r="AZ19" i="12"/>
  <c r="BB19" i="12"/>
  <c r="BC19" i="12"/>
  <c r="BD19" i="12"/>
  <c r="BE19" i="12"/>
  <c r="BF19" i="12"/>
  <c r="BG19" i="12"/>
  <c r="BH19" i="12"/>
  <c r="BI19" i="12"/>
  <c r="C20" i="12"/>
  <c r="D20" i="12"/>
  <c r="E20" i="12"/>
  <c r="H20" i="12"/>
  <c r="J20" i="12"/>
  <c r="K20" i="12"/>
  <c r="L20" i="12"/>
  <c r="N20" i="12"/>
  <c r="O20" i="12"/>
  <c r="P20" i="12"/>
  <c r="Q20" i="12"/>
  <c r="R20" i="12"/>
  <c r="S20" i="12"/>
  <c r="T20" i="12"/>
  <c r="U20" i="12"/>
  <c r="W20" i="12"/>
  <c r="X20" i="12"/>
  <c r="Y20" i="12"/>
  <c r="AB20" i="12"/>
  <c r="AD20" i="12"/>
  <c r="AE20" i="12"/>
  <c r="AF20" i="12"/>
  <c r="AH20" i="12"/>
  <c r="AI20" i="12"/>
  <c r="AJ20" i="12"/>
  <c r="AK20" i="12"/>
  <c r="AL20" i="12"/>
  <c r="AM20" i="12"/>
  <c r="AN20" i="12"/>
  <c r="AO20" i="12"/>
  <c r="AQ20" i="12"/>
  <c r="AR20" i="12"/>
  <c r="AS20" i="12"/>
  <c r="AV20" i="12"/>
  <c r="AX20" i="12"/>
  <c r="AY20" i="12"/>
  <c r="AZ20" i="12"/>
  <c r="BB20" i="12"/>
  <c r="BC20" i="12"/>
  <c r="BD20" i="12"/>
  <c r="BE20" i="12"/>
  <c r="BF20" i="12"/>
  <c r="BG20" i="12"/>
  <c r="BH20" i="12"/>
  <c r="BI20" i="12"/>
  <c r="C21" i="12"/>
  <c r="D21" i="12"/>
  <c r="E21" i="12"/>
  <c r="H21" i="12"/>
  <c r="J21" i="12"/>
  <c r="K21" i="12"/>
  <c r="L21" i="12"/>
  <c r="N21" i="12"/>
  <c r="O21" i="12"/>
  <c r="P21" i="12"/>
  <c r="Q21" i="12"/>
  <c r="R21" i="12"/>
  <c r="S21" i="12"/>
  <c r="T21" i="12"/>
  <c r="U21" i="12"/>
  <c r="W21" i="12"/>
  <c r="X21" i="12"/>
  <c r="Y21" i="12"/>
  <c r="AB21" i="12"/>
  <c r="AD21" i="12"/>
  <c r="AE21" i="12"/>
  <c r="AF21" i="12"/>
  <c r="AH21" i="12"/>
  <c r="AI21" i="12"/>
  <c r="AJ21" i="12"/>
  <c r="AK21" i="12"/>
  <c r="AL21" i="12"/>
  <c r="AM21" i="12"/>
  <c r="AN21" i="12"/>
  <c r="AO21" i="12"/>
  <c r="AQ21" i="12"/>
  <c r="AR21" i="12"/>
  <c r="AS21" i="12"/>
  <c r="AV21" i="12"/>
  <c r="AX21" i="12"/>
  <c r="AY21" i="12"/>
  <c r="AZ21" i="12"/>
  <c r="BB21" i="12"/>
  <c r="BC21" i="12"/>
  <c r="BD21" i="12"/>
  <c r="BE21" i="12"/>
  <c r="BF21" i="12"/>
  <c r="BG21" i="12"/>
  <c r="BH21" i="12"/>
  <c r="BI21" i="12"/>
  <c r="C22" i="12"/>
  <c r="D22" i="12"/>
  <c r="E22" i="12"/>
  <c r="H22" i="12"/>
  <c r="J22" i="12"/>
  <c r="K22" i="12"/>
  <c r="L22" i="12"/>
  <c r="N22" i="12"/>
  <c r="O22" i="12"/>
  <c r="P22" i="12"/>
  <c r="Q22" i="12"/>
  <c r="R22" i="12"/>
  <c r="S22" i="12"/>
  <c r="T22" i="12"/>
  <c r="U22" i="12"/>
  <c r="W22" i="12"/>
  <c r="X22" i="12"/>
  <c r="Y22" i="12"/>
  <c r="AB22" i="12"/>
  <c r="AD22" i="12"/>
  <c r="AE22" i="12"/>
  <c r="AF22" i="12"/>
  <c r="AH22" i="12"/>
  <c r="AI22" i="12"/>
  <c r="AJ22" i="12"/>
  <c r="AK22" i="12"/>
  <c r="AL22" i="12"/>
  <c r="AM22" i="12"/>
  <c r="AN22" i="12"/>
  <c r="AO22" i="12"/>
  <c r="AQ22" i="12"/>
  <c r="AR22" i="12"/>
  <c r="AS22" i="12"/>
  <c r="AV22" i="12"/>
  <c r="AX22" i="12"/>
  <c r="AY22" i="12"/>
  <c r="AZ22" i="12"/>
  <c r="BB22" i="12"/>
  <c r="BC22" i="12"/>
  <c r="BD22" i="12"/>
  <c r="BE22" i="12"/>
  <c r="BF22" i="12"/>
  <c r="BG22" i="12"/>
  <c r="BH22" i="12"/>
  <c r="BI22" i="12"/>
  <c r="C23" i="12"/>
  <c r="D23" i="12"/>
  <c r="E23" i="12"/>
  <c r="H23" i="12"/>
  <c r="J23" i="12"/>
  <c r="K23" i="12"/>
  <c r="L23" i="12"/>
  <c r="N23" i="12"/>
  <c r="O23" i="12"/>
  <c r="P23" i="12"/>
  <c r="Q23" i="12"/>
  <c r="R23" i="12"/>
  <c r="S23" i="12"/>
  <c r="T23" i="12"/>
  <c r="U23" i="12"/>
  <c r="W23" i="12"/>
  <c r="X23" i="12"/>
  <c r="Y23" i="12"/>
  <c r="AB23" i="12"/>
  <c r="AD23" i="12"/>
  <c r="AE23" i="12"/>
  <c r="AF23" i="12"/>
  <c r="AH23" i="12"/>
  <c r="AI23" i="12"/>
  <c r="AJ23" i="12"/>
  <c r="AK23" i="12"/>
  <c r="AL23" i="12"/>
  <c r="AM23" i="12"/>
  <c r="AN23" i="12"/>
  <c r="AO23" i="12"/>
  <c r="AQ23" i="12"/>
  <c r="AR23" i="12"/>
  <c r="AS23" i="12"/>
  <c r="AV23" i="12"/>
  <c r="AX23" i="12"/>
  <c r="AY23" i="12"/>
  <c r="AZ23" i="12"/>
  <c r="BB23" i="12"/>
  <c r="BC23" i="12"/>
  <c r="BD23" i="12"/>
  <c r="BE23" i="12"/>
  <c r="BF23" i="12"/>
  <c r="BG23" i="12"/>
  <c r="BH23" i="12"/>
  <c r="BI23" i="12"/>
  <c r="C24" i="12"/>
  <c r="D24" i="12"/>
  <c r="E24" i="12"/>
  <c r="H24" i="12"/>
  <c r="J24" i="12"/>
  <c r="K24" i="12"/>
  <c r="L24" i="12"/>
  <c r="N24" i="12"/>
  <c r="O24" i="12"/>
  <c r="P24" i="12"/>
  <c r="Q24" i="12"/>
  <c r="R24" i="12"/>
  <c r="S24" i="12"/>
  <c r="T24" i="12"/>
  <c r="U24" i="12"/>
  <c r="W24" i="12"/>
  <c r="X24" i="12"/>
  <c r="Y24" i="12"/>
  <c r="AB24" i="12"/>
  <c r="AD24" i="12"/>
  <c r="AE24" i="12"/>
  <c r="AF24" i="12"/>
  <c r="AH24" i="12"/>
  <c r="AI24" i="12"/>
  <c r="AJ24" i="12"/>
  <c r="AK24" i="12"/>
  <c r="AL24" i="12"/>
  <c r="AM24" i="12"/>
  <c r="AN24" i="12"/>
  <c r="AO24" i="12"/>
  <c r="AQ24" i="12"/>
  <c r="AR24" i="12"/>
  <c r="AS24" i="12"/>
  <c r="AV24" i="12"/>
  <c r="AX24" i="12"/>
  <c r="AY24" i="12"/>
  <c r="AZ24" i="12"/>
  <c r="BB24" i="12"/>
  <c r="BC24" i="12"/>
  <c r="BD24" i="12"/>
  <c r="BE24" i="12"/>
  <c r="BF24" i="12"/>
  <c r="BG24" i="12"/>
  <c r="BH24" i="12"/>
  <c r="BI24" i="12"/>
</calcChain>
</file>

<file path=xl/sharedStrings.xml><?xml version="1.0" encoding="utf-8"?>
<sst xmlns="http://schemas.openxmlformats.org/spreadsheetml/2006/main" count="759" uniqueCount="354">
  <si>
    <t>gm_power</t>
  </si>
  <si>
    <t>PARAMETER</t>
  </si>
  <si>
    <t>V</t>
  </si>
  <si>
    <t>A/V</t>
  </si>
  <si>
    <t>ns</t>
  </si>
  <si>
    <t>mA</t>
  </si>
  <si>
    <t>V/ns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</si>
  <si>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</si>
  <si>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</si>
  <si>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</si>
  <si>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</si>
  <si>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</si>
  <si>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</si>
  <si>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</si>
  <si>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</si>
  <si>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</si>
  <si>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</si>
  <si>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</si>
  <si>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</si>
  <si>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</si>
  <si>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</si>
  <si>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</si>
  <si>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</si>
  <si>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</si>
  <si>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</si>
  <si>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</si>
  <si>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</si>
  <si>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</si>
  <si>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</si>
  <si>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</si>
  <si>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</si>
  <si>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</si>
  <si>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</si>
  <si>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</si>
  <si>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</si>
  <si>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</si>
  <si>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</si>
  <si>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</si>
  <si>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</si>
  <si>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</si>
  <si>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</si>
  <si>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</si>
  <si>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</si>
  <si>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</si>
  <si>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</si>
  <si>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</si>
  <si>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</si>
  <si>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</si>
  <si>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</si>
  <si>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</si>
  <si>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</si>
  <si>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</si>
  <si>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</si>
  <si>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</si>
  <si>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</si>
  <si>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</si>
  <si>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</si>
  <si>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</si>
  <si>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</si>
  <si>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</si>
  <si>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</si>
  <si>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</si>
  <si>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</si>
  <si>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</si>
  <si>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</si>
  <si>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</si>
  <si>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</si>
  <si>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</si>
  <si>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</si>
  <si>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</si>
  <si>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</si>
  <si>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</si>
  <si>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</si>
  <si>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</si>
  <si>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</si>
  <si>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</si>
  <si>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</si>
  <si>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</si>
  <si>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</si>
  <si>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</si>
  <si>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</si>
  <si>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</si>
  <si>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</si>
  <si>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</si>
  <si>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</si>
  <si>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</si>
  <si>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</si>
  <si>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</si>
  <si>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</si>
  <si>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output voltage</t>
  </si>
  <si>
    <t>Desired maximum output current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</si>
  <si>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</si>
  <si>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</si>
  <si>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</si>
  <si>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</si>
  <si>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</si>
  <si>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</si>
  <si>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</si>
  <si>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</si>
  <si>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</si>
  <si>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</si>
  <si>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</si>
  <si>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</si>
  <si>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</si>
  <si>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</si>
  <si>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</si>
  <si>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</si>
  <si>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</si>
  <si>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</si>
  <si>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</si>
  <si>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</si>
  <si>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</si>
  <si>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</si>
  <si>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</si>
  <si>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</si>
  <si>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</si>
  <si>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</si>
  <si>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</si>
  <si>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</si>
  <si>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</si>
  <si>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</si>
  <si>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</si>
  <si>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</si>
  <si>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</si>
  <si>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</si>
  <si>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</si>
  <si>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</si>
  <si>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</si>
  <si>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</si>
  <si>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</si>
  <si>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</si>
  <si>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</si>
  <si>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</si>
  <si>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</si>
  <si>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</si>
  <si>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</si>
  <si>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Input Capacitor Requirements:</t>
  </si>
  <si>
    <t xml:space="preserve"> Soft Start Capacitor and Timing: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</si>
  <si>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</si>
  <si>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</si>
  <si>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</si>
  <si>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</si>
  <si>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</si>
  <si>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</si>
  <si>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</si>
  <si>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</si>
  <si>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</si>
  <si>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</si>
  <si>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</si>
  <si>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</si>
  <si>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</si>
  <si>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</si>
  <si>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</si>
  <si>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</si>
  <si>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</si>
  <si>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</si>
  <si>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</si>
  <si>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</si>
  <si>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</si>
  <si>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</si>
  <si>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</si>
  <si>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</si>
  <si>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</si>
  <si>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</si>
  <si>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</si>
  <si>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</si>
  <si>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</si>
  <si>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</si>
  <si>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</si>
  <si>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</si>
  <si>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</si>
  <si>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</si>
  <si>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</si>
  <si>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</si>
  <si>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</si>
  <si>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</si>
  <si>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</si>
  <si>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</si>
  <si>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</si>
  <si>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</si>
  <si>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</si>
  <si>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</si>
  <si>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</si>
  <si>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</si>
  <si>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</si>
  <si>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</si>
  <si>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</si>
  <si>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</si>
  <si>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</si>
  <si>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</si>
  <si>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</si>
  <si>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</si>
  <si>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</si>
  <si>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</si>
  <si>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</si>
  <si>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</si>
  <si>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</si>
  <si>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</si>
  <si>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</si>
  <si>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</si>
  <si>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</si>
  <si>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</si>
  <si>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</si>
  <si>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</si>
  <si>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</si>
  <si>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</si>
  <si>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</si>
  <si>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</si>
  <si>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</si>
  <si>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</si>
  <si>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</si>
  <si>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</si>
  <si>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</si>
  <si>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</si>
  <si>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</si>
  <si>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</si>
  <si>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</si>
  <si>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</si>
  <si>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</si>
  <si>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</si>
  <si>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</si>
  <si>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</si>
  <si>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</si>
  <si>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</si>
  <si>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</si>
  <si>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</si>
  <si>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</si>
  <si>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</si>
  <si>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</si>
  <si>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</si>
  <si>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</si>
  <si>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</si>
  <si>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</si>
  <si>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</si>
  <si>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</si>
  <si>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</si>
  <si>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</si>
  <si>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</si>
  <si>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</si>
  <si>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</si>
  <si>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</si>
  <si>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</si>
  <si>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</si>
  <si>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</si>
  <si>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</si>
  <si>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</si>
  <si>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</si>
  <si>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</si>
  <si>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</si>
  <si>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</si>
  <si>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</si>
  <si>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</si>
  <si>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</si>
  <si>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</si>
  <si>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</si>
  <si>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</si>
  <si>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</si>
  <si>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</si>
  <si>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</si>
  <si>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</si>
  <si>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</si>
  <si>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</si>
  <si>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</si>
  <si>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</si>
  <si>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</si>
  <si>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</si>
  <si>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</si>
  <si>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</si>
  <si>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</si>
  <si>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</si>
  <si>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</si>
  <si>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</si>
  <si>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</si>
  <si>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</si>
  <si>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</si>
  <si>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</si>
  <si>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t>Data sheet values, 0C to 85C</t>
  </si>
  <si>
    <t>Minimum</t>
  </si>
  <si>
    <t>Maximum</t>
  </si>
  <si>
    <t xml:space="preserve">CFB (min, max) = </t>
  </si>
  <si>
    <t>Estimated typical output voltage ripple in PWM mode</t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</si>
  <si>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(PWM)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</si>
  <si>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</si>
  <si>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ON,MAX</t>
    </r>
    <r>
      <rPr>
        <b/>
        <sz val="11"/>
        <color theme="1"/>
        <rFont val="Calibri"/>
        <family val="2"/>
        <scheme val="minor"/>
      </rPr>
      <t>_PFM</t>
    </r>
  </si>
  <si>
    <t>µs</t>
  </si>
  <si>
    <r>
      <t>PFM t</t>
    </r>
    <r>
      <rPr>
        <b/>
        <vertAlign val="subscript"/>
        <sz val="14"/>
        <color theme="1"/>
        <rFont val="Calibri"/>
        <family val="2"/>
        <scheme val="minor"/>
      </rPr>
      <t>ON</t>
    </r>
    <r>
      <rPr>
        <b/>
        <sz val="14"/>
        <color theme="1"/>
        <rFont val="Calibri"/>
        <family val="2"/>
        <scheme val="minor"/>
      </rPr>
      <t>/t</t>
    </r>
    <r>
      <rPr>
        <b/>
        <vertAlign val="subscript"/>
        <sz val="14"/>
        <color theme="1"/>
        <rFont val="Calibri"/>
        <family val="2"/>
        <scheme val="minor"/>
      </rPr>
      <t>OFF</t>
    </r>
    <r>
      <rPr>
        <b/>
        <sz val="14"/>
        <color theme="1"/>
        <rFont val="Calibri"/>
        <family val="2"/>
        <scheme val="minor"/>
      </rPr>
      <t xml:space="preserve"> Calculations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</si>
  <si>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</si>
  <si>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>PFM</t>
    </r>
    <r>
      <rPr>
        <vertAlign val="subscript"/>
        <sz val="11"/>
        <color theme="1"/>
        <rFont val="Calibri"/>
        <family val="2"/>
        <scheme val="minor"/>
      </rPr>
      <t>TEMP</t>
    </r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</si>
  <si>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</si>
  <si>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+ t</t>
    </r>
    <r>
      <rPr>
        <vertAlign val="subscript"/>
        <sz val="11"/>
        <color theme="1"/>
        <rFont val="Calibri"/>
        <family val="2"/>
        <scheme val="minor"/>
      </rPr>
      <t>OFF</t>
    </r>
  </si>
  <si>
    <r>
      <t>V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@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&amp;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</si>
  <si>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RDS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</si>
  <si>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DCR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</si>
  <si>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(typ | max)</t>
    </r>
  </si>
  <si>
    <r>
      <t>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 (typ | max)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</si>
  <si>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TYP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</si>
  <si>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)</t>
    </r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</si>
  <si>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</si>
  <si>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Data sheet values;</t>
  </si>
  <si>
    <t>Estimated number of 10uF/16V/X7R/1206 output capacitors for load transient</t>
  </si>
  <si>
    <r>
      <t>Transient load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  Recommend about 50%.</t>
    </r>
  </si>
  <si>
    <t xml:space="preserve"> Error Amplifier Compensation Components:</t>
  </si>
  <si>
    <t>Recommended maximum 0dB crossover frequency</t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</si>
  <si>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</si>
  <si>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</si>
  <si>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 xml:space="preserve"> Output Capacitance (Co) and Output Voltage Ripple (</t>
    </r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>Vout):</t>
    </r>
  </si>
  <si>
    <t>Recommended HF compensation capacitor</t>
  </si>
  <si>
    <t>Cz (min, max)</t>
  </si>
  <si>
    <t>Recommended range for the compensation capacitor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</si>
  <si>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</si>
  <si>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t>Recommended compensation resister to achieve chosen fc</t>
  </si>
  <si>
    <t>Enter the closest available 1% standard resister value</t>
  </si>
  <si>
    <t>Lo_I_peak</t>
  </si>
  <si>
    <t>FB+PCB Capacitance Estimate</t>
  </si>
  <si>
    <r>
      <t>mV</t>
    </r>
    <r>
      <rPr>
        <vertAlign val="subscript"/>
        <sz val="11"/>
        <color theme="1"/>
        <rFont val="Calibri"/>
        <family val="2"/>
        <scheme val="minor"/>
      </rPr>
      <t>PP, TYP</t>
    </r>
  </si>
  <si>
    <r>
      <t>mV</t>
    </r>
    <r>
      <rPr>
        <vertAlign val="subscript"/>
        <sz val="11"/>
        <color theme="1"/>
        <rFont val="Calibri"/>
        <family val="2"/>
        <scheme val="minor"/>
      </rPr>
      <t>PP, MAX</t>
    </r>
  </si>
  <si>
    <t>Vin operating range</t>
  </si>
  <si>
    <r>
      <t>Vin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for PFM</t>
    </r>
  </si>
  <si>
    <r>
      <t>Vin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for PFM output ripple requirement</t>
    </r>
  </si>
  <si>
    <t>Intermediate calculations for PFM at spec'd temp: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</si>
  <si>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</si>
  <si>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</si>
  <si>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r>
      <t xml:space="preserve">CFB (PFM) capacitor.  </t>
    </r>
    <r>
      <rPr>
        <b/>
        <i/>
        <sz val="11"/>
        <color theme="1"/>
        <rFont val="Calibri"/>
        <family val="2"/>
        <scheme val="minor"/>
      </rPr>
      <t>Recommend starting with higher value.</t>
    </r>
  </si>
  <si>
    <t>Fsw &lt; 750KHz ?</t>
  </si>
  <si>
    <r>
      <t>Single pulse limit at Vin</t>
    </r>
    <r>
      <rPr>
        <vertAlign val="subscript"/>
        <sz val="11"/>
        <color theme="1"/>
        <rFont val="Calibri"/>
        <family val="2"/>
        <scheme val="minor"/>
      </rPr>
      <t xml:space="preserve">MIN </t>
    </r>
    <r>
      <rPr>
        <sz val="11"/>
        <color theme="1"/>
        <rFont val="Calibri"/>
        <family val="2"/>
        <scheme val="minor"/>
      </rPr>
      <t>?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</si>
  <si>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 Break</t>
    </r>
  </si>
  <si>
    <r>
      <t>Data sheet values for Fsw &lt;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</si>
  <si>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Data sheet values for Fsw &gt;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</si>
  <si>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I</t>
    </r>
    <r>
      <rPr>
        <vertAlign val="subscript"/>
        <sz val="11"/>
        <color theme="1"/>
        <rFont val="Calibri"/>
        <family val="2"/>
        <scheme val="minor"/>
      </rPr>
      <t>PFM</t>
    </r>
    <r>
      <rPr>
        <sz val="11"/>
        <color theme="1"/>
        <rFont val="Calibri"/>
        <family val="2"/>
        <scheme val="minor"/>
      </rPr>
      <t>_PEAK @ Fsw</t>
    </r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</si>
  <si>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</si>
  <si>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</si>
  <si>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 xml:space="preserve">Enter Lo.  </t>
    </r>
    <r>
      <rPr>
        <b/>
        <i/>
        <sz val="11"/>
        <color theme="1"/>
        <rFont val="Calibri"/>
        <family val="2"/>
        <scheme val="minor"/>
      </rPr>
      <t>Start with a lower value to minimize PFM ripple</t>
    </r>
  </si>
  <si>
    <t>Lo (min | max)</t>
  </si>
  <si>
    <r>
      <t>Inductor range, SE = 40% to 110% of I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down slope</t>
    </r>
  </si>
  <si>
    <r>
      <t>Inductor to critically damp the double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</si>
  <si>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for SS2P4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</si>
  <si>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cycle/2.45MHz, TYP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</rPr>
      <t>σ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</si>
  <si>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</si>
  <si>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IN,MIN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</si>
  <si>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</si>
  <si>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</si>
  <si>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 xml:space="preserve">Single-pulse PFM ripple at TYP Vin.  </t>
    </r>
    <r>
      <rPr>
        <b/>
        <sz val="11"/>
        <color theme="1"/>
        <rFont val="Calibri"/>
        <family val="2"/>
        <scheme val="minor"/>
      </rPr>
      <t>Increase Co or reduce Lo if too high.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</si>
  <si>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</si>
  <si>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</si>
  <si>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</si>
  <si>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Fsw/4</t>
    </r>
  </si>
  <si>
    <r>
      <t xml:space="preserve">(MIN | TYP) Maximum duty cycles using the new </t>
    </r>
    <r>
      <rPr>
        <b/>
        <i/>
        <sz val="11"/>
        <color rgb="FFFF0000"/>
        <rFont val="Calibri"/>
        <family val="2"/>
        <scheme val="minor"/>
      </rPr>
      <t>"Low Dropout Algorithm"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</si>
  <si>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IN</t>
    </r>
  </si>
  <si>
    <t>SW_slew_rise</t>
  </si>
  <si>
    <t>SW_slew_fall</t>
  </si>
  <si>
    <t>Measured value, see SW curve to the right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</si>
  <si>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99% duty cycle, calculated w/ F</t>
    </r>
    <r>
      <rPr>
        <vertAlign val="subscript"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&amp; S</t>
    </r>
    <r>
      <rPr>
        <vertAlign val="subscript"/>
        <sz val="11"/>
        <color theme="1"/>
        <rFont val="Calibri"/>
        <family val="2"/>
        <scheme val="minor"/>
      </rPr>
      <t>E</t>
    </r>
  </si>
  <si>
    <t>ALLEGRO A8590 DESIGN SPREADSHEET</t>
  </si>
  <si>
    <t>ALLEGRO A8590 DESIGN SPREADSHEET - Rev.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</si>
</sst>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65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8" fillId="8" borderId="46" xfId="0" applyNumberFormat="1" applyFont="1" applyFill="1" applyBorder="1" applyAlignment="1">
      <alignment horizontal="center" vertical="center"/>
    </xf>
    <xf numFmtId="0" fontId="0" fillId="8" borderId="39" xfId="0" applyFont="1" applyFill="1" applyBorder="1"/>
    <xf numFmtId="0" fontId="38" fillId="8" borderId="57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0" fontId="0" fillId="5" borderId="22" xfId="0" applyFill="1" applyBorder="1" applyAlignment="1">
      <alignment horizontal="left" vertical="center" indent="1"/>
    </xf>
    <xf numFmtId="0" fontId="7" fillId="5" borderId="59" xfId="0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7" borderId="36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7" borderId="58" xfId="0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/>
    </xf>
    <xf numFmtId="0" fontId="0" fillId="7" borderId="5" xfId="0" applyFill="1" applyBorder="1" applyProtection="1"/>
    <xf numFmtId="0" fontId="0" fillId="7" borderId="31" xfId="0" applyFill="1" applyBorder="1" applyProtection="1"/>
    <xf numFmtId="165" fontId="0" fillId="6" borderId="45" xfId="0" applyNumberFormat="1" applyFill="1" applyBorder="1" applyAlignment="1" applyProtection="1">
      <alignment horizontal="center" vertical="center"/>
      <protection locked="0"/>
    </xf>
    <xf numFmtId="165" fontId="0" fillId="6" borderId="29" xfId="0" applyNumberForma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165" fontId="8" fillId="6" borderId="3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5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left" vertical="center" indent="1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2" fontId="0" fillId="7" borderId="0" xfId="0" applyNumberForma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4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42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" fontId="0" fillId="7" borderId="5" xfId="0" applyNumberFormat="1" applyFill="1" applyBorder="1" applyAlignment="1" applyProtection="1">
      <alignment horizontal="center" vertical="center"/>
    </xf>
    <xf numFmtId="165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59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left" vertical="center" indent="1"/>
    </xf>
    <xf numFmtId="2" fontId="0" fillId="7" borderId="0" xfId="0" applyNumberFormat="1" applyFill="1" applyAlignment="1" applyProtection="1">
      <alignment horizontal="center" vertical="center"/>
    </xf>
    <xf numFmtId="165" fontId="0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165" fontId="0" fillId="7" borderId="0" xfId="0" applyNumberFormat="1" applyFont="1" applyFill="1" applyAlignment="1" applyProtection="1">
      <alignment horizontal="center" vertical="center"/>
    </xf>
    <xf numFmtId="165" fontId="8" fillId="6" borderId="47" xfId="0" applyNumberFormat="1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164" fontId="39" fillId="2" borderId="37" xfId="0" applyNumberFormat="1" applyFont="1" applyFill="1" applyBorder="1" applyAlignment="1">
      <alignment horizontal="center"/>
    </xf>
    <xf numFmtId="2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</xf>
    <xf numFmtId="0" fontId="0" fillId="7" borderId="41" xfId="0" applyFill="1" applyBorder="1" applyAlignment="1" applyProtection="1">
      <alignment vertical="center"/>
    </xf>
    <xf numFmtId="2" fontId="39" fillId="2" borderId="38" xfId="0" applyNumberFormat="1" applyFont="1" applyFill="1" applyBorder="1" applyAlignment="1">
      <alignment horizontal="center" vertical="center"/>
    </xf>
    <xf numFmtId="2" fontId="39" fillId="2" borderId="2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2" borderId="40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Border="1" applyAlignment="1">
      <alignment horizontal="center" vertical="center"/>
    </xf>
    <xf numFmtId="165" fontId="39" fillId="2" borderId="41" xfId="0" applyNumberFormat="1" applyFont="1" applyFill="1" applyBorder="1" applyAlignment="1">
      <alignment horizontal="center" vertical="center"/>
    </xf>
    <xf numFmtId="2" fontId="39" fillId="2" borderId="36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3" borderId="56" xfId="0" applyNumberFormat="1" applyFont="1" applyFill="1" applyBorder="1" applyAlignment="1">
      <alignment horizontal="center" vertical="center"/>
    </xf>
    <xf numFmtId="2" fontId="39" fillId="3" borderId="2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165" fontId="39" fillId="3" borderId="41" xfId="0" applyNumberFormat="1" applyFont="1" applyFill="1" applyBorder="1" applyAlignment="1">
      <alignment horizontal="center" vertical="center"/>
    </xf>
    <xf numFmtId="2" fontId="39" fillId="3" borderId="36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165" fontId="39" fillId="4" borderId="39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 vertical="center"/>
    </xf>
    <xf numFmtId="2" fontId="39" fillId="4" borderId="0" xfId="0" applyNumberFormat="1" applyFont="1" applyFill="1" applyBorder="1" applyAlignment="1">
      <alignment horizontal="center" vertical="center"/>
    </xf>
    <xf numFmtId="165" fontId="39" fillId="4" borderId="41" xfId="0" applyNumberFormat="1" applyFont="1" applyFill="1" applyBorder="1" applyAlignment="1">
      <alignment horizontal="center" vertical="center"/>
    </xf>
    <xf numFmtId="2" fontId="39" fillId="4" borderId="36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0" fillId="7" borderId="0" xfId="0" applyNumberFormat="1" applyFill="1" applyBorder="1" applyAlignment="1" applyProtection="1">
      <alignment horizontal="center" vertical="center"/>
    </xf>
    <xf numFmtId="1" fontId="24" fillId="7" borderId="36" xfId="0" applyNumberFormat="1" applyFon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2" fontId="0" fillId="7" borderId="36" xfId="0" applyNumberFormat="1" applyFill="1" applyBorder="1" applyAlignment="1" applyProtection="1">
      <alignment horizontal="center" vertical="center"/>
    </xf>
    <xf numFmtId="165" fontId="35" fillId="9" borderId="45" xfId="0" applyNumberFormat="1" applyFont="1" applyFill="1" applyBorder="1" applyAlignment="1" applyProtection="1">
      <alignment horizontal="center" vertical="center"/>
      <protection locked="0"/>
    </xf>
    <xf numFmtId="165" fontId="35" fillId="9" borderId="46" xfId="0" applyNumberFormat="1" applyFont="1" applyFill="1" applyBorder="1" applyAlignment="1" applyProtection="1">
      <alignment horizontal="center" vertical="center"/>
      <protection locked="0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vertical="center"/>
    </xf>
    <xf numFmtId="0" fontId="0" fillId="6" borderId="14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788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Efficiency!$U$4:$U$13</c:f>
              <c:numCache>
                <c:formatCode>0.0</c:formatCode>
                <c:ptCount val="10"/>
                <c:pt idx="0">
                  <c:v>93.374704010454266</c:v>
                </c:pt>
                <c:pt idx="1">
                  <c:v>94.263905814268554</c:v>
                </c:pt>
                <c:pt idx="2">
                  <c:v>93.95935805872152</c:v>
                </c:pt>
                <c:pt idx="3">
                  <c:v>93.383471721486742</c:v>
                </c:pt>
                <c:pt idx="4">
                  <c:v>92.691167318471898</c:v>
                </c:pt>
                <c:pt idx="5">
                  <c:v>91.925203973151838</c:v>
                </c:pt>
                <c:pt idx="6">
                  <c:v>91.118214304464189</c:v>
                </c:pt>
                <c:pt idx="7">
                  <c:v>90.303303375198752</c:v>
                </c:pt>
                <c:pt idx="8">
                  <c:v>89.407743546058342</c:v>
                </c:pt>
                <c:pt idx="9">
                  <c:v>88.413693159029222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Efficiency!$AO$4:$AO$13</c:f>
              <c:numCache>
                <c:formatCode>0.0</c:formatCode>
                <c:ptCount val="10"/>
                <c:pt idx="0">
                  <c:v>89.884274586837009</c:v>
                </c:pt>
                <c:pt idx="1">
                  <c:v>91.683165044384921</c:v>
                </c:pt>
                <c:pt idx="2">
                  <c:v>91.729537554950937</c:v>
                </c:pt>
                <c:pt idx="3">
                  <c:v>91.38263288320411</c:v>
                </c:pt>
                <c:pt idx="4">
                  <c:v>90.880300980864092</c:v>
                </c:pt>
                <c:pt idx="5">
                  <c:v>90.295161825864881</c:v>
                </c:pt>
                <c:pt idx="6">
                  <c:v>89.689125548986766</c:v>
                </c:pt>
                <c:pt idx="7">
                  <c:v>89.131203957148202</c:v>
                </c:pt>
                <c:pt idx="8">
                  <c:v>88.524338621130653</c:v>
                </c:pt>
                <c:pt idx="9">
                  <c:v>87.866178694044436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Efficiency!$BI$4:$BI$13</c:f>
              <c:numCache>
                <c:formatCode>0.0</c:formatCode>
                <c:ptCount val="10"/>
                <c:pt idx="0">
                  <c:v>86.721931495924963</c:v>
                </c:pt>
                <c:pt idx="1">
                  <c:v>89.346351047211357</c:v>
                </c:pt>
                <c:pt idx="2">
                  <c:v>89.694613421114155</c:v>
                </c:pt>
                <c:pt idx="3">
                  <c:v>89.527129370837173</c:v>
                </c:pt>
                <c:pt idx="4">
                  <c:v>89.158557747959321</c:v>
                </c:pt>
                <c:pt idx="5">
                  <c:v>88.687546069123428</c:v>
                </c:pt>
                <c:pt idx="6">
                  <c:v>88.193472408880297</c:v>
                </c:pt>
                <c:pt idx="7">
                  <c:v>87.762116063317876</c:v>
                </c:pt>
                <c:pt idx="8">
                  <c:v>87.286628659129306</c:v>
                </c:pt>
                <c:pt idx="9">
                  <c:v>86.769676057162869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60672"/>
        <c:axId val="204161232"/>
      </c:scatterChart>
      <c:valAx>
        <c:axId val="204160672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1232"/>
        <c:crosses val="autoZero"/>
        <c:crossBetween val="midCat"/>
        <c:majorUnit val="0.25"/>
        <c:minorUnit val="0.125"/>
      </c:valAx>
      <c:valAx>
        <c:axId val="204161232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119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067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9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5832358538644"/>
          <c:y val="0.10866027305170212"/>
          <c:w val="0.81528175940313463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Constants!$A$34:$A$35</c:f>
              <c:numCache>
                <c:formatCode>General</c:formatCode>
                <c:ptCount val="2"/>
                <c:pt idx="0">
                  <c:v>5</c:v>
                </c:pt>
                <c:pt idx="1">
                  <c:v>99</c:v>
                </c:pt>
              </c:numCache>
            </c:numRef>
          </c:xVal>
          <c:yVal>
            <c:numRef>
              <c:f>Constants!$B$34:$B$35</c:f>
              <c:numCache>
                <c:formatCode>General</c:formatCode>
                <c:ptCount val="2"/>
                <c:pt idx="0">
                  <c:v>4.8</c:v>
                </c:pt>
                <c:pt idx="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18512"/>
        <c:axId val="207019072"/>
      </c:scatterChart>
      <c:valAx>
        <c:axId val="207018512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019072"/>
        <c:crosses val="autoZero"/>
        <c:crossBetween val="midCat"/>
        <c:majorUnit val="10"/>
        <c:minorUnit val="10"/>
      </c:valAx>
      <c:valAx>
        <c:axId val="207019072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7018512"/>
        <c:crosses val="autoZero"/>
        <c:crossBetween val="midCat"/>
        <c:majorUnit val="0.2"/>
        <c:minorUnit val="0.2"/>
      </c:valAx>
    </c:plotArea>
    <c:legend>
      <c:legendPos val="r"/>
      <c:layout>
        <c:manualLayout>
          <c:xMode val="edge"/>
          <c:yMode val="edge"/>
          <c:x val="0.67002531557170986"/>
          <c:y val="0.13924063306800549"/>
          <c:w val="0.2491294117647059"/>
          <c:h val="0.148769961872846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Efficiency!$U$15:$U$24</c:f>
              <c:numCache>
                <c:formatCode>0.0</c:formatCode>
                <c:ptCount val="10"/>
                <c:pt idx="0">
                  <c:v>93.52971598300509</c:v>
                </c:pt>
                <c:pt idx="1">
                  <c:v>94.215823265211199</c:v>
                </c:pt>
                <c:pt idx="2">
                  <c:v>93.685353131933709</c:v>
                </c:pt>
                <c:pt idx="3">
                  <c:v>92.875722337647005</c:v>
                </c:pt>
                <c:pt idx="4">
                  <c:v>91.94196417679791</c:v>
                </c:pt>
                <c:pt idx="5">
                  <c:v>90.924261385486915</c:v>
                </c:pt>
                <c:pt idx="6">
                  <c:v>89.850525949681966</c:v>
                </c:pt>
                <c:pt idx="7">
                  <c:v>88.746102901765013</c:v>
                </c:pt>
                <c:pt idx="8">
                  <c:v>87.532142543366092</c:v>
                </c:pt>
                <c:pt idx="9">
                  <c:v>86.179698236916252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Efficiency!$AO$15:$AO$24</c:f>
              <c:numCache>
                <c:formatCode>0.0</c:formatCode>
                <c:ptCount val="10"/>
                <c:pt idx="0">
                  <c:v>90.246639742262943</c:v>
                </c:pt>
                <c:pt idx="1">
                  <c:v>91.926452539426435</c:v>
                </c:pt>
                <c:pt idx="2">
                  <c:v>91.81390026765942</c:v>
                </c:pt>
                <c:pt idx="3">
                  <c:v>91.298646224395</c:v>
                </c:pt>
                <c:pt idx="4">
                  <c:v>90.622942445721236</c:v>
                </c:pt>
                <c:pt idx="5">
                  <c:v>89.859727147044723</c:v>
                </c:pt>
                <c:pt idx="6">
                  <c:v>89.069761009495053</c:v>
                </c:pt>
                <c:pt idx="7">
                  <c:v>88.319381981640873</c:v>
                </c:pt>
                <c:pt idx="8">
                  <c:v>87.509382548893669</c:v>
                </c:pt>
                <c:pt idx="9">
                  <c:v>86.634458130209595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Efficiency!$BI$15:$BI$24</c:f>
              <c:numCache>
                <c:formatCode>0.0</c:formatCode>
                <c:ptCount val="10"/>
                <c:pt idx="0">
                  <c:v>87.171960324843567</c:v>
                </c:pt>
                <c:pt idx="1">
                  <c:v>89.721894508161355</c:v>
                </c:pt>
                <c:pt idx="2">
                  <c:v>89.946307987163351</c:v>
                </c:pt>
                <c:pt idx="3">
                  <c:v>89.643899849702478</c:v>
                </c:pt>
                <c:pt idx="4">
                  <c:v>89.135805667749011</c:v>
                </c:pt>
                <c:pt idx="5">
                  <c:v>88.522146698735156</c:v>
                </c:pt>
                <c:pt idx="6">
                  <c:v>87.882389490338781</c:v>
                </c:pt>
                <c:pt idx="7">
                  <c:v>87.301252044223574</c:v>
                </c:pt>
                <c:pt idx="8">
                  <c:v>86.670412588951947</c:v>
                </c:pt>
                <c:pt idx="9">
                  <c:v>85.99127760133058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65152"/>
        <c:axId val="205589760"/>
      </c:scatterChart>
      <c:valAx>
        <c:axId val="204165152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89760"/>
        <c:crosses val="autoZero"/>
        <c:crossBetween val="midCat"/>
        <c:majorUnit val="0.25"/>
        <c:minorUnit val="0.125"/>
      </c:valAx>
      <c:valAx>
        <c:axId val="205589760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133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515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9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4035495563054835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Efficiency!$O$4:$O$13</c:f>
              <c:numCache>
                <c:formatCode>0.0</c:formatCode>
                <c:ptCount val="10"/>
                <c:pt idx="0">
                  <c:v>26.799069803471255</c:v>
                </c:pt>
                <c:pt idx="1">
                  <c:v>27.883838606728737</c:v>
                </c:pt>
                <c:pt idx="2">
                  <c:v>29.527871522483327</c:v>
                </c:pt>
                <c:pt idx="3">
                  <c:v>31.776681001414875</c:v>
                </c:pt>
                <c:pt idx="4">
                  <c:v>34.692874035646</c:v>
                </c:pt>
                <c:pt idx="5">
                  <c:v>38.361016326913258</c:v>
                </c:pt>
                <c:pt idx="6">
                  <c:v>42.891221832629832</c:v>
                </c:pt>
                <c:pt idx="7">
                  <c:v>48.424374257736801</c:v>
                </c:pt>
                <c:pt idx="8">
                  <c:v>55.175166386675166</c:v>
                </c:pt>
                <c:pt idx="9">
                  <c:v>63.434752026602823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Efficiency!$AI$4:$AI$13</c:f>
              <c:numCache>
                <c:formatCode>0.0</c:formatCode>
                <c:ptCount val="10"/>
                <c:pt idx="0">
                  <c:v>27.806381687980871</c:v>
                </c:pt>
                <c:pt idx="1">
                  <c:v>29.160227782974509</c:v>
                </c:pt>
                <c:pt idx="2">
                  <c:v>30.893513786951864</c:v>
                </c:pt>
                <c:pt idx="3">
                  <c:v>33.033259030963862</c:v>
                </c:pt>
                <c:pt idx="4">
                  <c:v>35.613971370287153</c:v>
                </c:pt>
                <c:pt idx="5">
                  <c:v>38.67930127415201</c:v>
                </c:pt>
                <c:pt idx="6">
                  <c:v>42.280316010898296</c:v>
                </c:pt>
                <c:pt idx="7">
                  <c:v>46.472686151645718</c:v>
                </c:pt>
                <c:pt idx="8">
                  <c:v>51.349441357821483</c:v>
                </c:pt>
                <c:pt idx="9">
                  <c:v>57.019676721504155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Efficiency!$BC$4:$BC$13</c:f>
              <c:numCache>
                <c:formatCode>0.0</c:formatCode>
                <c:ptCount val="10"/>
                <c:pt idx="0">
                  <c:v>28.974671433288549</c:v>
                </c:pt>
                <c:pt idx="1">
                  <c:v>30.903075574579443</c:v>
                </c:pt>
                <c:pt idx="2">
                  <c:v>33.123152418068329</c:v>
                </c:pt>
                <c:pt idx="3">
                  <c:v>35.656351132872807</c:v>
                </c:pt>
                <c:pt idx="4">
                  <c:v>38.528557960150977</c:v>
                </c:pt>
                <c:pt idx="5">
                  <c:v>41.770966949833692</c:v>
                </c:pt>
                <c:pt idx="6">
                  <c:v>45.417581371379306</c:v>
                </c:pt>
                <c:pt idx="7">
                  <c:v>49.501498712495582</c:v>
                </c:pt>
                <c:pt idx="8">
                  <c:v>54.082740925622694</c:v>
                </c:pt>
                <c:pt idx="9">
                  <c:v>59.225814422555558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94240"/>
        <c:axId val="205594800"/>
      </c:scatterChart>
      <c:valAx>
        <c:axId val="20559424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4800"/>
        <c:crosses val="autoZero"/>
        <c:crossBetween val="midCat"/>
        <c:majorUnit val="0.25"/>
        <c:minorUnit val="0.125"/>
      </c:valAx>
      <c:valAx>
        <c:axId val="205594800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424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8006"/>
          <c:w val="0.1685914260717412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828152730908674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Efficiency!$O$15:$O$24</c:f>
              <c:numCache>
                <c:formatCode>0.0</c:formatCode>
                <c:ptCount val="10"/>
                <c:pt idx="0">
                  <c:v>86.881665169259804</c:v>
                </c:pt>
                <c:pt idx="1">
                  <c:v>88.230286735217973</c:v>
                </c:pt>
                <c:pt idx="2">
                  <c:v>90.355572470885875</c:v>
                </c:pt>
                <c:pt idx="3">
                  <c:v>93.325679346846613</c:v>
                </c:pt>
                <c:pt idx="4">
                  <c:v>97.234386187668463</c:v>
                </c:pt>
                <c:pt idx="5">
                  <c:v>102.2092118344399</c:v>
                </c:pt>
                <c:pt idx="6">
                  <c:v>108.41873556879693</c:v>
                </c:pt>
                <c:pt idx="7">
                  <c:v>116.08404131682531</c:v>
                </c:pt>
                <c:pt idx="8">
                  <c:v>125.54523719945507</c:v>
                </c:pt>
                <c:pt idx="9">
                  <c:v>137.27998046852903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Efficiency!$AI$15:$AI$24</c:f>
              <c:numCache>
                <c:formatCode>0.0</c:formatCode>
                <c:ptCount val="10"/>
                <c:pt idx="0">
                  <c:v>87.878254917809585</c:v>
                </c:pt>
                <c:pt idx="1">
                  <c:v>89.407939140715939</c:v>
                </c:pt>
                <c:pt idx="2">
                  <c:v>91.458760308305131</c:v>
                </c:pt>
                <c:pt idx="3">
                  <c:v>94.068703095429669</c:v>
                </c:pt>
                <c:pt idx="4">
                  <c:v>97.286529177035106</c:v>
                </c:pt>
                <c:pt idx="5">
                  <c:v>101.17436128625589</c:v>
                </c:pt>
                <c:pt idx="6">
                  <c:v>105.80575888664788</c:v>
                </c:pt>
                <c:pt idx="7">
                  <c:v>111.26257054001425</c:v>
                </c:pt>
                <c:pt idx="8">
                  <c:v>117.68117724054258</c:v>
                </c:pt>
                <c:pt idx="9">
                  <c:v>125.22496013615853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Efficiency!$BC$15:$BC$24</c:f>
              <c:numCache>
                <c:formatCode>0.0</c:formatCode>
                <c:ptCount val="10"/>
                <c:pt idx="0">
                  <c:v>89.036940510577651</c:v>
                </c:pt>
                <c:pt idx="1">
                  <c:v>91.097165073634088</c:v>
                </c:pt>
                <c:pt idx="2">
                  <c:v>93.554090883016798</c:v>
                </c:pt>
                <c:pt idx="3">
                  <c:v>96.435938545677544</c:v>
                </c:pt>
                <c:pt idx="4">
                  <c:v>99.777113822673712</c:v>
                </c:pt>
                <c:pt idx="5">
                  <c:v>103.61949004345355</c:v>
                </c:pt>
                <c:pt idx="6">
                  <c:v>108.0091311643243</c:v>
                </c:pt>
                <c:pt idx="7">
                  <c:v>112.99147333559419</c:v>
                </c:pt>
                <c:pt idx="8">
                  <c:v>118.64962458305001</c:v>
                </c:pt>
                <c:pt idx="9">
                  <c:v>125.07415634339303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88064"/>
        <c:axId val="205388624"/>
      </c:scatterChart>
      <c:valAx>
        <c:axId val="205388064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8624"/>
        <c:crosses val="autoZero"/>
        <c:crossBetween val="midCat"/>
        <c:majorUnit val="0.25"/>
        <c:minorUnit val="0.125"/>
      </c:valAx>
      <c:valAx>
        <c:axId val="20538862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806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531"/>
          <c:y val="0.15375943069878006"/>
          <c:w val="0.1487501562304714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2144"/>
          <c:y val="2.084538595855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Efficiency!$N$4:$N$13</c:f>
              <c:numCache>
                <c:formatCode>0.0</c:formatCode>
                <c:ptCount val="10"/>
                <c:pt idx="0">
                  <c:v>26.639093246994236</c:v>
                </c:pt>
                <c:pt idx="1">
                  <c:v>28.822608391287929</c:v>
                </c:pt>
                <c:pt idx="2">
                  <c:v>31.191524122915638</c:v>
                </c:pt>
                <c:pt idx="3">
                  <c:v>33.727002769991806</c:v>
                </c:pt>
                <c:pt idx="4">
                  <c:v>36.4083864769229</c:v>
                </c:pt>
                <c:pt idx="5">
                  <c:v>39.212324999228528</c:v>
                </c:pt>
                <c:pt idx="6">
                  <c:v>41.964780223945823</c:v>
                </c:pt>
                <c:pt idx="7">
                  <c:v>44.285336141814511</c:v>
                </c:pt>
                <c:pt idx="8">
                  <c:v>46.51043453180354</c:v>
                </c:pt>
                <c:pt idx="9">
                  <c:v>48.605430310328586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Efficiency!$AH$4:$AH$13</c:f>
              <c:numCache>
                <c:formatCode>0.0</c:formatCode>
                <c:ptCount val="10"/>
                <c:pt idx="0">
                  <c:v>27.592599114399068</c:v>
                </c:pt>
                <c:pt idx="1">
                  <c:v>31.081909324731278</c:v>
                </c:pt>
                <c:pt idx="2">
                  <c:v>34.913133448279126</c:v>
                </c:pt>
                <c:pt idx="3">
                  <c:v>39.068690680487862</c:v>
                </c:pt>
                <c:pt idx="4">
                  <c:v>43.531058868527879</c:v>
                </c:pt>
                <c:pt idx="5">
                  <c:v>48.282521214921033</c:v>
                </c:pt>
                <c:pt idx="6">
                  <c:v>53.057160637257589</c:v>
                </c:pt>
                <c:pt idx="7">
                  <c:v>57.233496190744525</c:v>
                </c:pt>
                <c:pt idx="8">
                  <c:v>61.40776424241156</c:v>
                </c:pt>
                <c:pt idx="9">
                  <c:v>65.570653032836191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28.075670190635826</c:v>
                </c:pt>
                <c:pt idx="1">
                  <c:v>32.219007660451609</c:v>
                </c:pt>
                <c:pt idx="2">
                  <c:v>36.773607093254554</c:v>
                </c:pt>
                <c:pt idx="3">
                  <c:v>41.720482230425915</c:v>
                </c:pt>
                <c:pt idx="4">
                  <c:v>47.041249827797216</c:v>
                </c:pt>
                <c:pt idx="5">
                  <c:v>52.717981890506437</c:v>
                </c:pt>
                <c:pt idx="6">
                  <c:v>58.435100802379964</c:v>
                </c:pt>
                <c:pt idx="7">
                  <c:v>63.448205851357315</c:v>
                </c:pt>
                <c:pt idx="8">
                  <c:v>68.478444250384527</c:v>
                </c:pt>
                <c:pt idx="9">
                  <c:v>73.520939378313216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92544"/>
        <c:axId val="205393104"/>
      </c:scatterChart>
      <c:valAx>
        <c:axId val="205392544"/>
        <c:scaling>
          <c:orientation val="minMax"/>
          <c:max val="3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93104"/>
        <c:crosses val="autoZero"/>
        <c:crossBetween val="midCat"/>
        <c:majorUnit val="0.25"/>
        <c:minorUnit val="0.125"/>
      </c:valAx>
      <c:valAx>
        <c:axId val="20539310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9254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331"/>
          <c:y val="0.10912902623573729"/>
          <c:w val="0.12461751371987591"/>
          <c:h val="0.157884464441949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Efficiency!$N$15:$N$24</c:f>
              <c:numCache>
                <c:formatCode>0.0</c:formatCode>
                <c:ptCount val="10"/>
                <c:pt idx="0">
                  <c:v>86.340535499702099</c:v>
                </c:pt>
                <c:pt idx="1">
                  <c:v>88.160860156259616</c:v>
                </c:pt>
                <c:pt idx="2">
                  <c:v>90.163590442037687</c:v>
                </c:pt>
                <c:pt idx="3">
                  <c:v>92.325053432127461</c:v>
                </c:pt>
                <c:pt idx="4">
                  <c:v>94.619023397709611</c:v>
                </c:pt>
                <c:pt idx="5">
                  <c:v>97.015422276947277</c:v>
                </c:pt>
                <c:pt idx="6">
                  <c:v>99.335057817984008</c:v>
                </c:pt>
                <c:pt idx="7">
                  <c:v>101.20072410591439</c:v>
                </c:pt>
                <c:pt idx="8">
                  <c:v>102.93278066367776</c:v>
                </c:pt>
                <c:pt idx="9">
                  <c:v>104.48071336261302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Efficiency!$AH$15:$AH$24</c:f>
              <c:numCache>
                <c:formatCode>0.0</c:formatCode>
                <c:ptCount val="10"/>
                <c:pt idx="0">
                  <c:v>87.120239076041727</c:v>
                </c:pt>
                <c:pt idx="1">
                  <c:v>90.04383855962368</c:v>
                </c:pt>
                <c:pt idx="2">
                  <c:v>93.318674192042536</c:v>
                </c:pt>
                <c:pt idx="3">
                  <c:v>96.924702633196134</c:v>
                </c:pt>
                <c:pt idx="4">
                  <c:v>100.84184045069159</c:v>
                </c:pt>
                <c:pt idx="5">
                  <c:v>105.04961512154981</c:v>
                </c:pt>
                <c:pt idx="6">
                  <c:v>109.27939023381172</c:v>
                </c:pt>
                <c:pt idx="7">
                  <c:v>112.90964858648796</c:v>
                </c:pt>
                <c:pt idx="8">
                  <c:v>116.5345219152495</c:v>
                </c:pt>
                <c:pt idx="9">
                  <c:v>120.14163793367305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Efficiency!$BB$15:$BB$24</c:f>
              <c:numCache>
                <c:formatCode>0.0</c:formatCode>
                <c:ptCount val="10"/>
                <c:pt idx="0">
                  <c:v>87.513571970409032</c:v>
                </c:pt>
                <c:pt idx="1">
                  <c:v>90.986617653275601</c:v>
                </c:pt>
                <c:pt idx="2">
                  <c:v>94.886155432625628</c:v>
                </c:pt>
                <c:pt idx="3">
                  <c:v>99.191370487121702</c:v>
                </c:pt>
                <c:pt idx="4">
                  <c:v>103.88207412235062</c:v>
                </c:pt>
                <c:pt idx="5">
                  <c:v>108.93851579126486</c:v>
                </c:pt>
                <c:pt idx="6">
                  <c:v>114.04283431990655</c:v>
                </c:pt>
                <c:pt idx="7">
                  <c:v>118.44922132287459</c:v>
                </c:pt>
                <c:pt idx="8">
                  <c:v>122.8793040157617</c:v>
                </c:pt>
                <c:pt idx="9">
                  <c:v>127.32685742746477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6112"/>
        <c:axId val="205716672"/>
      </c:scatterChart>
      <c:valAx>
        <c:axId val="205716112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16672"/>
        <c:crosses val="autoZero"/>
        <c:crossBetween val="midCat"/>
        <c:majorUnit val="0.25"/>
        <c:minorUnit val="0.125"/>
      </c:valAx>
      <c:valAx>
        <c:axId val="205716672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1611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331"/>
          <c:y val="0.10912902623573729"/>
          <c:w val="0.12461751371987591"/>
          <c:h val="0.157884464441949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</c:f>
              <c:strCache>
                <c:ptCount val="1"/>
                <c:pt idx="0">
                  <c:v>3.00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4.8669966491581649</c:v>
                </c:pt>
                <c:pt idx="30">
                  <c:v>4.6547546826874475</c:v>
                </c:pt>
                <c:pt idx="31">
                  <c:v>4.4424850448790565</c:v>
                </c:pt>
                <c:pt idx="32">
                  <c:v>4.2301881772848109</c:v>
                </c:pt>
                <c:pt idx="33">
                  <c:v>4.0178712606241511</c:v>
                </c:pt>
                <c:pt idx="34">
                  <c:v>3.8055368902359308</c:v>
                </c:pt>
                <c:pt idx="35">
                  <c:v>3.5931850661201508</c:v>
                </c:pt>
                <c:pt idx="36">
                  <c:v>3.3808157882768106</c:v>
                </c:pt>
                <c:pt idx="37">
                  <c:v>3.1684290567059104</c:v>
                </c:pt>
                <c:pt idx="38">
                  <c:v>2.9560248714074491</c:v>
                </c:pt>
                <c:pt idx="39">
                  <c:v>2.7436032323814286</c:v>
                </c:pt>
                <c:pt idx="40">
                  <c:v>2.5311641396278493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4.9990521327014221</c:v>
                </c:pt>
                <c:pt idx="31">
                  <c:v>4.7908844882330577</c:v>
                </c:pt>
                <c:pt idx="32">
                  <c:v>4.5782775498026993</c:v>
                </c:pt>
                <c:pt idx="33">
                  <c:v>4.3656612915940425</c:v>
                </c:pt>
                <c:pt idx="34">
                  <c:v>4.153038437323187</c:v>
                </c:pt>
                <c:pt idx="35">
                  <c:v>3.9404089962247739</c:v>
                </c:pt>
                <c:pt idx="36">
                  <c:v>3.7277729682988023</c:v>
                </c:pt>
                <c:pt idx="37">
                  <c:v>3.5151303535452727</c:v>
                </c:pt>
                <c:pt idx="38">
                  <c:v>3.3024811519641846</c:v>
                </c:pt>
                <c:pt idx="39">
                  <c:v>3.0898253635555379</c:v>
                </c:pt>
                <c:pt idx="40">
                  <c:v>2.8771629883193328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1.00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4.9990521327014221</c:v>
                </c:pt>
                <c:pt idx="31">
                  <c:v>4.9990521327014221</c:v>
                </c:pt>
                <c:pt idx="32">
                  <c:v>4.8385614683779306</c:v>
                </c:pt>
                <c:pt idx="33">
                  <c:v>4.6257944534683926</c:v>
                </c:pt>
                <c:pt idx="34">
                  <c:v>4.4130258188848295</c:v>
                </c:pt>
                <c:pt idx="35">
                  <c:v>4.2002556742899397</c:v>
                </c:pt>
                <c:pt idx="36">
                  <c:v>3.9874840196837207</c:v>
                </c:pt>
                <c:pt idx="37">
                  <c:v>3.7747108550661741</c:v>
                </c:pt>
                <c:pt idx="38">
                  <c:v>3.5619361804372995</c:v>
                </c:pt>
                <c:pt idx="39">
                  <c:v>3.349159995797097</c:v>
                </c:pt>
                <c:pt idx="40">
                  <c:v>3.1363823011455665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18032"/>
        <c:axId val="205918592"/>
      </c:scatterChart>
      <c:valAx>
        <c:axId val="205918032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18592"/>
        <c:crosses val="autoZero"/>
        <c:crossBetween val="midCat"/>
        <c:majorUnit val="0.8"/>
        <c:minorUnit val="0.4"/>
      </c:valAx>
      <c:valAx>
        <c:axId val="205918592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1803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594"/>
          <c:w val="0.1468136795400575"/>
          <c:h val="0.21524967328874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Dropout!$C$47</c:f>
              <c:strCache>
                <c:ptCount val="1"/>
                <c:pt idx="0">
                  <c:v>3.00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4.8473878136467192</c:v>
                </c:pt>
                <c:pt idx="30">
                  <c:v>4.6359421957288092</c:v>
                </c:pt>
                <c:pt idx="31">
                  <c:v>4.4244691697089156</c:v>
                </c:pt>
                <c:pt idx="32">
                  <c:v>4.2129691673205256</c:v>
                </c:pt>
                <c:pt idx="33">
                  <c:v>4.0014492417770775</c:v>
                </c:pt>
                <c:pt idx="34">
                  <c:v>3.7899119489409383</c:v>
                </c:pt>
                <c:pt idx="35">
                  <c:v>3.5783572888121071</c:v>
                </c:pt>
                <c:pt idx="36">
                  <c:v>3.3667852613905858</c:v>
                </c:pt>
                <c:pt idx="37">
                  <c:v>3.1551958666763724</c:v>
                </c:pt>
                <c:pt idx="38">
                  <c:v>2.943589104669468</c:v>
                </c:pt>
                <c:pt idx="39">
                  <c:v>2.7319649753698716</c:v>
                </c:pt>
                <c:pt idx="40">
                  <c:v>2.520323478777585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4.9829886614233789</c:v>
                </c:pt>
                <c:pt idx="31">
                  <c:v>4.7711916564939454</c:v>
                </c:pt>
                <c:pt idx="32">
                  <c:v>4.5593832801807475</c:v>
                </c:pt>
                <c:pt idx="33">
                  <c:v>4.3475656543527172</c:v>
                </c:pt>
                <c:pt idx="34">
                  <c:v>4.1357414602794424</c:v>
                </c:pt>
                <c:pt idx="35">
                  <c:v>3.9239107070972765</c:v>
                </c:pt>
                <c:pt idx="36">
                  <c:v>3.712073394806215</c:v>
                </c:pt>
                <c:pt idx="37">
                  <c:v>3.5002295234062615</c:v>
                </c:pt>
                <c:pt idx="38">
                  <c:v>3.2883790928974146</c:v>
                </c:pt>
                <c:pt idx="39">
                  <c:v>3.0765221032796743</c:v>
                </c:pt>
                <c:pt idx="40">
                  <c:v>2.8646585545530416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1.00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4.9990521327014221</c:v>
                </c:pt>
                <c:pt idx="31">
                  <c:v>4.9990521327014221</c:v>
                </c:pt>
                <c:pt idx="32">
                  <c:v>4.8190083884394079</c:v>
                </c:pt>
                <c:pt idx="33">
                  <c:v>4.6070406610204255</c:v>
                </c:pt>
                <c:pt idx="34">
                  <c:v>4.3950713214062294</c:v>
                </c:pt>
                <c:pt idx="35">
                  <c:v>4.1831004776096767</c:v>
                </c:pt>
                <c:pt idx="36">
                  <c:v>3.9711281296307663</c:v>
                </c:pt>
                <c:pt idx="37">
                  <c:v>3.7591542774694982</c:v>
                </c:pt>
                <c:pt idx="38">
                  <c:v>3.5471789211258731</c:v>
                </c:pt>
                <c:pt idx="39">
                  <c:v>3.3352020605998902</c:v>
                </c:pt>
                <c:pt idx="40">
                  <c:v>3.12322369589155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23072"/>
        <c:axId val="205923632"/>
      </c:scatterChart>
      <c:valAx>
        <c:axId val="205923072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23632"/>
        <c:crosses val="autoZero"/>
        <c:crossBetween val="midCat"/>
        <c:majorUnit val="0.8"/>
        <c:minorUnit val="0.4"/>
      </c:valAx>
      <c:valAx>
        <c:axId val="205923632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230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10044"/>
          <c:y val="0.1202866273514987"/>
          <c:w val="0.15673431446069619"/>
          <c:h val="0.19572387133616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726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827"/>
          <c:w val="0.82715987168271365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527850685331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Constants!$B$49:$B$53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Constants!$C$49:$C$53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15712"/>
        <c:axId val="207016272"/>
      </c:scatterChart>
      <c:valAx>
        <c:axId val="207015712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016272"/>
        <c:crosses val="autoZero"/>
        <c:crossBetween val="midCat"/>
        <c:majorUnit val="1"/>
        <c:minorUnit val="1"/>
      </c:valAx>
      <c:valAx>
        <c:axId val="207016272"/>
        <c:scaling>
          <c:orientation val="minMax"/>
          <c:max val="10.5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83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7015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538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9</xdr:row>
      <xdr:rowOff>9525</xdr:rowOff>
    </xdr:from>
    <xdr:to>
      <xdr:col>14</xdr:col>
      <xdr:colOff>600076</xdr:colOff>
      <xdr:row>21</xdr:row>
      <xdr:rowOff>58070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6" y="2124075"/>
          <a:ext cx="3657600" cy="29631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9</xdr:col>
      <xdr:colOff>15240</xdr:colOff>
      <xdr:row>95</xdr:row>
      <xdr:rowOff>31410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845" t="12111" r="4965" b="19682"/>
        <a:stretch>
          <a:fillRect/>
        </a:stretch>
      </xdr:blipFill>
      <xdr:spPr bwMode="auto">
        <a:xfrm>
          <a:off x="0" y="17887950"/>
          <a:ext cx="7863840" cy="34604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1</xdr:row>
      <xdr:rowOff>179731</xdr:rowOff>
    </xdr:from>
    <xdr:to>
      <xdr:col>15</xdr:col>
      <xdr:colOff>419099</xdr:colOff>
      <xdr:row>14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5" b="10130"/>
        <a:stretch>
          <a:fillRect/>
        </a:stretch>
      </xdr:blipFill>
      <xdr:spPr bwMode="auto">
        <a:xfrm>
          <a:off x="7972425" y="179731"/>
          <a:ext cx="3952874" cy="32111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76200</xdr:rowOff>
    </xdr:from>
    <xdr:to>
      <xdr:col>14</xdr:col>
      <xdr:colOff>219075</xdr:colOff>
      <xdr:row>48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133350</xdr:rowOff>
    </xdr:from>
    <xdr:to>
      <xdr:col>14</xdr:col>
      <xdr:colOff>219075</xdr:colOff>
      <xdr:row>72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24</xdr:row>
      <xdr:rowOff>80963</xdr:rowOff>
    </xdr:from>
    <xdr:to>
      <xdr:col>28</xdr:col>
      <xdr:colOff>419100</xdr:colOff>
      <xdr:row>48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48</xdr:row>
      <xdr:rowOff>142875</xdr:rowOff>
    </xdr:from>
    <xdr:to>
      <xdr:col>28</xdr:col>
      <xdr:colOff>419100</xdr:colOff>
      <xdr:row>72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24</xdr:row>
      <xdr:rowOff>85725</xdr:rowOff>
    </xdr:from>
    <xdr:to>
      <xdr:col>43</xdr:col>
      <xdr:colOff>171450</xdr:colOff>
      <xdr:row>48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48</xdr:row>
      <xdr:rowOff>152400</xdr:rowOff>
    </xdr:from>
    <xdr:to>
      <xdr:col>43</xdr:col>
      <xdr:colOff>171450</xdr:colOff>
      <xdr:row>72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11</xdr:row>
      <xdr:rowOff>1</xdr:rowOff>
    </xdr:from>
    <xdr:to>
      <xdr:col>14</xdr:col>
      <xdr:colOff>209550</xdr:colOff>
      <xdr:row>20</xdr:row>
      <xdr:rowOff>130874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2590801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11</xdr:row>
      <xdr:rowOff>1</xdr:rowOff>
    </xdr:from>
    <xdr:to>
      <xdr:col>19</xdr:col>
      <xdr:colOff>438150</xdr:colOff>
      <xdr:row>20</xdr:row>
      <xdr:rowOff>130874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29850" y="2590801"/>
          <a:ext cx="3200400" cy="2188273"/>
        </a:xfrm>
        <a:prstGeom prst="rect">
          <a:avLst/>
        </a:prstGeom>
      </xdr:spPr>
    </xdr:pic>
    <xdr:clientData/>
  </xdr:twoCellAnchor>
  <xdr:twoCellAnchor>
    <xdr:from>
      <xdr:col>7</xdr:col>
      <xdr:colOff>114299</xdr:colOff>
      <xdr:row>37</xdr:row>
      <xdr:rowOff>0</xdr:rowOff>
    </xdr:from>
    <xdr:to>
      <xdr:col>14</xdr:col>
      <xdr:colOff>161924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20</xdr:row>
      <xdr:rowOff>180977</xdr:rowOff>
    </xdr:from>
    <xdr:to>
      <xdr:col>16</xdr:col>
      <xdr:colOff>104775</xdr:colOff>
      <xdr:row>35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381001</xdr:colOff>
      <xdr:row>16</xdr:row>
      <xdr:rowOff>133350</xdr:rowOff>
    </xdr:from>
    <xdr:to>
      <xdr:col>14</xdr:col>
      <xdr:colOff>9525</xdr:colOff>
      <xdr:row>17</xdr:row>
      <xdr:rowOff>209550</xdr:rowOff>
    </xdr:to>
    <xdr:sp macro="" textlink="">
      <xdr:nvSpPr>
        <xdr:cNvPr id="13" name="TextBox 12"/>
        <xdr:cNvSpPr txBox="1"/>
      </xdr:nvSpPr>
      <xdr:spPr>
        <a:xfrm>
          <a:off x="7277101" y="3867150"/>
          <a:ext cx="26765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552451</xdr:colOff>
      <xdr:row>16</xdr:row>
      <xdr:rowOff>123826</xdr:rowOff>
    </xdr:from>
    <xdr:to>
      <xdr:col>19</xdr:col>
      <xdr:colOff>219075</xdr:colOff>
      <xdr:row>17</xdr:row>
      <xdr:rowOff>200026</xdr:rowOff>
    </xdr:to>
    <xdr:sp macro="" textlink="">
      <xdr:nvSpPr>
        <xdr:cNvPr id="14" name="TextBox 13"/>
        <xdr:cNvSpPr txBox="1"/>
      </xdr:nvSpPr>
      <xdr:spPr>
        <a:xfrm>
          <a:off x="10496551" y="3857626"/>
          <a:ext cx="27146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7"/>
  <sheetViews>
    <sheetView showGridLines="0" tabSelected="1" workbookViewId="0">
      <selection sqref="A1:I1"/>
    </sheetView>
  </sheetViews>
  <sheetFormatPr defaultRowHeight="15" x14ac:dyDescent="0.2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 x14ac:dyDescent="0.3">
      <c r="A1" s="369" t="s">
        <v>353</v>
      </c>
      <c r="B1" s="370"/>
      <c r="C1" s="370"/>
      <c r="D1" s="370"/>
      <c r="E1" s="370"/>
      <c r="F1" s="370"/>
      <c r="G1" s="370"/>
      <c r="H1" s="370"/>
      <c r="I1" s="371"/>
    </row>
    <row r="2" spans="1:16" ht="24" customHeight="1" thickBot="1" x14ac:dyDescent="0.3">
      <c r="A2" s="393" t="s">
        <v>155</v>
      </c>
      <c r="B2" s="394"/>
      <c r="C2" s="394"/>
      <c r="D2" s="394"/>
      <c r="E2" s="394"/>
      <c r="F2" s="394"/>
      <c r="G2" s="394"/>
      <c r="H2" s="394"/>
      <c r="I2" s="395"/>
    </row>
    <row r="3" spans="1:16" s="2" customFormat="1" ht="18" customHeight="1" thickBot="1" x14ac:dyDescent="0.35">
      <c r="A3" s="90" t="s">
        <v>131</v>
      </c>
      <c r="B3" s="42" t="s">
        <v>30</v>
      </c>
      <c r="C3" s="42" t="s">
        <v>31</v>
      </c>
      <c r="D3" s="42" t="s">
        <v>32</v>
      </c>
      <c r="E3" s="43" t="s">
        <v>33</v>
      </c>
      <c r="F3" s="398" t="s">
        <v>35</v>
      </c>
      <c r="G3" s="399"/>
      <c r="H3" s="399"/>
      <c r="I3" s="400"/>
      <c r="J3" s="3"/>
      <c r="K3" s="3"/>
      <c r="L3" s="3"/>
      <c r="M3" s="3"/>
      <c r="N3" s="3"/>
      <c r="O3" s="3"/>
      <c r="P3" s="3"/>
    </row>
    <row r="4" spans="1:16" ht="18" customHeight="1" thickBot="1" x14ac:dyDescent="0.3">
      <c r="A4" s="44" t="s">
        <v>316</v>
      </c>
      <c r="B4" s="249">
        <v>8</v>
      </c>
      <c r="C4" s="249">
        <v>12</v>
      </c>
      <c r="D4" s="249">
        <v>16</v>
      </c>
      <c r="E4" s="23" t="s">
        <v>2</v>
      </c>
      <c r="F4" s="401" t="str">
        <f>IF(B4&lt;Constants!D7,"Vin_min is lower than UVLO Stop_max","Steady-state input operating voltages")</f>
        <v>Steady-state input operating voltages</v>
      </c>
      <c r="G4" s="402"/>
      <c r="H4" s="402"/>
      <c r="I4" s="403"/>
    </row>
    <row r="5" spans="1:16" ht="18" customHeight="1" thickBot="1" x14ac:dyDescent="0.4">
      <c r="A5" s="44" t="s">
        <v>317</v>
      </c>
      <c r="B5" s="249">
        <v>7.8</v>
      </c>
      <c r="C5" s="294" t="s">
        <v>21</v>
      </c>
      <c r="D5" s="295" t="s">
        <v>21</v>
      </c>
      <c r="E5" s="13" t="s">
        <v>2</v>
      </c>
      <c r="F5" s="330" t="s">
        <v>318</v>
      </c>
      <c r="G5" s="338"/>
      <c r="H5" s="338"/>
      <c r="I5" s="339"/>
    </row>
    <row r="6" spans="1:16" ht="18" customHeight="1" thickBot="1" x14ac:dyDescent="0.3">
      <c r="A6" s="45" t="s">
        <v>48</v>
      </c>
      <c r="B6" s="296" t="s">
        <v>21</v>
      </c>
      <c r="C6" s="297">
        <v>5</v>
      </c>
      <c r="D6" s="62" t="s">
        <v>21</v>
      </c>
      <c r="E6" s="13" t="s">
        <v>2</v>
      </c>
      <c r="F6" s="404" t="s">
        <v>89</v>
      </c>
      <c r="G6" s="405"/>
      <c r="H6" s="405"/>
      <c r="I6" s="406"/>
    </row>
    <row r="7" spans="1:16" ht="18" customHeight="1" thickBot="1" x14ac:dyDescent="0.4">
      <c r="A7" s="45" t="s">
        <v>73</v>
      </c>
      <c r="B7" s="298" t="s">
        <v>21</v>
      </c>
      <c r="C7" s="337" t="s">
        <v>21</v>
      </c>
      <c r="D7" s="299">
        <v>3</v>
      </c>
      <c r="E7" s="23" t="s">
        <v>66</v>
      </c>
      <c r="F7" s="404" t="s">
        <v>90</v>
      </c>
      <c r="G7" s="405"/>
      <c r="H7" s="405"/>
      <c r="I7" s="406"/>
    </row>
    <row r="8" spans="1:16" ht="18" customHeight="1" thickBot="1" x14ac:dyDescent="0.3">
      <c r="A8" s="45" t="s">
        <v>134</v>
      </c>
      <c r="B8" s="300" t="s">
        <v>21</v>
      </c>
      <c r="C8" s="301" t="s">
        <v>21</v>
      </c>
      <c r="D8" s="58">
        <v>1.6</v>
      </c>
      <c r="E8" s="23" t="s">
        <v>23</v>
      </c>
      <c r="F8" s="404" t="s">
        <v>149</v>
      </c>
      <c r="G8" s="405"/>
      <c r="H8" s="405"/>
      <c r="I8" s="406"/>
    </row>
    <row r="9" spans="1:16" ht="18" customHeight="1" thickBot="1" x14ac:dyDescent="0.3">
      <c r="A9" s="45" t="s">
        <v>133</v>
      </c>
      <c r="B9" s="302" t="s">
        <v>21</v>
      </c>
      <c r="C9" s="60" t="s">
        <v>21</v>
      </c>
      <c r="D9" s="58">
        <v>1.6</v>
      </c>
      <c r="E9" s="23" t="s">
        <v>23</v>
      </c>
      <c r="F9" s="404" t="s">
        <v>149</v>
      </c>
      <c r="G9" s="405"/>
      <c r="H9" s="405"/>
      <c r="I9" s="406"/>
    </row>
    <row r="10" spans="1:16" ht="18" customHeight="1" thickBot="1" x14ac:dyDescent="0.3">
      <c r="A10" s="44" t="s">
        <v>132</v>
      </c>
      <c r="B10" s="58">
        <v>-20</v>
      </c>
      <c r="C10" s="303" t="s">
        <v>21</v>
      </c>
      <c r="D10" s="58">
        <v>20</v>
      </c>
      <c r="E10" s="23" t="s">
        <v>23</v>
      </c>
      <c r="F10" s="404" t="s">
        <v>57</v>
      </c>
      <c r="G10" s="405"/>
      <c r="H10" s="405"/>
      <c r="I10" s="406"/>
    </row>
    <row r="11" spans="1:16" ht="18" customHeight="1" thickBot="1" x14ac:dyDescent="0.3">
      <c r="A11" s="46" t="s">
        <v>69</v>
      </c>
      <c r="B11" s="304" t="s">
        <v>21</v>
      </c>
      <c r="C11" s="305">
        <v>1</v>
      </c>
      <c r="D11" s="62" t="s">
        <v>21</v>
      </c>
      <c r="E11" s="38" t="s">
        <v>36</v>
      </c>
      <c r="F11" s="375" t="s">
        <v>65</v>
      </c>
      <c r="G11" s="376"/>
      <c r="H11" s="376"/>
      <c r="I11" s="377"/>
    </row>
    <row r="12" spans="1:16" ht="18" customHeight="1" thickBot="1" x14ac:dyDescent="0.3">
      <c r="A12" s="39" t="s">
        <v>141</v>
      </c>
      <c r="B12" s="40" t="s">
        <v>21</v>
      </c>
      <c r="C12" s="37">
        <v>34</v>
      </c>
      <c r="D12" s="54" t="s">
        <v>21</v>
      </c>
      <c r="E12" s="41" t="s">
        <v>22</v>
      </c>
      <c r="F12" s="387" t="s">
        <v>275</v>
      </c>
      <c r="G12" s="388"/>
      <c r="H12" s="388"/>
      <c r="I12" s="389"/>
    </row>
    <row r="13" spans="1:16" ht="18" customHeight="1" thickBot="1" x14ac:dyDescent="0.3">
      <c r="A13" s="55" t="s">
        <v>101</v>
      </c>
      <c r="B13" s="56" t="s">
        <v>21</v>
      </c>
      <c r="C13" s="57" t="s">
        <v>21</v>
      </c>
      <c r="D13" s="58">
        <v>85</v>
      </c>
      <c r="E13" s="59" t="s">
        <v>100</v>
      </c>
      <c r="F13" s="378" t="s">
        <v>159</v>
      </c>
      <c r="G13" s="379"/>
      <c r="H13" s="379"/>
      <c r="I13" s="380"/>
    </row>
    <row r="14" spans="1:16" ht="18" customHeight="1" thickBot="1" x14ac:dyDescent="0.3">
      <c r="A14" s="408" t="s">
        <v>234</v>
      </c>
      <c r="B14" s="409"/>
      <c r="C14" s="410"/>
      <c r="D14" s="220" t="s">
        <v>33</v>
      </c>
      <c r="E14" s="409" t="s">
        <v>35</v>
      </c>
      <c r="F14" s="409"/>
      <c r="G14" s="409"/>
      <c r="H14" s="409"/>
      <c r="I14" s="411"/>
    </row>
    <row r="15" spans="1:16" ht="18" customHeight="1" thickBot="1" x14ac:dyDescent="0.3">
      <c r="A15" s="252" t="s">
        <v>227</v>
      </c>
      <c r="B15" s="215">
        <v>0.2</v>
      </c>
      <c r="C15" s="216">
        <v>0.32</v>
      </c>
      <c r="D15" s="217" t="s">
        <v>224</v>
      </c>
      <c r="E15" s="412" t="s">
        <v>241</v>
      </c>
      <c r="F15" s="413"/>
      <c r="G15" s="413"/>
      <c r="H15" s="413"/>
      <c r="I15" s="414"/>
      <c r="M15" s="246"/>
    </row>
    <row r="16" spans="1:16" ht="18" customHeight="1" thickBot="1" x14ac:dyDescent="0.3">
      <c r="A16" s="135" t="s">
        <v>228</v>
      </c>
      <c r="B16" s="215">
        <v>2</v>
      </c>
      <c r="C16" s="216">
        <v>0.46</v>
      </c>
      <c r="D16" s="218" t="s">
        <v>224</v>
      </c>
      <c r="E16" s="404" t="s">
        <v>242</v>
      </c>
      <c r="F16" s="405"/>
      <c r="G16" s="405"/>
      <c r="H16" s="405"/>
      <c r="I16" s="406"/>
    </row>
    <row r="17" spans="1:16" ht="18" customHeight="1" thickBot="1" x14ac:dyDescent="0.3">
      <c r="A17" s="135" t="s">
        <v>229</v>
      </c>
      <c r="B17" s="215">
        <v>4</v>
      </c>
      <c r="C17" s="216">
        <v>0.51</v>
      </c>
      <c r="D17" s="218" t="s">
        <v>224</v>
      </c>
      <c r="E17" s="404" t="s">
        <v>243</v>
      </c>
      <c r="F17" s="405"/>
      <c r="G17" s="405"/>
      <c r="H17" s="405"/>
      <c r="I17" s="406"/>
      <c r="K17" s="244"/>
      <c r="L17" s="245"/>
      <c r="M17" s="245"/>
      <c r="N17" s="245"/>
      <c r="O17" s="245"/>
      <c r="P17" s="245"/>
    </row>
    <row r="18" spans="1:16" ht="18" customHeight="1" thickBot="1" x14ac:dyDescent="0.3">
      <c r="A18" s="135" t="s">
        <v>267</v>
      </c>
      <c r="B18" s="396">
        <v>-1</v>
      </c>
      <c r="C18" s="397"/>
      <c r="D18" s="218" t="s">
        <v>225</v>
      </c>
      <c r="E18" s="405" t="s">
        <v>266</v>
      </c>
      <c r="F18" s="405"/>
      <c r="G18" s="405"/>
      <c r="H18" s="405"/>
      <c r="I18" s="406"/>
      <c r="K18" s="258"/>
      <c r="L18" s="245"/>
      <c r="M18" s="245"/>
      <c r="N18" s="245"/>
      <c r="O18" s="245"/>
      <c r="P18" s="245"/>
    </row>
    <row r="19" spans="1:16" ht="18" customHeight="1" thickBot="1" x14ac:dyDescent="0.3">
      <c r="A19" s="261" t="s">
        <v>268</v>
      </c>
      <c r="B19" s="415">
        <v>57</v>
      </c>
      <c r="C19" s="416"/>
      <c r="D19" s="41" t="s">
        <v>22</v>
      </c>
      <c r="E19" s="257" t="s">
        <v>269</v>
      </c>
      <c r="F19" s="259"/>
      <c r="G19" s="259"/>
      <c r="H19" s="259"/>
      <c r="I19" s="260"/>
    </row>
    <row r="20" spans="1:16" ht="32.1" customHeight="1" thickBot="1" x14ac:dyDescent="0.3">
      <c r="A20" s="390" t="s">
        <v>174</v>
      </c>
      <c r="B20" s="391"/>
      <c r="C20" s="391"/>
      <c r="D20" s="391"/>
      <c r="E20" s="391"/>
      <c r="F20" s="391"/>
      <c r="G20" s="391"/>
      <c r="H20" s="391"/>
      <c r="I20" s="392"/>
    </row>
    <row r="21" spans="1:16" s="2" customFormat="1" ht="18" customHeight="1" x14ac:dyDescent="0.3">
      <c r="A21" s="132" t="s">
        <v>29</v>
      </c>
      <c r="B21" s="243" t="s">
        <v>28</v>
      </c>
      <c r="C21" s="243" t="s">
        <v>33</v>
      </c>
      <c r="D21" s="384" t="s">
        <v>35</v>
      </c>
      <c r="E21" s="385"/>
      <c r="F21" s="385"/>
      <c r="G21" s="385"/>
      <c r="H21" s="385"/>
      <c r="I21" s="386"/>
      <c r="J21" s="3"/>
      <c r="K21" s="3"/>
      <c r="L21" s="3"/>
      <c r="M21" s="3"/>
      <c r="N21" s="3"/>
      <c r="O21" s="3"/>
      <c r="P21" s="3"/>
    </row>
    <row r="22" spans="1:16" s="2" customFormat="1" ht="18" customHeight="1" x14ac:dyDescent="0.3">
      <c r="A22" s="381" t="s">
        <v>252</v>
      </c>
      <c r="B22" s="382"/>
      <c r="C22" s="382"/>
      <c r="D22" s="382"/>
      <c r="E22" s="382"/>
      <c r="F22" s="382"/>
      <c r="G22" s="382"/>
      <c r="H22" s="382"/>
      <c r="I22" s="383"/>
      <c r="J22" s="3"/>
      <c r="K22" s="3"/>
      <c r="L22" s="3"/>
      <c r="M22" s="3"/>
      <c r="N22" s="3"/>
      <c r="O22" s="3"/>
      <c r="P22" s="3"/>
    </row>
    <row r="23" spans="1:16" ht="18" customHeight="1" thickBot="1" x14ac:dyDescent="0.3">
      <c r="A23" s="47" t="s">
        <v>49</v>
      </c>
      <c r="B23" s="417">
        <f>Constants!C5*1000*Design!C6/Constants!C3/1000</f>
        <v>222.5</v>
      </c>
      <c r="C23" s="417"/>
      <c r="D23" s="16" t="s">
        <v>64</v>
      </c>
      <c r="E23" s="20" t="s">
        <v>87</v>
      </c>
      <c r="F23" s="18"/>
      <c r="G23" s="18"/>
      <c r="H23" s="18"/>
      <c r="I23" s="48"/>
      <c r="K23" s="247" t="s">
        <v>270</v>
      </c>
    </row>
    <row r="24" spans="1:16" ht="18" customHeight="1" thickBot="1" x14ac:dyDescent="0.3">
      <c r="A24" s="95" t="s">
        <v>51</v>
      </c>
      <c r="B24" s="418">
        <v>221.5</v>
      </c>
      <c r="C24" s="419"/>
      <c r="D24" s="96" t="s">
        <v>175</v>
      </c>
      <c r="E24" s="20" t="s">
        <v>91</v>
      </c>
      <c r="F24" s="18"/>
      <c r="G24" s="18"/>
      <c r="H24" s="18"/>
      <c r="I24" s="48"/>
    </row>
    <row r="25" spans="1:16" ht="18" customHeight="1" thickBot="1" x14ac:dyDescent="0.3">
      <c r="A25" s="47" t="s">
        <v>50</v>
      </c>
      <c r="B25" s="417">
        <f>1000/((1/Constants!C5*1000)-(1/Design!B23*1000))</f>
        <v>42.380952380952387</v>
      </c>
      <c r="C25" s="417"/>
      <c r="D25" s="16" t="s">
        <v>64</v>
      </c>
      <c r="E25" s="20" t="s">
        <v>88</v>
      </c>
      <c r="F25" s="18"/>
      <c r="G25" s="18"/>
      <c r="H25" s="18"/>
      <c r="I25" s="48"/>
    </row>
    <row r="26" spans="1:16" ht="18" customHeight="1" thickBot="1" x14ac:dyDescent="0.3">
      <c r="A26" s="95" t="s">
        <v>52</v>
      </c>
      <c r="B26" s="418">
        <v>42.2</v>
      </c>
      <c r="C26" s="419"/>
      <c r="D26" s="96" t="s">
        <v>175</v>
      </c>
      <c r="E26" s="20" t="s">
        <v>91</v>
      </c>
      <c r="F26" s="18"/>
      <c r="G26" s="18"/>
      <c r="H26" s="18"/>
      <c r="I26" s="48"/>
    </row>
    <row r="27" spans="1:16" ht="18" customHeight="1" thickBot="1" x14ac:dyDescent="0.3">
      <c r="A27" s="95" t="s">
        <v>279</v>
      </c>
      <c r="B27" s="332">
        <f>1.5*B25/B23*Constants!B60</f>
        <v>4.2857142857142865</v>
      </c>
      <c r="C27" s="332">
        <f>1.6*B25/B23*Constants!B61</f>
        <v>7.6190476190476213</v>
      </c>
      <c r="D27" s="96" t="s">
        <v>16</v>
      </c>
      <c r="E27" s="79" t="s">
        <v>322</v>
      </c>
      <c r="F27" s="18"/>
      <c r="G27" s="18"/>
      <c r="H27" s="18"/>
      <c r="I27" s="48"/>
    </row>
    <row r="28" spans="1:16" ht="18" customHeight="1" x14ac:dyDescent="0.25">
      <c r="A28" s="372" t="s">
        <v>168</v>
      </c>
      <c r="B28" s="373"/>
      <c r="C28" s="373"/>
      <c r="D28" s="373"/>
      <c r="E28" s="373"/>
      <c r="F28" s="373"/>
      <c r="G28" s="373"/>
      <c r="H28" s="373"/>
      <c r="I28" s="374"/>
    </row>
    <row r="29" spans="1:16" ht="18" customHeight="1" x14ac:dyDescent="0.25">
      <c r="A29" s="47" t="s">
        <v>148</v>
      </c>
      <c r="B29" s="333">
        <f>Constants!B3*(1+(1-D8/100)*IF(ISBLANK(B24),B23,B24)/((1+D9/100)*IF(ISBLANK(B26),B25,B26)))</f>
        <v>4.8181305370004104</v>
      </c>
      <c r="C29" s="333">
        <f>Constants!C3*(1+IF(ISBLANK(B24),B23,B24)/IF(ISBLANK(B26),B25,B26))</f>
        <v>4.9990521327014221</v>
      </c>
      <c r="D29" s="333">
        <f>Constants!D3*(1+(1+D8/100)*IF(ISBLANK(B24),B23,B24)/((1-D9/100)*IF(ISBLANK(B26),B25,B26)))</f>
        <v>5.1869627403383038</v>
      </c>
      <c r="E29" s="20" t="s">
        <v>147</v>
      </c>
      <c r="F29" s="18"/>
      <c r="G29" s="18"/>
      <c r="H29" s="18"/>
      <c r="I29" s="48"/>
    </row>
    <row r="30" spans="1:16" ht="18" customHeight="1" thickBot="1" x14ac:dyDescent="0.3">
      <c r="A30" s="47" t="s">
        <v>232</v>
      </c>
      <c r="B30" s="329">
        <f ca="1">MIN(Efficiency!AR4:AR13,Efficiency!AR15:AR24)</f>
        <v>32.514279639375722</v>
      </c>
      <c r="C30" s="329">
        <f ca="1">AVERAGE(Efficiency!X4:X13,Efficiency!X15:X24)</f>
        <v>45.024516970659356</v>
      </c>
      <c r="D30" s="329">
        <f ca="1">MAX(Efficiency!D4:D13,Efficiency!D15:D24)</f>
        <v>71.851480988440429</v>
      </c>
      <c r="E30" s="20" t="s">
        <v>233</v>
      </c>
      <c r="F30" s="204"/>
      <c r="G30" s="18"/>
      <c r="H30" s="18"/>
      <c r="I30" s="48"/>
    </row>
    <row r="31" spans="1:16" ht="18" customHeight="1" x14ac:dyDescent="0.25">
      <c r="A31" s="372" t="s">
        <v>135</v>
      </c>
      <c r="B31" s="373"/>
      <c r="C31" s="373"/>
      <c r="D31" s="373"/>
      <c r="E31" s="373"/>
      <c r="F31" s="373"/>
      <c r="G31" s="373"/>
      <c r="H31" s="373"/>
      <c r="I31" s="374"/>
      <c r="L31" s="5"/>
    </row>
    <row r="32" spans="1:16" ht="18" customHeight="1" thickBot="1" x14ac:dyDescent="0.3">
      <c r="A32" s="248" t="s">
        <v>41</v>
      </c>
      <c r="B32" s="334">
        <f ca="1">MIN($B$30/100/Constants!D$19/0.000000001/1000000, Constants!D17)</f>
        <v>2.4084651584722754</v>
      </c>
      <c r="C32" s="310" t="s">
        <v>14</v>
      </c>
      <c r="D32" s="21" t="s">
        <v>185</v>
      </c>
      <c r="E32" s="16"/>
      <c r="F32" s="18"/>
      <c r="G32" s="18"/>
      <c r="H32" s="18"/>
      <c r="I32" s="48"/>
    </row>
    <row r="33" spans="1:14" ht="18" customHeight="1" thickBot="1" x14ac:dyDescent="0.3">
      <c r="A33" s="248" t="s">
        <v>39</v>
      </c>
      <c r="B33" s="335">
        <v>0.42499999999999999</v>
      </c>
      <c r="C33" s="310" t="s">
        <v>14</v>
      </c>
      <c r="D33" s="87" t="s">
        <v>183</v>
      </c>
      <c r="E33" s="131" t="str">
        <f ca="1">IF(D30&gt;B36," See the DROPOUT tab for operation approaching Vin_min "," ")</f>
        <v xml:space="preserve"> </v>
      </c>
      <c r="F33" s="110"/>
      <c r="G33" s="111"/>
      <c r="H33" s="107"/>
      <c r="I33" s="48"/>
      <c r="M33" s="5"/>
      <c r="N33" s="106"/>
    </row>
    <row r="34" spans="1:14" ht="18" customHeight="1" x14ac:dyDescent="0.25">
      <c r="A34" s="98" t="s">
        <v>176</v>
      </c>
      <c r="B34" s="99">
        <f>(26385/IF(ISBLANK(B33),1000*B32,1000*B33)-2.75)</f>
        <v>59.332352941176474</v>
      </c>
      <c r="C34" s="316" t="s">
        <v>175</v>
      </c>
      <c r="D34" s="21" t="s">
        <v>84</v>
      </c>
      <c r="E34" s="16"/>
      <c r="F34" s="18"/>
      <c r="G34" s="18"/>
      <c r="H34" s="18"/>
      <c r="I34" s="48"/>
      <c r="L34" s="5"/>
    </row>
    <row r="35" spans="1:14" ht="18" customHeight="1" x14ac:dyDescent="0.35">
      <c r="A35" s="248" t="s">
        <v>343</v>
      </c>
      <c r="B35" s="332">
        <f>100*IF(ISBLANK(B33),B32,B33)*1000000*Constants!C19/1000000000</f>
        <v>4.0374999999999996</v>
      </c>
      <c r="C35" s="332">
        <f>100*IF(ISBLANK(B33),B32,B33)*1000000*Constants!D19/1000000000</f>
        <v>5.7374999999999998</v>
      </c>
      <c r="D35" s="20" t="s">
        <v>271</v>
      </c>
      <c r="E35" s="206"/>
      <c r="F35" s="18"/>
      <c r="G35" s="18"/>
      <c r="H35" s="18"/>
      <c r="I35" s="48"/>
      <c r="K35" s="105"/>
      <c r="L35" s="5"/>
      <c r="M35" s="5"/>
      <c r="N35" s="106"/>
    </row>
    <row r="36" spans="1:14" ht="18" customHeight="1" x14ac:dyDescent="0.35">
      <c r="A36" s="248" t="s">
        <v>344</v>
      </c>
      <c r="B36" s="207">
        <f>100*(1-IF(ISBLANK(B33),B32,B33)*1000000*Constants!D20/1000000000)</f>
        <v>94.474999999999994</v>
      </c>
      <c r="C36" s="336">
        <f>100*(1-IF(ISBLANK(B33),B32,B33)*1000000*Constants!C20/1000000000)</f>
        <v>95.962499999999991</v>
      </c>
      <c r="D36" s="20" t="s">
        <v>272</v>
      </c>
      <c r="E36" s="206"/>
      <c r="F36" s="205"/>
      <c r="G36" s="205"/>
      <c r="H36" s="205"/>
      <c r="I36" s="48"/>
      <c r="K36" s="105"/>
      <c r="L36" s="5"/>
      <c r="M36" s="5"/>
      <c r="N36" s="106"/>
    </row>
    <row r="37" spans="1:14" ht="18" customHeight="1" x14ac:dyDescent="0.25">
      <c r="A37" s="248" t="s">
        <v>345</v>
      </c>
      <c r="B37" s="207">
        <f>100*(1-IF(ISBLANK(B33),B32,B33)/4*1000000*Constants!D20/1000000000)</f>
        <v>98.618750000000006</v>
      </c>
      <c r="C37" s="336">
        <f>100*(1-IF(ISBLANK(B33),B32,B33)/4*1000000*Constants!C20/1000000000)</f>
        <v>98.990624999999994</v>
      </c>
      <c r="D37" s="87" t="s">
        <v>346</v>
      </c>
      <c r="E37" s="206"/>
      <c r="F37" s="205"/>
      <c r="G37" s="205"/>
      <c r="H37" s="205"/>
      <c r="I37" s="48"/>
      <c r="K37" s="105"/>
      <c r="L37" s="5"/>
      <c r="M37" s="5"/>
      <c r="N37" s="106"/>
    </row>
    <row r="38" spans="1:14" ht="18" customHeight="1" thickBot="1" x14ac:dyDescent="0.4">
      <c r="A38" s="76" t="s">
        <v>187</v>
      </c>
      <c r="B38" s="334">
        <f ca="1">MIN(1.5*B32, 1.5*IF(ISBLANK(B33),B32,B33), C30/100/(Constants!C19/1000000000)/1000000)</f>
        <v>0.63749999999999996</v>
      </c>
      <c r="C38" s="78" t="s">
        <v>14</v>
      </c>
      <c r="D38" s="82" t="s">
        <v>250</v>
      </c>
      <c r="E38" s="50"/>
      <c r="F38" s="52"/>
      <c r="G38" s="52"/>
      <c r="H38" s="52"/>
      <c r="I38" s="53"/>
    </row>
    <row r="39" spans="1:14" ht="18" customHeight="1" x14ac:dyDescent="0.25">
      <c r="A39" s="372" t="s">
        <v>139</v>
      </c>
      <c r="B39" s="373"/>
      <c r="C39" s="373"/>
      <c r="D39" s="373"/>
      <c r="E39" s="373"/>
      <c r="F39" s="373"/>
      <c r="G39" s="373"/>
      <c r="H39" s="373"/>
      <c r="I39" s="374"/>
      <c r="K39" s="105"/>
      <c r="L39" s="5"/>
      <c r="M39" s="5"/>
      <c r="N39" s="106"/>
    </row>
    <row r="40" spans="1:14" ht="18" customHeight="1" x14ac:dyDescent="0.25">
      <c r="A40" s="248" t="s">
        <v>332</v>
      </c>
      <c r="B40" s="315">
        <f ca="1">0.4*(C6+Efficiency!C13)/Constants!I60</f>
        <v>4.1355871915445066</v>
      </c>
      <c r="C40" s="331">
        <f ca="1">1.1*(C6+Efficiency!C13)/Constants!G60</f>
        <v>22.419461168191692</v>
      </c>
      <c r="D40" s="310" t="s">
        <v>70</v>
      </c>
      <c r="E40" s="313" t="s">
        <v>333</v>
      </c>
      <c r="F40" s="18"/>
      <c r="G40" s="18"/>
      <c r="H40" s="18"/>
      <c r="I40" s="49"/>
      <c r="J40" s="9"/>
      <c r="L40" s="5"/>
    </row>
    <row r="41" spans="1:14" ht="18" customHeight="1" thickBot="1" x14ac:dyDescent="0.3">
      <c r="A41" s="248" t="s">
        <v>342</v>
      </c>
      <c r="B41" s="417">
        <f ca="1">(C29+Efficiency!C24)*(1-0.18/(D30/100))/(Constants!H60)</f>
        <v>10.116211812497209</v>
      </c>
      <c r="C41" s="417"/>
      <c r="D41" s="310" t="s">
        <v>70</v>
      </c>
      <c r="E41" s="87" t="s">
        <v>334</v>
      </c>
      <c r="F41" s="18"/>
      <c r="G41" s="18"/>
      <c r="H41" s="18"/>
      <c r="I41" s="49"/>
      <c r="J41" s="9"/>
      <c r="L41" s="5"/>
    </row>
    <row r="42" spans="1:14" ht="18" customHeight="1" thickBot="1" x14ac:dyDescent="0.3">
      <c r="A42" s="98" t="s">
        <v>40</v>
      </c>
      <c r="B42" s="418">
        <v>10</v>
      </c>
      <c r="C42" s="419"/>
      <c r="D42" s="316" t="s">
        <v>177</v>
      </c>
      <c r="E42" s="313" t="s">
        <v>331</v>
      </c>
      <c r="F42" s="18"/>
      <c r="G42" s="18"/>
      <c r="H42" s="18"/>
      <c r="I42" s="48"/>
    </row>
    <row r="43" spans="1:14" ht="18" customHeight="1" thickBot="1" x14ac:dyDescent="0.3">
      <c r="A43" s="317" t="s">
        <v>189</v>
      </c>
      <c r="B43" s="436">
        <v>40</v>
      </c>
      <c r="C43" s="437"/>
      <c r="D43" s="318" t="s">
        <v>188</v>
      </c>
      <c r="E43" s="314" t="s">
        <v>190</v>
      </c>
      <c r="F43" s="108"/>
      <c r="G43" s="108"/>
      <c r="H43" s="108"/>
      <c r="I43" s="109"/>
    </row>
    <row r="44" spans="1:14" ht="18" customHeight="1" x14ac:dyDescent="0.25">
      <c r="A44" s="248" t="s">
        <v>46</v>
      </c>
      <c r="B44" s="417">
        <f ca="1">(C4-C6)/(IF(ISBLANK(B42),B40,B42)*0.000001)*(C30/100)/(IF(ISBLANK(B33),B32,B33)*1000000)</f>
        <v>0.74158027951674244</v>
      </c>
      <c r="C44" s="417"/>
      <c r="D44" s="310" t="s">
        <v>67</v>
      </c>
      <c r="E44" s="313" t="s">
        <v>166</v>
      </c>
      <c r="F44" s="18"/>
      <c r="G44" s="18"/>
      <c r="H44" s="18"/>
      <c r="I44" s="48"/>
      <c r="L44" s="5"/>
      <c r="M44" s="5"/>
      <c r="N44" s="5"/>
    </row>
    <row r="45" spans="1:14" ht="18" customHeight="1" x14ac:dyDescent="0.25">
      <c r="A45" s="248" t="s">
        <v>45</v>
      </c>
      <c r="B45" s="417">
        <f ca="1">(D4-(1+Constants!B4/100)*C6)/((1+B10/100)*IF(ISBLANK(B42),B40,B42)*0.000001)*(B30/100)/((1+Constants!B18/100)*IF(ISBLANK(B33),B32,B33)*1000000)</f>
        <v>1.1741267647552345</v>
      </c>
      <c r="C45" s="417"/>
      <c r="D45" s="310" t="s">
        <v>67</v>
      </c>
      <c r="E45" s="313" t="s">
        <v>140</v>
      </c>
      <c r="F45" s="18"/>
      <c r="G45" s="18"/>
      <c r="H45" s="18"/>
      <c r="I45" s="48"/>
      <c r="L45" s="106"/>
    </row>
    <row r="46" spans="1:14" ht="18" customHeight="1" x14ac:dyDescent="0.25">
      <c r="A46" s="248" t="s">
        <v>312</v>
      </c>
      <c r="B46" s="417">
        <f ca="1">D7+B45/2</f>
        <v>3.5870633823776172</v>
      </c>
      <c r="C46" s="417"/>
      <c r="D46" s="310" t="s">
        <v>68</v>
      </c>
      <c r="E46" s="313" t="s">
        <v>329</v>
      </c>
      <c r="F46" s="18"/>
      <c r="G46" s="18"/>
      <c r="H46" s="18"/>
      <c r="I46" s="48"/>
    </row>
    <row r="47" spans="1:14" ht="18" customHeight="1" thickBot="1" x14ac:dyDescent="0.3">
      <c r="A47" s="248" t="s">
        <v>339</v>
      </c>
      <c r="B47" s="417">
        <f ca="1">FORECAST(Design!C30,OFFSET(Constants!B34:B35,MATCH(Design!C30,Constants!A34:A35,1)-1,0,2), OFFSET(Constants!A34:A35,MATCH(Design!C30,Constants!A34:A35,1)-1,0,2))-(D7+B44/2)</f>
        <v>0.66278293952687539</v>
      </c>
      <c r="C47" s="417"/>
      <c r="D47" s="310" t="s">
        <v>11</v>
      </c>
      <c r="E47" s="87" t="s">
        <v>337</v>
      </c>
      <c r="F47" s="342"/>
      <c r="G47" s="342"/>
      <c r="H47" s="342"/>
      <c r="I47" s="343"/>
    </row>
    <row r="48" spans="1:14" ht="18" customHeight="1" thickBot="1" x14ac:dyDescent="0.3">
      <c r="A48" s="76" t="s">
        <v>340</v>
      </c>
      <c r="B48" s="435">
        <f ca="1">FORECAST(Design!D30,OFFSET(Constants!B34:B35,MATCH(Design!D30,Constants!A34:A35,1)-1,0,2), OFFSET(Constants!A34:A35,MATCH(Design!D30,Constants!A34:A35,1)-1,0,2))-B46</f>
        <v>-6.7198124709455076E-2</v>
      </c>
      <c r="C48" s="435"/>
      <c r="D48" s="78" t="s">
        <v>11</v>
      </c>
      <c r="E48" s="79" t="s">
        <v>338</v>
      </c>
      <c r="F48" s="80"/>
      <c r="G48" s="80"/>
      <c r="H48" s="80"/>
      <c r="I48" s="81"/>
      <c r="K48" s="423" t="s">
        <v>258</v>
      </c>
      <c r="L48" s="424"/>
      <c r="M48" s="425"/>
      <c r="N48" s="5"/>
    </row>
    <row r="49" spans="1:13" ht="18" customHeight="1" thickBot="1" x14ac:dyDescent="0.3">
      <c r="A49" s="372" t="s">
        <v>305</v>
      </c>
      <c r="B49" s="373"/>
      <c r="C49" s="373"/>
      <c r="D49" s="373"/>
      <c r="E49" s="373"/>
      <c r="F49" s="373"/>
      <c r="G49" s="373"/>
      <c r="H49" s="373"/>
      <c r="I49" s="374"/>
      <c r="K49" s="420" t="s">
        <v>260</v>
      </c>
      <c r="L49" s="421"/>
      <c r="M49" s="422"/>
    </row>
    <row r="50" spans="1:13" ht="18" customHeight="1" thickBot="1" x14ac:dyDescent="0.3">
      <c r="A50" s="85" t="s">
        <v>156</v>
      </c>
      <c r="B50" s="88">
        <v>50</v>
      </c>
      <c r="C50" s="86" t="s">
        <v>23</v>
      </c>
      <c r="D50" s="87" t="s">
        <v>300</v>
      </c>
      <c r="E50" s="83"/>
      <c r="F50" s="83"/>
      <c r="G50" s="83"/>
      <c r="H50" s="83"/>
      <c r="I50" s="84"/>
      <c r="K50" s="426" t="s">
        <v>259</v>
      </c>
      <c r="L50" s="427"/>
      <c r="M50" s="428"/>
    </row>
    <row r="51" spans="1:13" ht="18" customHeight="1" thickBot="1" x14ac:dyDescent="0.3">
      <c r="A51" s="47" t="s">
        <v>138</v>
      </c>
      <c r="B51" s="103">
        <f>(IF(ISBLANK(B50),Constants!B42,B50))/Constants!B42*Constants!B43*Constants!B39/C6*Constants!B44/(IF(ISBLANK(B33),B32,B33))*D7/Constants!B40</f>
        <v>4.235294117647058</v>
      </c>
      <c r="C51" s="19" t="s">
        <v>130</v>
      </c>
      <c r="D51" s="21" t="s">
        <v>299</v>
      </c>
      <c r="E51" s="100"/>
      <c r="F51" s="101"/>
      <c r="G51" s="101"/>
      <c r="H51" s="101"/>
      <c r="I51" s="102"/>
      <c r="K51" s="429"/>
      <c r="L51" s="427"/>
      <c r="M51" s="428"/>
    </row>
    <row r="52" spans="1:13" ht="18" customHeight="1" thickBot="1" x14ac:dyDescent="0.3">
      <c r="A52" s="95" t="s">
        <v>121</v>
      </c>
      <c r="B52" s="104">
        <v>6</v>
      </c>
      <c r="C52" s="97" t="s">
        <v>130</v>
      </c>
      <c r="D52" s="21" t="s">
        <v>181</v>
      </c>
      <c r="E52" s="16"/>
      <c r="F52" s="18"/>
      <c r="G52" s="18"/>
      <c r="H52" s="18"/>
      <c r="I52" s="48"/>
      <c r="K52" s="248" t="s">
        <v>253</v>
      </c>
      <c r="L52" s="325"/>
      <c r="M52" s="250" t="s">
        <v>256</v>
      </c>
    </row>
    <row r="53" spans="1:13" ht="18" customHeight="1" thickBot="1" x14ac:dyDescent="0.3">
      <c r="A53" s="47" t="s">
        <v>124</v>
      </c>
      <c r="B53" s="15">
        <f>IF(ISBLANK(L52), IF(ISBLANK(B52),B51,B52)*(1-Constants!B46/100)*(Constants!C54*$C$6^3+Constants!C55*$C$6^2+Constants!C56*$C$6+Constants!C57), L52*IF(ISBLANK(L55),1,L55))</f>
        <v>47.822399999999995</v>
      </c>
      <c r="C53" s="16" t="s">
        <v>71</v>
      </c>
      <c r="D53" s="21" t="s">
        <v>165</v>
      </c>
      <c r="E53" s="16"/>
      <c r="F53" s="18"/>
      <c r="G53" s="18"/>
      <c r="H53" s="18"/>
      <c r="I53" s="48"/>
      <c r="K53" s="248" t="s">
        <v>254</v>
      </c>
      <c r="L53" s="325"/>
      <c r="M53" s="250" t="s">
        <v>257</v>
      </c>
    </row>
    <row r="54" spans="1:13" ht="18" customHeight="1" thickBot="1" x14ac:dyDescent="0.3">
      <c r="A54" s="290" t="s">
        <v>281</v>
      </c>
      <c r="B54" s="324">
        <f ca="1">IF(ISBLANK(L52), 1000*(B44*Constants!B47/1000/IF(ISBLANK(B52),B51,B52)+B44/(8*(IF(ISBLANK(B33),B32,B33))*1000000*B53/1000000)+(C4-C6)/(IF(ISBLANK(B42),B40,B42)/1000000)*Constants!B48/1000000000),
1000*(B44*L53/1000/IF(ISBLANK(L55),1,L55)+B44/(8*(IF(ISBLANK(B33),B32,B33))*1000000*L52*IF(ISBLANK(L55),1,L55)/1000000)+(C4-C6)/(IF(ISBLANK(B42),B40,B42)/1000000)*L54/1000000000/IF(ISBLANK(L55),1,L55)) )</f>
        <v>6.5624523168191153</v>
      </c>
      <c r="C54" s="309" t="s">
        <v>314</v>
      </c>
      <c r="D54" s="312" t="s">
        <v>280</v>
      </c>
      <c r="E54" s="291"/>
      <c r="F54" s="292"/>
      <c r="G54" s="292"/>
      <c r="H54" s="292"/>
      <c r="I54" s="293"/>
      <c r="K54" s="248" t="s">
        <v>255</v>
      </c>
      <c r="L54" s="325"/>
      <c r="M54" s="250" t="s">
        <v>27</v>
      </c>
    </row>
    <row r="55" spans="1:13" ht="18" customHeight="1" thickBot="1" x14ac:dyDescent="0.3">
      <c r="A55" s="248" t="s">
        <v>295</v>
      </c>
      <c r="B55" s="284">
        <f ca="1">1000*Constants!C30/1000*Constants!B68/1000000/(2*B53/1000000)</f>
        <v>19.63768706678238</v>
      </c>
      <c r="C55" s="310" t="s">
        <v>314</v>
      </c>
      <c r="D55" s="87" t="s">
        <v>341</v>
      </c>
      <c r="E55" s="16"/>
      <c r="F55" s="18"/>
      <c r="G55" s="18"/>
      <c r="H55" s="18"/>
      <c r="I55" s="48"/>
      <c r="K55" s="76" t="s">
        <v>261</v>
      </c>
      <c r="L55" s="341"/>
      <c r="M55" s="251" t="s">
        <v>130</v>
      </c>
    </row>
    <row r="56" spans="1:13" ht="18" customHeight="1" thickBot="1" x14ac:dyDescent="0.3">
      <c r="A56" s="76" t="s">
        <v>296</v>
      </c>
      <c r="B56" s="285">
        <f ca="1">IF(Constants!H67="NO", 1000*Constants!D30/1000*Constants!C68/1000000/(2*B53/1000000), "N/A")</f>
        <v>51.533732971894821</v>
      </c>
      <c r="C56" s="311" t="s">
        <v>315</v>
      </c>
      <c r="D56" s="79" t="str">
        <f>IF(Constants!H67="NO", "Single-pulse PFM ripple at MIN Vin.  Increase Co or reduce Lo if too high.", "Single-pulse limiting at MIN Vin, will require more than 1 PFM pulse.")</f>
        <v>Single-pulse PFM ripple at MIN Vin.  Increase Co or reduce Lo if too high.</v>
      </c>
      <c r="E56" s="50"/>
      <c r="F56" s="52"/>
      <c r="G56" s="52"/>
      <c r="H56" s="52"/>
      <c r="I56" s="53"/>
    </row>
    <row r="57" spans="1:13" ht="18" customHeight="1" x14ac:dyDescent="0.25">
      <c r="A57" s="94" t="s">
        <v>173</v>
      </c>
      <c r="B57" s="92"/>
      <c r="C57" s="16"/>
      <c r="D57" s="93"/>
      <c r="E57" s="16"/>
      <c r="F57" s="18"/>
      <c r="G57" s="18"/>
      <c r="H57" s="18"/>
      <c r="I57" s="48"/>
    </row>
    <row r="58" spans="1:13" ht="18" customHeight="1" thickBot="1" x14ac:dyDescent="0.4">
      <c r="A58" s="98" t="s">
        <v>178</v>
      </c>
      <c r="B58" s="99">
        <f ca="1">MAX(MAX(D7*SQRT(B30/100*(1-B30/100)),D7*SQRT(C30/100*(1-C30/100)), D7*SQRT(D30/100*(1-D30/100))),IF((B30&lt;50)*AND(D30&gt;50),D7*SQRT(0.5*(1-0.5)),0))</f>
        <v>1.5</v>
      </c>
      <c r="C58" s="96" t="s">
        <v>179</v>
      </c>
      <c r="D58" s="82" t="s">
        <v>171</v>
      </c>
      <c r="E58" s="16"/>
      <c r="F58" s="18"/>
      <c r="G58" s="18"/>
      <c r="H58" s="18"/>
      <c r="I58" s="48"/>
    </row>
    <row r="59" spans="1:13" ht="18" customHeight="1" x14ac:dyDescent="0.25">
      <c r="A59" s="372" t="s">
        <v>136</v>
      </c>
      <c r="B59" s="373"/>
      <c r="C59" s="373"/>
      <c r="D59" s="373"/>
      <c r="E59" s="373"/>
      <c r="F59" s="373"/>
      <c r="G59" s="373"/>
      <c r="H59" s="373"/>
      <c r="I59" s="374"/>
    </row>
    <row r="60" spans="1:13" ht="18" customHeight="1" x14ac:dyDescent="0.25">
      <c r="A60" s="98" t="s">
        <v>42</v>
      </c>
      <c r="B60" s="99">
        <f ca="1">IF(AND(B30&lt;50, D30&gt;50), 1000000*D7*0.5*(1-0.5)/((1+Constants!B18/100)*IF(ISBLANK(B33),B32,B33)*1000000*Constants!C9*Constants!B8/1000), MAX(1000000*D7*D30/100*(1-D30/100)/((1+Constants!B18/100)*IF(ISBLANK(B33),B32,B33)*1000000*Constants!C9*Constants!B8/1000), 1000000*D7*C30/100*(1-C30/100)/((1+Constants!B18/100)*IF(ISBLANK(B33),B32,B33)*1000000*Constants!C9*Constants!B8/1000), 1000000*D7*B30/100*(1-B30/100)/((1+Constants!B18/100)*IF(ISBLANK(B33),B32,B33)*1000000*Constants!C9*Constants!B8/1000)))</f>
        <v>9.8039215686274517</v>
      </c>
      <c r="C60" s="316" t="s">
        <v>180</v>
      </c>
      <c r="D60" s="21" t="s">
        <v>76</v>
      </c>
      <c r="E60" s="16"/>
      <c r="F60" s="18"/>
      <c r="G60" s="18"/>
      <c r="H60" s="18"/>
      <c r="I60" s="48"/>
    </row>
    <row r="61" spans="1:13" ht="18" customHeight="1" thickBot="1" x14ac:dyDescent="0.3">
      <c r="A61" s="76" t="s">
        <v>172</v>
      </c>
      <c r="B61" s="77">
        <f ca="1">D7*SQRT(D30/100*(1-D30/100))</f>
        <v>1.3491706714684557</v>
      </c>
      <c r="C61" s="78" t="s">
        <v>72</v>
      </c>
      <c r="D61" s="51" t="s">
        <v>44</v>
      </c>
      <c r="E61" s="50"/>
      <c r="F61" s="52"/>
      <c r="G61" s="52"/>
      <c r="H61" s="52"/>
      <c r="I61" s="53"/>
    </row>
    <row r="62" spans="1:13" ht="18" customHeight="1" x14ac:dyDescent="0.25">
      <c r="A62" s="372" t="s">
        <v>137</v>
      </c>
      <c r="B62" s="373"/>
      <c r="C62" s="373"/>
      <c r="D62" s="373"/>
      <c r="E62" s="373"/>
      <c r="F62" s="373"/>
      <c r="G62" s="373"/>
      <c r="H62" s="373"/>
      <c r="I62" s="374"/>
    </row>
    <row r="63" spans="1:13" ht="18" customHeight="1" thickBot="1" x14ac:dyDescent="0.3">
      <c r="A63" s="248" t="s">
        <v>56</v>
      </c>
      <c r="B63" s="315">
        <f>1000000000*Constants!C28/1000000*C11/1000/Constants!C3</f>
        <v>25</v>
      </c>
      <c r="C63" s="310" t="s">
        <v>15</v>
      </c>
      <c r="D63" s="21" t="s">
        <v>63</v>
      </c>
      <c r="E63" s="16"/>
      <c r="F63" s="18"/>
      <c r="G63" s="18"/>
      <c r="H63" s="18"/>
      <c r="I63" s="48"/>
    </row>
    <row r="64" spans="1:13" ht="18" customHeight="1" thickBot="1" x14ac:dyDescent="0.3">
      <c r="A64" s="98" t="s">
        <v>62</v>
      </c>
      <c r="B64" s="319">
        <v>33</v>
      </c>
      <c r="C64" s="316" t="s">
        <v>15</v>
      </c>
      <c r="D64" s="21" t="s">
        <v>142</v>
      </c>
      <c r="E64" s="16"/>
      <c r="F64" s="18"/>
      <c r="G64" s="18"/>
      <c r="H64" s="18"/>
      <c r="I64" s="48"/>
    </row>
    <row r="65" spans="1:9" ht="18" customHeight="1" x14ac:dyDescent="0.25">
      <c r="A65" s="248" t="s">
        <v>59</v>
      </c>
      <c r="B65" s="315">
        <f>1000*IF(ISBLANK(B64),B63,B64)/1000000000*Constants!C3/(Constants!C28/1000000)</f>
        <v>1.32</v>
      </c>
      <c r="C65" s="310" t="s">
        <v>36</v>
      </c>
      <c r="D65" s="21" t="s">
        <v>61</v>
      </c>
      <c r="E65" s="16"/>
      <c r="F65" s="18"/>
      <c r="G65" s="18"/>
      <c r="H65" s="18"/>
      <c r="I65" s="48"/>
    </row>
    <row r="66" spans="1:9" ht="18" customHeight="1" thickBot="1" x14ac:dyDescent="0.3">
      <c r="A66" s="76" t="s">
        <v>60</v>
      </c>
      <c r="B66" s="77">
        <f>1000*IF(ISBLANK(B64),B63,B64)/1000000000*Constants!C29/1000/(Constants!C28/1000000)</f>
        <v>0.54449999999999998</v>
      </c>
      <c r="C66" s="78" t="s">
        <v>36</v>
      </c>
      <c r="D66" s="51" t="s">
        <v>77</v>
      </c>
      <c r="E66" s="50"/>
      <c r="F66" s="52"/>
      <c r="G66" s="52"/>
      <c r="H66" s="52"/>
      <c r="I66" s="53"/>
    </row>
    <row r="67" spans="1:9" ht="18" customHeight="1" x14ac:dyDescent="0.25">
      <c r="A67" s="372" t="s">
        <v>301</v>
      </c>
      <c r="B67" s="373"/>
      <c r="C67" s="373"/>
      <c r="D67" s="373"/>
      <c r="E67" s="373"/>
      <c r="F67" s="373"/>
      <c r="G67" s="373"/>
      <c r="H67" s="373"/>
      <c r="I67" s="374"/>
    </row>
    <row r="68" spans="1:9" ht="18" customHeight="1" thickBot="1" x14ac:dyDescent="0.3">
      <c r="A68" s="248" t="s">
        <v>74</v>
      </c>
      <c r="B68" s="432">
        <f>1000*IF(ISBLANK(B33),B32,B33)/7.5</f>
        <v>56.666666666666664</v>
      </c>
      <c r="C68" s="432"/>
      <c r="D68" s="310" t="s">
        <v>17</v>
      </c>
      <c r="E68" s="313" t="s">
        <v>302</v>
      </c>
      <c r="F68" s="18"/>
      <c r="G68" s="18"/>
      <c r="H68" s="18"/>
      <c r="I68" s="48"/>
    </row>
    <row r="69" spans="1:9" ht="18" customHeight="1" thickBot="1" x14ac:dyDescent="0.3">
      <c r="A69" s="248" t="s">
        <v>43</v>
      </c>
      <c r="B69" s="433">
        <v>40</v>
      </c>
      <c r="C69" s="434"/>
      <c r="D69" s="310" t="s">
        <v>17</v>
      </c>
      <c r="E69" s="313" t="s">
        <v>309</v>
      </c>
      <c r="F69" s="18"/>
      <c r="G69" s="18"/>
      <c r="H69" s="18"/>
      <c r="I69" s="48"/>
    </row>
    <row r="70" spans="1:9" ht="18" customHeight="1" x14ac:dyDescent="0.25">
      <c r="A70" s="248" t="s">
        <v>85</v>
      </c>
      <c r="B70" s="430">
        <f ca="1">C6/AVERAGE(B44/2, D7)</f>
        <v>2.9666634781116428</v>
      </c>
      <c r="C70" s="430"/>
      <c r="D70" s="320" t="s">
        <v>78</v>
      </c>
      <c r="E70" s="313" t="s">
        <v>303</v>
      </c>
      <c r="F70" s="18"/>
      <c r="G70" s="18"/>
      <c r="H70" s="18"/>
      <c r="I70" s="48"/>
    </row>
    <row r="71" spans="1:9" ht="18" customHeight="1" x14ac:dyDescent="0.25">
      <c r="A71" s="248" t="s">
        <v>79</v>
      </c>
      <c r="B71" s="417">
        <f ca="1">1/(6.28*B70*B53/1000000)/1000</f>
        <v>1.1223820265284006</v>
      </c>
      <c r="C71" s="417"/>
      <c r="D71" s="320" t="s">
        <v>17</v>
      </c>
      <c r="E71" s="313" t="s">
        <v>304</v>
      </c>
      <c r="F71" s="18"/>
      <c r="G71" s="18"/>
      <c r="H71" s="18"/>
      <c r="I71" s="48"/>
    </row>
    <row r="72" spans="1:9" ht="18" customHeight="1" x14ac:dyDescent="0.25">
      <c r="A72" s="248" t="s">
        <v>80</v>
      </c>
      <c r="B72" s="430">
        <f>IF(ISBLANK(L52), 1/(6.28*Constants!B47/(IF(ISBLANK(B52),B51,B52))/1000*B53/1000000)/1000, 1/(6.28*IF(ISBLANK(L53),Constants!B47,L53)/(IF(ISBLANK(L55),1,L55))/1000*B53/1000000)/1000)</f>
        <v>3329.729766590739</v>
      </c>
      <c r="C72" s="430"/>
      <c r="D72" s="320" t="s">
        <v>17</v>
      </c>
      <c r="E72" s="313" t="s">
        <v>86</v>
      </c>
      <c r="F72" s="18"/>
      <c r="G72" s="18"/>
      <c r="H72" s="18"/>
      <c r="I72" s="48"/>
    </row>
    <row r="73" spans="1:9" ht="18" customHeight="1" thickBot="1" x14ac:dyDescent="0.3">
      <c r="A73" s="248" t="s">
        <v>12</v>
      </c>
      <c r="B73" s="430">
        <f>IF(ISBLANK(B69),B68,B69)*1000*(C6/Constants!C3)*((6.28*B53/1000000)/(Constants!C13*Constants!C11/1000000))/1000</f>
        <v>25.027055999999998</v>
      </c>
      <c r="C73" s="430"/>
      <c r="D73" s="310" t="s">
        <v>64</v>
      </c>
      <c r="E73" s="313" t="s">
        <v>310</v>
      </c>
      <c r="F73" s="18"/>
      <c r="G73" s="18"/>
      <c r="H73" s="18"/>
      <c r="I73" s="48"/>
    </row>
    <row r="74" spans="1:9" ht="18" customHeight="1" thickBot="1" x14ac:dyDescent="0.3">
      <c r="A74" s="98" t="s">
        <v>83</v>
      </c>
      <c r="B74" s="418">
        <v>23.7</v>
      </c>
      <c r="C74" s="419"/>
      <c r="D74" s="316" t="s">
        <v>175</v>
      </c>
      <c r="E74" s="313" t="s">
        <v>311</v>
      </c>
      <c r="F74" s="18"/>
      <c r="G74" s="18"/>
      <c r="H74" s="18"/>
      <c r="I74" s="48"/>
    </row>
    <row r="75" spans="1:9" ht="18" customHeight="1" x14ac:dyDescent="0.25">
      <c r="A75" s="98" t="s">
        <v>307</v>
      </c>
      <c r="B75" s="99">
        <f>4*1000000000/(6.28*IF(ISBLANK(B74),B73,B74)*1000*IF(ISBLANK(B69),B68,B69)*1000)</f>
        <v>0.67188045902872962</v>
      </c>
      <c r="C75" s="99">
        <f ca="1">1000000000/(6.28*IF(ISBLANK(B74),B73,B74)*1000*1.5*B71*1000)</f>
        <v>3.9908007739984863</v>
      </c>
      <c r="D75" s="316" t="s">
        <v>15</v>
      </c>
      <c r="E75" s="313" t="s">
        <v>308</v>
      </c>
      <c r="F75" s="18"/>
      <c r="G75" s="18"/>
      <c r="H75" s="18"/>
      <c r="I75" s="48"/>
    </row>
    <row r="76" spans="1:9" ht="18" customHeight="1" thickBot="1" x14ac:dyDescent="0.3">
      <c r="A76" s="321" t="s">
        <v>13</v>
      </c>
      <c r="B76" s="431">
        <f>IF(B72&gt;10*IF(ISBLANK(B69),B68,B69), MIN(1000000000000/(6.28*IF(ISBLANK(B74),B73,B74)*1000*7.5*IF(ISBLANK(B69),B68,B69)*1000),1000000000000/(6.28*IF(ISBLANK(B74),B73,B74)*1000*IF(ISBLANK(B33),B32,B33)*1000000/2)),
1000000000000/(6.28*IF(ISBLANK(B74),B73,B74)*1000*B72*1000))</f>
        <v>22.396015300957654</v>
      </c>
      <c r="C76" s="431"/>
      <c r="D76" s="322" t="s">
        <v>16</v>
      </c>
      <c r="E76" s="323" t="s">
        <v>306</v>
      </c>
      <c r="F76" s="52"/>
      <c r="G76" s="52"/>
      <c r="H76" s="52"/>
      <c r="I76" s="53"/>
    </row>
    <row r="77" spans="1:9" x14ac:dyDescent="0.25">
      <c r="B77" s="5"/>
      <c r="C77" s="7"/>
    </row>
    <row r="78" spans="1:9" x14ac:dyDescent="0.25">
      <c r="B78" s="8"/>
      <c r="C78" s="10"/>
    </row>
    <row r="97" spans="1:9" x14ac:dyDescent="0.25">
      <c r="A97" s="407"/>
      <c r="B97" s="407"/>
      <c r="C97" s="407"/>
      <c r="D97" s="407"/>
      <c r="E97" s="407"/>
      <c r="F97" s="407"/>
      <c r="G97" s="407"/>
      <c r="H97" s="407"/>
      <c r="I97" s="407"/>
    </row>
  </sheetData>
  <sheetProtection algorithmName="SHA-512" hashValue="GjEvwYdbfkKOlT/EehmaFdQbiuCIS/oKj+Bx1hLfa+sCb2/xPJs0OUhQo5wmT0UsH/9WbRGYtzneFnHPx7+WNg==" saltValue="u764378guOc4wHa3QRovvQ==" spinCount="100000" sheet="1" objects="1" scenarios="1"/>
  <mergeCells count="54">
    <mergeCell ref="B46:C46"/>
    <mergeCell ref="B48:C48"/>
    <mergeCell ref="B41:C41"/>
    <mergeCell ref="B42:C42"/>
    <mergeCell ref="B43:C43"/>
    <mergeCell ref="B44:C44"/>
    <mergeCell ref="B45:C45"/>
    <mergeCell ref="B47:C47"/>
    <mergeCell ref="B73:C73"/>
    <mergeCell ref="B74:C74"/>
    <mergeCell ref="B76:C76"/>
    <mergeCell ref="B68:C68"/>
    <mergeCell ref="B69:C69"/>
    <mergeCell ref="B70:C70"/>
    <mergeCell ref="B71:C71"/>
    <mergeCell ref="B72:C72"/>
    <mergeCell ref="K49:M49"/>
    <mergeCell ref="K48:M48"/>
    <mergeCell ref="K50:M51"/>
    <mergeCell ref="F8:I8"/>
    <mergeCell ref="F9:I9"/>
    <mergeCell ref="F10:I10"/>
    <mergeCell ref="F3:I3"/>
    <mergeCell ref="F4:I4"/>
    <mergeCell ref="F6:I6"/>
    <mergeCell ref="F7:I7"/>
    <mergeCell ref="A97:I97"/>
    <mergeCell ref="A14:C14"/>
    <mergeCell ref="E14:I14"/>
    <mergeCell ref="E18:I18"/>
    <mergeCell ref="E17:I17"/>
    <mergeCell ref="E16:I16"/>
    <mergeCell ref="E15:I15"/>
    <mergeCell ref="B19:C19"/>
    <mergeCell ref="B23:C23"/>
    <mergeCell ref="B24:C24"/>
    <mergeCell ref="B25:C25"/>
    <mergeCell ref="B26:C26"/>
    <mergeCell ref="A1:I1"/>
    <mergeCell ref="A59:I59"/>
    <mergeCell ref="A62:I62"/>
    <mergeCell ref="A67:I67"/>
    <mergeCell ref="A28:I28"/>
    <mergeCell ref="F11:I11"/>
    <mergeCell ref="F13:I13"/>
    <mergeCell ref="A22:I22"/>
    <mergeCell ref="A31:I31"/>
    <mergeCell ref="A39:I39"/>
    <mergeCell ref="A49:I49"/>
    <mergeCell ref="D21:I21"/>
    <mergeCell ref="F12:I12"/>
    <mergeCell ref="A20:I20"/>
    <mergeCell ref="A2:I2"/>
    <mergeCell ref="B18:C18"/>
  </mergeCells>
  <conditionalFormatting sqref="B48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lessThan">
      <formula>0</formula>
    </cfRule>
  </conditionalFormatting>
  <conditionalFormatting sqref="B47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B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3"/>
  <sheetViews>
    <sheetView showGridLines="0" workbookViewId="0">
      <selection sqref="A1:I1"/>
    </sheetView>
  </sheetViews>
  <sheetFormatPr defaultRowHeight="15" x14ac:dyDescent="0.25"/>
  <cols>
    <col min="1" max="1" width="20.7109375" customWidth="1"/>
    <col min="2" max="4" width="12.7109375" customWidth="1"/>
    <col min="5" max="6" width="15.7109375" customWidth="1"/>
  </cols>
  <sheetData>
    <row r="1" spans="1:11" ht="24" customHeight="1" thickBot="1" x14ac:dyDescent="0.3">
      <c r="A1" s="369" t="s">
        <v>352</v>
      </c>
      <c r="B1" s="370"/>
      <c r="C1" s="370"/>
      <c r="D1" s="370"/>
      <c r="E1" s="370"/>
      <c r="F1" s="370"/>
      <c r="G1" s="370"/>
      <c r="H1" s="370"/>
      <c r="I1" s="371"/>
    </row>
    <row r="2" spans="1:11" ht="24" customHeight="1" thickBot="1" x14ac:dyDescent="0.3">
      <c r="A2" s="393" t="s">
        <v>155</v>
      </c>
      <c r="B2" s="394"/>
      <c r="C2" s="394"/>
      <c r="D2" s="394"/>
      <c r="E2" s="394"/>
      <c r="F2" s="394"/>
      <c r="G2" s="394"/>
      <c r="H2" s="394"/>
      <c r="I2" s="395"/>
    </row>
    <row r="3" spans="1:11" ht="19.5" thickBot="1" x14ac:dyDescent="0.35">
      <c r="A3" s="90" t="s">
        <v>131</v>
      </c>
      <c r="B3" s="43" t="s">
        <v>30</v>
      </c>
      <c r="C3" s="42" t="s">
        <v>31</v>
      </c>
      <c r="D3" s="43" t="s">
        <v>32</v>
      </c>
      <c r="E3" s="43" t="s">
        <v>33</v>
      </c>
      <c r="F3" s="398" t="s">
        <v>35</v>
      </c>
      <c r="G3" s="399"/>
      <c r="H3" s="399"/>
      <c r="I3" s="400"/>
    </row>
    <row r="4" spans="1:11" ht="18.75" thickBot="1" x14ac:dyDescent="0.4">
      <c r="A4" s="44" t="s">
        <v>202</v>
      </c>
      <c r="B4" s="24" t="s">
        <v>21</v>
      </c>
      <c r="C4" s="22">
        <v>263</v>
      </c>
      <c r="D4" s="226" t="s">
        <v>21</v>
      </c>
      <c r="E4" s="133" t="s">
        <v>14</v>
      </c>
      <c r="F4" s="441" t="s">
        <v>199</v>
      </c>
      <c r="G4" s="442"/>
      <c r="H4" s="442"/>
      <c r="I4" s="443"/>
    </row>
    <row r="5" spans="1:11" ht="18.75" thickBot="1" x14ac:dyDescent="0.4">
      <c r="A5" s="44" t="s">
        <v>205</v>
      </c>
      <c r="B5" s="14" t="s">
        <v>21</v>
      </c>
      <c r="C5" s="227">
        <f>1000000000/(C4*1000000)</f>
        <v>3.8022813688212929</v>
      </c>
      <c r="D5" s="14" t="s">
        <v>21</v>
      </c>
      <c r="E5" s="133" t="s">
        <v>4</v>
      </c>
      <c r="F5" s="141" t="s">
        <v>204</v>
      </c>
      <c r="G5" s="142"/>
      <c r="H5" s="142"/>
      <c r="I5" s="143"/>
    </row>
    <row r="6" spans="1:11" ht="18.75" thickBot="1" x14ac:dyDescent="0.3">
      <c r="A6" s="135" t="s">
        <v>198</v>
      </c>
      <c r="B6" s="60" t="s">
        <v>21</v>
      </c>
      <c r="C6" s="61">
        <v>70</v>
      </c>
      <c r="D6" s="218" t="s">
        <v>21</v>
      </c>
      <c r="E6" s="63" t="s">
        <v>16</v>
      </c>
      <c r="F6" s="404" t="s">
        <v>200</v>
      </c>
      <c r="G6" s="405"/>
      <c r="H6" s="405"/>
      <c r="I6" s="406"/>
    </row>
    <row r="7" spans="1:11" s="286" customFormat="1" ht="18.75" customHeight="1" thickBot="1" x14ac:dyDescent="0.3">
      <c r="A7" s="135" t="s">
        <v>213</v>
      </c>
      <c r="B7" s="60" t="s">
        <v>21</v>
      </c>
      <c r="C7" s="61">
        <v>50</v>
      </c>
      <c r="D7" s="218" t="s">
        <v>21</v>
      </c>
      <c r="E7" s="63" t="s">
        <v>16</v>
      </c>
      <c r="F7" s="444" t="s">
        <v>214</v>
      </c>
      <c r="G7" s="445"/>
      <c r="H7" s="445"/>
      <c r="I7" s="446"/>
    </row>
    <row r="8" spans="1:11" ht="18.75" thickBot="1" x14ac:dyDescent="0.3">
      <c r="A8" s="145" t="s">
        <v>211</v>
      </c>
      <c r="B8" s="146" t="s">
        <v>21</v>
      </c>
      <c r="C8" s="262">
        <v>2.5</v>
      </c>
      <c r="D8" s="219" t="s">
        <v>21</v>
      </c>
      <c r="E8" s="134" t="s">
        <v>222</v>
      </c>
      <c r="F8" s="378" t="s">
        <v>210</v>
      </c>
      <c r="G8" s="379"/>
      <c r="H8" s="379"/>
      <c r="I8" s="380"/>
    </row>
    <row r="9" spans="1:11" ht="32.1" customHeight="1" thickBot="1" x14ac:dyDescent="0.3">
      <c r="A9" s="438" t="s">
        <v>174</v>
      </c>
      <c r="B9" s="439"/>
      <c r="C9" s="439"/>
      <c r="D9" s="439"/>
      <c r="E9" s="439"/>
      <c r="F9" s="439"/>
      <c r="G9" s="439"/>
      <c r="H9" s="439"/>
      <c r="I9" s="440"/>
    </row>
    <row r="10" spans="1:11" ht="18" customHeight="1" x14ac:dyDescent="0.25">
      <c r="A10" s="132" t="s">
        <v>29</v>
      </c>
      <c r="B10" s="91" t="s">
        <v>28</v>
      </c>
      <c r="C10" s="91" t="s">
        <v>33</v>
      </c>
      <c r="D10" s="384" t="s">
        <v>35</v>
      </c>
      <c r="E10" s="385"/>
      <c r="F10" s="385"/>
      <c r="G10" s="385"/>
      <c r="H10" s="385"/>
      <c r="I10" s="386"/>
    </row>
    <row r="11" spans="1:11" ht="15.75" x14ac:dyDescent="0.25">
      <c r="A11" s="381" t="s">
        <v>197</v>
      </c>
      <c r="B11" s="382"/>
      <c r="C11" s="382"/>
      <c r="D11" s="382"/>
      <c r="E11" s="382"/>
      <c r="F11" s="382"/>
      <c r="G11" s="382"/>
      <c r="H11" s="382"/>
      <c r="I11" s="383"/>
    </row>
    <row r="12" spans="1:11" ht="18" x14ac:dyDescent="0.35">
      <c r="A12" s="47" t="s">
        <v>201</v>
      </c>
      <c r="B12" s="17">
        <f>1000000000*(C5/1000000000)^2/(4*3.14^2*(C6/1000000000000+C7/1000000000000))</f>
        <v>3.0548364892434625</v>
      </c>
      <c r="C12" s="16" t="s">
        <v>27</v>
      </c>
      <c r="D12" s="20" t="s">
        <v>209</v>
      </c>
      <c r="E12" s="16"/>
      <c r="F12" s="18"/>
      <c r="G12" s="18"/>
      <c r="H12" s="18"/>
      <c r="I12" s="48"/>
    </row>
    <row r="13" spans="1:11" ht="18.75" thickBot="1" x14ac:dyDescent="0.4">
      <c r="A13" s="47" t="s">
        <v>244</v>
      </c>
      <c r="B13" s="221">
        <f>SQRT(B12*0.000000001/(C6*0.000000000001+C7*0.000000000001))</f>
        <v>5.0454901390940723</v>
      </c>
      <c r="C13" s="222" t="s">
        <v>78</v>
      </c>
      <c r="D13" s="20" t="s">
        <v>207</v>
      </c>
      <c r="E13" s="100"/>
      <c r="F13" s="101"/>
      <c r="G13" s="101"/>
      <c r="H13" s="101"/>
      <c r="I13" s="102"/>
    </row>
    <row r="14" spans="1:11" ht="18.75" thickBot="1" x14ac:dyDescent="0.4">
      <c r="A14" s="95" t="s">
        <v>247</v>
      </c>
      <c r="B14" s="225">
        <v>5.0999999999999996</v>
      </c>
      <c r="C14" s="97" t="s">
        <v>78</v>
      </c>
      <c r="D14" s="20" t="s">
        <v>246</v>
      </c>
      <c r="E14" s="100"/>
      <c r="F14" s="101"/>
      <c r="G14" s="101"/>
      <c r="H14" s="101"/>
      <c r="I14" s="102"/>
    </row>
    <row r="15" spans="1:11" ht="18.75" thickBot="1" x14ac:dyDescent="0.4">
      <c r="A15" s="47" t="s">
        <v>245</v>
      </c>
      <c r="B15" s="223">
        <f>1000000000000/C8*(C5/1000000000)/B14</f>
        <v>298.21814657421908</v>
      </c>
      <c r="C15" s="224" t="s">
        <v>16</v>
      </c>
      <c r="D15" s="20" t="s">
        <v>208</v>
      </c>
      <c r="E15" s="16"/>
      <c r="F15" s="18"/>
      <c r="G15" s="18"/>
      <c r="H15" s="18"/>
      <c r="I15" s="48"/>
    </row>
    <row r="16" spans="1:11" ht="18.75" thickBot="1" x14ac:dyDescent="0.4">
      <c r="A16" s="95" t="s">
        <v>248</v>
      </c>
      <c r="B16" s="263">
        <v>330</v>
      </c>
      <c r="C16" s="96" t="s">
        <v>16</v>
      </c>
      <c r="D16" s="20" t="s">
        <v>273</v>
      </c>
      <c r="E16" s="16"/>
      <c r="F16" s="18"/>
      <c r="G16" s="18"/>
      <c r="H16" s="18"/>
      <c r="I16" s="48"/>
      <c r="K16" s="12" t="s">
        <v>335</v>
      </c>
    </row>
    <row r="17" spans="1:9" ht="18.75" thickBot="1" x14ac:dyDescent="0.4">
      <c r="A17" s="138" t="s">
        <v>203</v>
      </c>
      <c r="B17" s="144">
        <f>1000*0.5*B16/1000000000000*Design!D4^2*IF(ISBLANK(Design!B33),Design!B32,Design!B33)*1000000</f>
        <v>17.952000000000002</v>
      </c>
      <c r="C17" s="139" t="s">
        <v>206</v>
      </c>
      <c r="D17" s="140" t="s">
        <v>212</v>
      </c>
      <c r="E17" s="136"/>
      <c r="F17" s="136"/>
      <c r="G17" s="136"/>
      <c r="H17" s="136"/>
      <c r="I17" s="137"/>
    </row>
    <row r="33" spans="3:3" x14ac:dyDescent="0.25">
      <c r="C33" s="12" t="s">
        <v>221</v>
      </c>
    </row>
  </sheetData>
  <sheetProtection password="83AF" sheet="1" objects="1" scenarios="1"/>
  <mergeCells count="10">
    <mergeCell ref="A1:I1"/>
    <mergeCell ref="F8:I8"/>
    <mergeCell ref="A9:I9"/>
    <mergeCell ref="D10:I10"/>
    <mergeCell ref="A11:I1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I78"/>
  <sheetViews>
    <sheetView showGridLines="0" topLeftCell="A28" zoomScale="115" zoomScaleNormal="115" workbookViewId="0">
      <selection activeCell="AT50" sqref="AT50"/>
    </sheetView>
  </sheetViews>
  <sheetFormatPr defaultRowHeight="15" x14ac:dyDescent="0.25"/>
  <cols>
    <col min="1" max="5" width="6.7109375" style="1" customWidth="1"/>
    <col min="6" max="20" width="6.7109375" style="155" customWidth="1"/>
    <col min="21" max="61" width="6.7109375" customWidth="1"/>
  </cols>
  <sheetData>
    <row r="1" spans="1:61" ht="24" customHeight="1" thickBot="1" x14ac:dyDescent="0.3">
      <c r="A1" s="447" t="s">
        <v>167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9"/>
    </row>
    <row r="2" spans="1:61" s="209" customFormat="1" ht="18" customHeight="1" x14ac:dyDescent="0.25">
      <c r="A2" s="213"/>
      <c r="B2" s="253" t="s">
        <v>251</v>
      </c>
      <c r="C2" s="254">
        <f>Design!B4</f>
        <v>8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6"/>
      <c r="V2" s="253" t="s">
        <v>251</v>
      </c>
      <c r="W2" s="254">
        <f>Design!C4</f>
        <v>12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6"/>
      <c r="AP2" s="253" t="s">
        <v>251</v>
      </c>
      <c r="AQ2" s="254">
        <f>Design!D4</f>
        <v>16</v>
      </c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6"/>
    </row>
    <row r="3" spans="1:61" s="158" customFormat="1" thickBot="1" x14ac:dyDescent="0.3">
      <c r="A3" s="214" t="s">
        <v>194</v>
      </c>
      <c r="B3" s="210" t="s">
        <v>92</v>
      </c>
      <c r="C3" s="208" t="s">
        <v>219</v>
      </c>
      <c r="D3" s="200" t="s">
        <v>217</v>
      </c>
      <c r="E3" s="200" t="s">
        <v>218</v>
      </c>
      <c r="F3" s="200" t="s">
        <v>93</v>
      </c>
      <c r="G3" s="200" t="s">
        <v>94</v>
      </c>
      <c r="H3" s="200" t="s">
        <v>95</v>
      </c>
      <c r="I3" s="200" t="s">
        <v>182</v>
      </c>
      <c r="J3" s="200" t="s">
        <v>235</v>
      </c>
      <c r="K3" s="200" t="s">
        <v>237</v>
      </c>
      <c r="L3" s="200" t="s">
        <v>238</v>
      </c>
      <c r="M3" s="200" t="s">
        <v>249</v>
      </c>
      <c r="N3" s="200" t="s">
        <v>264</v>
      </c>
      <c r="O3" s="200" t="s">
        <v>265</v>
      </c>
      <c r="P3" s="200" t="s">
        <v>111</v>
      </c>
      <c r="Q3" s="200" t="s">
        <v>231</v>
      </c>
      <c r="R3" s="200" t="s">
        <v>236</v>
      </c>
      <c r="S3" s="200" t="s">
        <v>239</v>
      </c>
      <c r="T3" s="200" t="s">
        <v>240</v>
      </c>
      <c r="U3" s="211" t="s">
        <v>226</v>
      </c>
      <c r="V3" s="210" t="s">
        <v>92</v>
      </c>
      <c r="W3" s="208" t="s">
        <v>219</v>
      </c>
      <c r="X3" s="200" t="s">
        <v>217</v>
      </c>
      <c r="Y3" s="200" t="s">
        <v>218</v>
      </c>
      <c r="Z3" s="200" t="s">
        <v>93</v>
      </c>
      <c r="AA3" s="200" t="s">
        <v>94</v>
      </c>
      <c r="AB3" s="200" t="s">
        <v>95</v>
      </c>
      <c r="AC3" s="200" t="s">
        <v>182</v>
      </c>
      <c r="AD3" s="200" t="s">
        <v>235</v>
      </c>
      <c r="AE3" s="200" t="s">
        <v>237</v>
      </c>
      <c r="AF3" s="200" t="s">
        <v>238</v>
      </c>
      <c r="AG3" s="200" t="s">
        <v>249</v>
      </c>
      <c r="AH3" s="200" t="s">
        <v>264</v>
      </c>
      <c r="AI3" s="200" t="s">
        <v>265</v>
      </c>
      <c r="AJ3" s="200" t="s">
        <v>111</v>
      </c>
      <c r="AK3" s="200" t="s">
        <v>231</v>
      </c>
      <c r="AL3" s="200" t="s">
        <v>236</v>
      </c>
      <c r="AM3" s="200" t="s">
        <v>239</v>
      </c>
      <c r="AN3" s="200" t="s">
        <v>240</v>
      </c>
      <c r="AO3" s="211" t="s">
        <v>226</v>
      </c>
      <c r="AP3" s="210" t="s">
        <v>92</v>
      </c>
      <c r="AQ3" s="208" t="s">
        <v>219</v>
      </c>
      <c r="AR3" s="200" t="s">
        <v>217</v>
      </c>
      <c r="AS3" s="200" t="s">
        <v>218</v>
      </c>
      <c r="AT3" s="200" t="s">
        <v>93</v>
      </c>
      <c r="AU3" s="200" t="s">
        <v>94</v>
      </c>
      <c r="AV3" s="200" t="s">
        <v>95</v>
      </c>
      <c r="AW3" s="200" t="s">
        <v>182</v>
      </c>
      <c r="AX3" s="200" t="s">
        <v>235</v>
      </c>
      <c r="AY3" s="200" t="s">
        <v>237</v>
      </c>
      <c r="AZ3" s="200" t="s">
        <v>238</v>
      </c>
      <c r="BA3" s="200" t="s">
        <v>249</v>
      </c>
      <c r="BB3" s="200" t="s">
        <v>264</v>
      </c>
      <c r="BC3" s="200" t="s">
        <v>265</v>
      </c>
      <c r="BD3" s="200" t="s">
        <v>111</v>
      </c>
      <c r="BE3" s="200" t="s">
        <v>231</v>
      </c>
      <c r="BF3" s="200" t="s">
        <v>236</v>
      </c>
      <c r="BG3" s="200" t="s">
        <v>239</v>
      </c>
      <c r="BH3" s="200" t="s">
        <v>240</v>
      </c>
      <c r="BI3" s="211" t="s">
        <v>226</v>
      </c>
    </row>
    <row r="4" spans="1:61" s="120" customFormat="1" ht="12.75" customHeight="1" x14ac:dyDescent="0.2">
      <c r="A4" s="159">
        <v>25</v>
      </c>
      <c r="B4" s="344">
        <v>0.25</v>
      </c>
      <c r="C4" s="345">
        <f ca="1">FORECAST(B4, OFFSET(Design!$C$15:$C$17,MATCH(B4,Design!$B$15:$B$17,1)-1,0,2), OFFSET(Design!$B$15:$B$17,MATCH(B4,Design!$B$15:$B$17,1)-1,0,2))+(N4-25)*Design!$B$18/1000</f>
        <v>0.32224979564189465</v>
      </c>
      <c r="D4" s="164">
        <f ca="1">IF(100*(Design!$C$29+C4+B4*IF(ISBLANK(Design!$B$43),Constants!$C$6,Design!$B$43)/1000*(1+Constants!$C$36/100*(O4-25)))/($C$2+C4-B4*P4/1000)&gt;Design!$C$36,Design!$C$36,100*(Design!$C$29+C4+B4*IF(ISBLANK(Design!$B$43),Constants!$C$6,Design!$B$43)/1000*(1+Constants!$C$36/100*(O4-25)))/($C$2+C4-B4*P4/1000))</f>
        <v>64.305923831774948</v>
      </c>
      <c r="E4" s="163">
        <f ca="1">IF(($C$2-B4*IF(ISBLANK(Design!$B$43),Constants!$C$6,Design!$B$43)/1000*(1+Constants!$C$36/100*(O4-25))-Design!$C$29) / (IF(ISBLANK(Design!$B$42),Design!$B$40,Design!$B$42)/1000000) * D4/100/(IF(ISBLANK(Design!$B$33),Design!$B$32,Design!$B$33)*1000000)&lt;0,0,($C$2-B4*IF(ISBLANK(Design!$B$43),Constants!$C$6,Design!$B$43)/1000*(1+Constants!$C$36/100*(O4-25))-Design!$C$29) / (IF(ISBLANK(Design!$B$42),Design!$B$40,Design!$B$42)/1000000) * D4/100/(IF(ISBLANK(Design!$B$33),Design!$B$32,Design!$B$33)*1000000))</f>
        <v>0.45254380962135071</v>
      </c>
      <c r="F4" s="163">
        <f>$C$2*Constants!$C$21/1000+IF(ISBLANK(Design!$B$33),Design!$B$32,Design!$B$33)*1000000*Constants!$D$25/1000000000*($C$2-Constants!$C$24)</f>
        <v>2.6375000000000003E-2</v>
      </c>
      <c r="G4" s="163">
        <f>$C$2*B4*($C$2/(Constants!$C$26*1000000000)*IF(ISBLANK(Design!$B$33),Design!$B$32,Design!$B$33)*1000000/2+$C$2/(Constants!$C$27*1000000000)*IF(ISBLANK(Design!$B$33),Design!$B$32,Design!$B$33)*1000000/2)</f>
        <v>9.4444444444444445E-3</v>
      </c>
      <c r="H4" s="163">
        <f ca="1">IF($D$78,1,D4/100*(B4^2+E4^2/12)*P4/1000)</f>
        <v>6.4693733047101161E-3</v>
      </c>
      <c r="I4" s="163">
        <f>Constants!$D$25/1000000000*Constants!$C$24*IF(ISBLANK(Design!$B$33),Design!$B$32,Design!$B$33)*1000000</f>
        <v>1.0624999999999999E-2</v>
      </c>
      <c r="J4" s="163">
        <f t="shared" ref="J4:J9" ca="1" si="0">SUM(F4:I4)</f>
        <v>5.291381774915456E-2</v>
      </c>
      <c r="K4" s="163">
        <f t="shared" ref="K4:K9" ca="1" si="1">B4*C4*(1-D4/100)</f>
        <v>2.8756021877091864E-2</v>
      </c>
      <c r="L4" s="163">
        <f ca="1">B4^2*IF(ISBLANK(Design!$B$43),Constants!$C$6,Design!$B$43)/1000*(1+(O4-25)*(Constants!$C$36/100))</f>
        <v>2.5176758608191053E-3</v>
      </c>
      <c r="M4" s="163">
        <f>0.5*Snubber!$B$16/1000000000000*$C$2^2*Design!$B$33*1000000</f>
        <v>4.4879999999999998E-3</v>
      </c>
      <c r="N4" s="164">
        <f ca="1">$A4+K4*Design!$B$19</f>
        <v>26.639093246994236</v>
      </c>
      <c r="O4" s="164">
        <f ca="1">J4*Design!$C$12+A4</f>
        <v>26.799069803471255</v>
      </c>
      <c r="P4" s="164">
        <f ca="1">Constants!$D$22+Constants!$D$22*Constants!$C$23/100*(O4-25)</f>
        <v>126.439255842777</v>
      </c>
      <c r="Q4" s="163">
        <f ca="1">(1-Constants!$C$20/1000000000*Design!$B$33*1000000) * ($C$2+C4-B4*P4/1000) - (C4+B4*Design!$B$43/1000)</f>
        <v>7.623655596778927</v>
      </c>
      <c r="R4" s="163">
        <f ca="1">IF(Q4&gt;Design!$C$29,Design!$C$29,Q4)</f>
        <v>4.9990521327014221</v>
      </c>
      <c r="S4" s="163">
        <f t="shared" ref="S4:S9" ca="1" si="2">SUM(J4:M4)</f>
        <v>8.8675515487065537E-2</v>
      </c>
      <c r="T4" s="163">
        <f t="shared" ref="T4:T9" ca="1" si="3">R4*B4</f>
        <v>1.2497630331753555</v>
      </c>
      <c r="U4" s="346">
        <f t="shared" ref="U4:U9" ca="1" si="4">100*T4/(T4+S4)</f>
        <v>93.374704010454266</v>
      </c>
      <c r="V4" s="352">
        <v>0.25</v>
      </c>
      <c r="W4" s="353">
        <f ca="1">FORECAST(V4, OFFSET(Design!$C$15:$C$17,MATCH(V4,Design!$B$15:$B$17,1)-1,0,2), OFFSET(Design!$B$15:$B$17,MATCH(V4,Design!$B$15:$B$17,1)-1,0,2))+(AH4-25)*Design!$B$18/1000</f>
        <v>0.32129628977448982</v>
      </c>
      <c r="X4" s="180">
        <f ca="1">IF(100*(Design!$C$29+W4+V4*IF(ISBLANK(Design!$B$43),Constants!$C$6,Design!$B$43)/1000*(1+Constants!$C$36/100*(AI4-25)))/($W$2+W4-V4*AJ4/1000)&gt;Design!$C$36,Design!$C$36,100*(Design!$C$29+W4+V4*IF(ISBLANK(Design!$B$43),Constants!$C$6,Design!$B$43)/1000*(1+Constants!$C$36/100*(AI4-25)))/($W$2+W4-V4*AJ4/1000))</f>
        <v>43.374142264286192</v>
      </c>
      <c r="Y4" s="179">
        <f ca="1">($W$2-V4*IF(ISBLANK(Design!$B$43),Constants!$C$6,Design!$B$43)/1000*(1+Constants!$C$36/100*(AI4-25))-Design!$C$29) / (IF(ISBLANK(Design!$B$42),Design!$B$40,Design!$B$42)/1000000) * X4/100/(IF(ISBLANK(Design!$B$33),Design!$B$32,Design!$B$33)*1000000)</f>
        <v>0.71346254962247613</v>
      </c>
      <c r="Z4" s="179">
        <f>$W$2*Constants!$C$21/1000+IF(ISBLANK(Design!$B$33),Design!$B$32,Design!$B$33)*1000000*Constants!$D$25/1000000000*($W$2-Constants!$C$24)</f>
        <v>4.4874999999999998E-2</v>
      </c>
      <c r="AA4" s="179">
        <f>$W$2*V4*($W$2/(Constants!$C$26*1000000000)*IF(ISBLANK(Design!$B$33),Design!$B$32,Design!$B$33)*1000000/2+$W$2/(Constants!$C$27*1000000000)*IF(ISBLANK(Design!$B$33),Design!$B$32,Design!$B$33)*1000000/2)</f>
        <v>2.1249999999999998E-2</v>
      </c>
      <c r="AB4" s="179">
        <f t="shared" ref="AB4:AB9" ca="1" si="5">IF($D$78,1,X4/100*(V4^2+Y4^2/12)*AJ4/1000)</f>
        <v>5.7906378817903443E-3</v>
      </c>
      <c r="AC4" s="179">
        <f>Constants!$D$25/1000000000*Constants!$C$24*IF(ISBLANK(Design!$B$33),Design!$B$32,Design!$B$33)*1000000</f>
        <v>1.0624999999999999E-2</v>
      </c>
      <c r="AD4" s="179">
        <f t="shared" ref="AD4:AD9" ca="1" si="6">SUM(Z4:AC4)</f>
        <v>8.2540637881790335E-2</v>
      </c>
      <c r="AE4" s="179">
        <f t="shared" ref="AE4:AE9" ca="1" si="7">V4*W4*(1-X4/100)</f>
        <v>4.5484194989457348E-2</v>
      </c>
      <c r="AF4" s="179">
        <f ca="1">V4^2*IF(ISBLANK(Design!$B$43),Constants!$C$6,Design!$B$43)/1000*(1+(AI4-25)*(Constants!$C$36/100))</f>
        <v>2.5275727000844124E-3</v>
      </c>
      <c r="AG4" s="179">
        <f>0.5*Snubber!$B$16/1000000000000*$W$2^2*Design!$B$33*1000000</f>
        <v>1.0097999999999999E-2</v>
      </c>
      <c r="AH4" s="180">
        <f ca="1">$A4+AE4*Design!$B$19</f>
        <v>27.592599114399068</v>
      </c>
      <c r="AI4" s="180">
        <f ca="1">AD4*Design!$C$12+$A4</f>
        <v>27.806381687980871</v>
      </c>
      <c r="AJ4" s="180">
        <f ca="1">Constants!$D$22+Constants!$D$22*Constants!$C$23/100*(AI4-25)</f>
        <v>127.24510535038469</v>
      </c>
      <c r="AK4" s="179">
        <f ca="1">(1-Constants!$C$20/1000000000*Design!$B$33*1000000) * ($W$2+W4-V4*AJ4/1000) - (W4+V4*Design!$B$43/1000)</f>
        <v>11.462000766244888</v>
      </c>
      <c r="AL4" s="179">
        <f ca="1">IF(AK4&gt;Design!$C$29,Design!$C$29,AK4)</f>
        <v>4.9990521327014221</v>
      </c>
      <c r="AM4" s="179">
        <f t="shared" ref="AM4:AM9" ca="1" si="8">SUM(AD4:AG4)</f>
        <v>0.1406504055713321</v>
      </c>
      <c r="AN4" s="179">
        <f t="shared" ref="AN4:AN9" ca="1" si="9">AL4*V4</f>
        <v>1.2497630331753555</v>
      </c>
      <c r="AO4" s="354">
        <f t="shared" ref="AO4:AO9" ca="1" si="10">100*AN4/(AN4+AM4)</f>
        <v>89.884274586837009</v>
      </c>
      <c r="AP4" s="360">
        <v>0.25</v>
      </c>
      <c r="AQ4" s="361">
        <f ca="1">FORECAST(AP4, OFFSET(Design!$C$15:$C$17,MATCH(AP4,Design!$B$15:$B$17,1)-1,0,2), OFFSET(Design!$B$15:$B$17,MATCH(AP4,Design!$B$15:$B$17,1)-1,0,2))+(BB4-25)*Design!$B$18/1000</f>
        <v>0.32081321869825308</v>
      </c>
      <c r="AR4" s="193">
        <f ca="1">IF(100*(Design!$C$29+AQ4+AP4*IF(ISBLANK(Design!$B$43),Constants!$C$6,Design!$B$43)/1000*(1+Constants!$C$36/100*(BC4-25)))/($AQ$2+AQ4-AP4*BD4/1000)&gt;Design!$C$36,Design!$C$36,100*(Design!$C$29+AQ4+AP4*IF(ISBLANK(Design!$B$43),Constants!$C$6,Design!$B$43)/1000*(1+Constants!$C$36/100*(BC4-25)))/($AQ$2+AQ4-AP4*BD4/1000))</f>
        <v>32.722066290843195</v>
      </c>
      <c r="AS4" s="192">
        <f ca="1">($AQ$2-AP4*IF(ISBLANK(Design!$B$43),Constants!$C$6,Design!$B$43)/1000*(1+Constants!$C$36/100*(BC4-25))-Design!$C$29) / (IF(ISBLANK(Design!$B$42),Design!$B$40,Design!$B$42)/1000000) * AR4/100/(IF(ISBLANK(Design!$B$33),Design!$B$32,Design!$B$33)*1000000)</f>
        <v>0.84621509029666853</v>
      </c>
      <c r="AT4" s="192">
        <f>$AQ$2*Constants!$C$21/1000+IF(ISBLANK(Design!$B$33),Design!$B$32,Design!$B$33)*1000000*Constants!$D$25/1000000000*($AQ$2-Constants!$C$24)</f>
        <v>6.3375000000000001E-2</v>
      </c>
      <c r="AU4" s="192">
        <f>$AQ$2*AP4*($AQ$2/(Constants!$C$26*1000000000)*IF(ISBLANK(Design!$B$33),Design!$B$32,Design!$B$33)*1000000/2+$AQ$2/(Constants!$C$27*1000000000)*IF(ISBLANK(Design!$B$33),Design!$B$32,Design!$B$33)*1000000/2)</f>
        <v>3.7777777777777778E-2</v>
      </c>
      <c r="AV4" s="192">
        <f t="shared" ref="AV4:AV9" ca="1" si="11">IF($D$78,1,AR4/100*(AP4^2+AS4^2/12)*BD4/1000)</f>
        <v>5.1243232012972116E-3</v>
      </c>
      <c r="AW4" s="192">
        <f>Constants!$D$25/1000000000*Constants!$C$24*IF(ISBLANK(Design!$B$33),Design!$B$32,Design!$B$33)*1000000</f>
        <v>1.0624999999999999E-2</v>
      </c>
      <c r="AX4" s="192">
        <f t="shared" ref="AX4:AX9" ca="1" si="12">SUM(AT4:AW4)</f>
        <v>0.116902100979075</v>
      </c>
      <c r="AY4" s="192">
        <f t="shared" ref="AY4:AY9" ca="1" si="13">AP4*AQ4*(1-AR4/100)</f>
        <v>5.3959126151505735E-2</v>
      </c>
      <c r="AZ4" s="192">
        <f ca="1">AP4^2*IF(ISBLANK(Design!$B$43),Constants!$C$6,Design!$B$43)/1000*(1+(BC4-25)*(Constants!$C$36/100))</f>
        <v>2.53905114683206E-3</v>
      </c>
      <c r="BA4" s="192">
        <f>0.5*Snubber!$B$16/1000000000000*$AQ$2^2*Design!$B$33*1000000</f>
        <v>1.7951999999999999E-2</v>
      </c>
      <c r="BB4" s="193">
        <f ca="1">$A4+AY4*Design!$B$19</f>
        <v>28.075670190635826</v>
      </c>
      <c r="BC4" s="193">
        <f ca="1">AX4*Design!$C$12+$A4</f>
        <v>28.974671433288549</v>
      </c>
      <c r="BD4" s="193">
        <f ca="1">Constants!$D$22+Constants!$D$22*Constants!$C$23/100*(BC4-25)</f>
        <v>128.17973714663083</v>
      </c>
      <c r="BE4" s="192">
        <f ca="1">(1-Constants!$C$20/1000000000*Design!$B$33*1000000) * ($AQ$2+AQ4-AP4*BD4/1000) - (AQ4+AP4*Design!$B$43/1000)</f>
        <v>15.300296046230223</v>
      </c>
      <c r="BF4" s="192">
        <f ca="1">IF(BE4&gt;Design!$C$29,Design!$C$29,BE4)</f>
        <v>4.9990521327014221</v>
      </c>
      <c r="BG4" s="192">
        <f t="shared" ref="BG4:BG9" ca="1" si="14">SUM(AX4:BA4)</f>
        <v>0.19135227827741277</v>
      </c>
      <c r="BH4" s="192">
        <f t="shared" ref="BH4:BH9" ca="1" si="15">BF4*AP4</f>
        <v>1.2497630331753555</v>
      </c>
      <c r="BI4" s="362">
        <f t="shared" ref="BI4:BI9" ca="1" si="16">100*BH4/(BH4+BG4)</f>
        <v>86.721931495924963</v>
      </c>
    </row>
    <row r="5" spans="1:61" s="120" customFormat="1" ht="12.75" x14ac:dyDescent="0.2">
      <c r="A5" s="112">
        <v>25</v>
      </c>
      <c r="B5" s="347">
        <f>B4+0.305</f>
        <v>0.55499999999999994</v>
      </c>
      <c r="C5" s="348">
        <f ca="1">FORECAST(B5, OFFSET(Design!$C$15:$C$17,MATCH(B5,Design!$B$15:$B$17,1)-1,0,2), OFFSET(Design!$B$15:$B$17,MATCH(B5,Design!$B$15:$B$17,1)-1,0,2))+(N5-25)*Design!$B$18/1000</f>
        <v>0.3437885027198232</v>
      </c>
      <c r="D5" s="166">
        <f ca="1">IF(100*(Design!$C$29+C5+B5*IF(ISBLANK(Design!$B$43),Constants!$C$6,Design!$B$43)/1000*(1+Constants!$C$36/100*(O5-25)))/($C$2+C5-B5*P5/1000)&gt;Design!$C$36,Design!$C$36,100*(Design!$C$29+C5+B5*IF(ISBLANK(Design!$B$43),Constants!$C$6,Design!$B$43)/1000*(1+Constants!$C$36/100*(O5-25)))/($C$2+C5-B5*P5/1000))</f>
        <v>64.851999695572943</v>
      </c>
      <c r="E5" s="165">
        <f ca="1">IF(($C$2-B5*IF(ISBLANK(Design!$B$43),Constants!$C$6,Design!$B$43)/1000*(1+Constants!$C$36/100*(O5-25))-Design!$C$29) / (IF(ISBLANK(Design!$B$42),Design!$B$40,Design!$B$42)/1000000) * D5/100/(IF(ISBLANK(Design!$B$33),Design!$B$32,Design!$B$33)*1000000)&lt;0,0,($C$2-B5*IF(ISBLANK(Design!$B$43),Constants!$C$6,Design!$B$43)/1000*(1+Constants!$C$36/100*(O5-25))-Design!$C$29) / (IF(ISBLANK(Design!$B$42),Design!$B$40,Design!$B$42)/1000000) * D5/100/(IF(ISBLANK(Design!$B$33),Design!$B$32,Design!$B$33)*1000000))</f>
        <v>0.45449750306050085</v>
      </c>
      <c r="F5" s="165">
        <f>$C$2*Constants!$C$21/1000+IF(ISBLANK(Design!$B$33),Design!$B$32,Design!$B$33)*1000000*Constants!$D$25/1000000000*($C$2-Constants!$C$24)</f>
        <v>2.6375000000000003E-2</v>
      </c>
      <c r="G5" s="165">
        <f>$C$2*B5*($C$2/(Constants!$C$26*1000000000)*IF(ISBLANK(Design!$B$33),Design!$B$32,Design!$B$33)*1000000/2+$C$2/(Constants!$C$27*1000000000)*IF(ISBLANK(Design!$B$33),Design!$B$32,Design!$B$33)*1000000/2)</f>
        <v>2.0966666666666665E-2</v>
      </c>
      <c r="H5" s="165">
        <f t="shared" ref="H5:H9" ca="1" si="17">IF($D$78,1,D5/100*(B5^2+E5^2/12)*P5/1000)</f>
        <v>2.6852115884178587E-2</v>
      </c>
      <c r="I5" s="165">
        <f>Constants!$D$25/1000000000*Constants!$C$24*IF(ISBLANK(Design!$B$33),Design!$B$32,Design!$B$33)*1000000</f>
        <v>1.0624999999999999E-2</v>
      </c>
      <c r="J5" s="165">
        <f t="shared" ca="1" si="0"/>
        <v>8.4818782550845254E-2</v>
      </c>
      <c r="K5" s="165">
        <f t="shared" ca="1" si="1"/>
        <v>6.7063305110314525E-2</v>
      </c>
      <c r="L5" s="165">
        <f ca="1">B5^2*IF(ISBLANK(Design!$B$43),Constants!$C$6,Design!$B$43)/1000*(1+(O5-25)*(Constants!$C$36/100))</f>
        <v>1.2460639877610874E-2</v>
      </c>
      <c r="M5" s="165">
        <f>0.5*Snubber!$B$16/1000000000000*$C$2^2*Design!$B$33*1000000</f>
        <v>4.4879999999999998E-3</v>
      </c>
      <c r="N5" s="166">
        <f ca="1">$A5+K5*Design!$B$19</f>
        <v>28.822608391287929</v>
      </c>
      <c r="O5" s="166">
        <f ca="1">J5*Design!$C$12+A5</f>
        <v>27.883838606728737</v>
      </c>
      <c r="P5" s="166">
        <f ca="1">Constants!$D$22+Constants!$D$22*Constants!$C$23/100*(O5-25)</f>
        <v>127.30707088538298</v>
      </c>
      <c r="Q5" s="165">
        <f ca="1">(1-Constants!$C$20/1000000000*Design!$B$33*1000000) * ($C$2+C5-B5*P5/1000) - (C5+B5*Design!$B$43/1000)</f>
        <v>7.5731168276190832</v>
      </c>
      <c r="R5" s="165">
        <f ca="1">IF(Q5&gt;Design!$C$29,Design!$C$29,Q5)</f>
        <v>4.9990521327014221</v>
      </c>
      <c r="S5" s="165">
        <f t="shared" ca="1" si="2"/>
        <v>0.16883072753877065</v>
      </c>
      <c r="T5" s="165">
        <f t="shared" ca="1" si="3"/>
        <v>2.774473933649289</v>
      </c>
      <c r="U5" s="349">
        <f t="shared" ca="1" si="4"/>
        <v>94.263905814268554</v>
      </c>
      <c r="V5" s="355">
        <f>V4+0.305</f>
        <v>0.55499999999999994</v>
      </c>
      <c r="W5" s="356">
        <f ca="1">FORECAST(V5, OFFSET(Design!$C$15:$C$17,MATCH(V5,Design!$B$15:$B$17,1)-1,0,2), OFFSET(Design!$B$15:$B$17,MATCH(V5,Design!$B$15:$B$17,1)-1,0,2))+(AH5-25)*Design!$B$18/1000</f>
        <v>0.34152920178637985</v>
      </c>
      <c r="X5" s="184">
        <f ca="1">IF(100*(Design!$C$29+W5+V5*IF(ISBLANK(Design!$B$43),Constants!$C$6,Design!$B$43)/1000*(1+Constants!$C$36/100*(AI5-25)))/($W$2+W5-V5*AJ5/1000)&gt;Design!$C$36,Design!$C$36,100*(Design!$C$29+W5+V5*IF(ISBLANK(Design!$B$43),Constants!$C$6,Design!$B$43)/1000*(1+Constants!$C$36/100*(AI5-25)))/($W$2+W5-V5*AJ5/1000))</f>
        <v>43.708313664943674</v>
      </c>
      <c r="Y5" s="183">
        <f ca="1">($W$2-V5*IF(ISBLANK(Design!$B$43),Constants!$C$6,Design!$B$43)/1000*(1+Constants!$C$36/100*(AI5-25))-Design!$C$29) / (IF(ISBLANK(Design!$B$42),Design!$B$40,Design!$B$42)/1000000) * X5/100/(IF(ISBLANK(Design!$B$33),Design!$B$32,Design!$B$33)*1000000)</f>
        <v>0.71767867355670456</v>
      </c>
      <c r="Z5" s="183">
        <f>$W$2*Constants!$C$21/1000+IF(ISBLANK(Design!$B$33),Design!$B$32,Design!$B$33)*1000000*Constants!$D$25/1000000000*($W$2-Constants!$C$24)</f>
        <v>4.4874999999999998E-2</v>
      </c>
      <c r="AA5" s="183">
        <f>$W$2*V5*($W$2/(Constants!$C$26*1000000000)*IF(ISBLANK(Design!$B$33),Design!$B$32,Design!$B$33)*1000000/2+$W$2/(Constants!$C$27*1000000000)*IF(ISBLANK(Design!$B$33),Design!$B$32,Design!$B$33)*1000000/2)</f>
        <v>4.7174999999999995E-2</v>
      </c>
      <c r="AB5" s="183">
        <f t="shared" ca="1" si="5"/>
        <v>1.9684640675720816E-2</v>
      </c>
      <c r="AC5" s="183">
        <f>Constants!$D$25/1000000000*Constants!$C$24*IF(ISBLANK(Design!$B$33),Design!$B$32,Design!$B$33)*1000000</f>
        <v>1.0624999999999999E-2</v>
      </c>
      <c r="AD5" s="183">
        <f t="shared" ca="1" si="6"/>
        <v>0.1223596406757208</v>
      </c>
      <c r="AE5" s="183">
        <f t="shared" ca="1" si="7"/>
        <v>0.10670016359177684</v>
      </c>
      <c r="AF5" s="183">
        <f ca="1">V5^2*IF(ISBLANK(Design!$B$43),Constants!$C$6,Design!$B$43)/1000*(1+(AI5-25)*(Constants!$C$36/100))</f>
        <v>1.2522444594400132E-2</v>
      </c>
      <c r="AG5" s="183">
        <f>0.5*Snubber!$B$16/1000000000000*$W$2^2*Design!$B$33*1000000</f>
        <v>1.0097999999999999E-2</v>
      </c>
      <c r="AH5" s="184">
        <f ca="1">$A5+AE5*Design!$B$19</f>
        <v>31.081909324731278</v>
      </c>
      <c r="AI5" s="184">
        <f ca="1">AD5*Design!$C$12+$A5</f>
        <v>29.160227782974509</v>
      </c>
      <c r="AJ5" s="184">
        <f ca="1">Constants!$D$22+Constants!$D$22*Constants!$C$23/100*(AI5-25)</f>
        <v>128.3281822263796</v>
      </c>
      <c r="AK5" s="183">
        <f ca="1">(1-Constants!$C$20/1000000000*Design!$B$33*1000000) * ($W$2+W5-V5*AJ5/1000) - (W5+V5*Design!$B$43/1000)</f>
        <v>11.411164211290584</v>
      </c>
      <c r="AL5" s="183">
        <f ca="1">IF(AK5&gt;Design!$C$29,Design!$C$29,AK5)</f>
        <v>4.9990521327014221</v>
      </c>
      <c r="AM5" s="183">
        <f t="shared" ca="1" si="8"/>
        <v>0.25168024886189777</v>
      </c>
      <c r="AN5" s="183">
        <f t="shared" ca="1" si="9"/>
        <v>2.774473933649289</v>
      </c>
      <c r="AO5" s="357">
        <f t="shared" ca="1" si="10"/>
        <v>91.683165044384921</v>
      </c>
      <c r="AP5" s="363">
        <f>AP4+0.305</f>
        <v>0.55499999999999994</v>
      </c>
      <c r="AQ5" s="364">
        <f ca="1">FORECAST(AP5, OFFSET(Design!$C$15:$C$17,MATCH(AP5,Design!$B$15:$B$17,1)-1,0,2), OFFSET(Design!$B$15:$B$17,MATCH(AP5,Design!$B$15:$B$17,1)-1,0,2))+(BB5-25)*Design!$B$18/1000</f>
        <v>0.34039210345065951</v>
      </c>
      <c r="AR5" s="196">
        <f ca="1">IF(100*(Design!$C$29+AQ5+AP5*IF(ISBLANK(Design!$B$43),Constants!$C$6,Design!$B$43)/1000*(1+Constants!$C$36/100*(BC5-25)))/($AQ$2+AQ5-AP5*BD5/1000)&gt;Design!$C$36,Design!$C$36,100*(Design!$C$29+AQ5+AP5*IF(ISBLANK(Design!$B$43),Constants!$C$6,Design!$B$43)/1000*(1+Constants!$C$36/100*(BC5-25)))/($AQ$2+AQ5-AP5*BD5/1000))</f>
        <v>32.960589417865634</v>
      </c>
      <c r="AS5" s="195">
        <f ca="1">($AQ$2-AP5*IF(ISBLANK(Design!$B$43),Constants!$C$6,Design!$B$43)/1000*(1+Constants!$C$36/100*(BC5-25))-Design!$C$29) / (IF(ISBLANK(Design!$B$42),Design!$B$40,Design!$B$42)/1000000) * AR5/100/(IF(ISBLANK(Design!$B$33),Design!$B$32,Design!$B$33)*1000000)</f>
        <v>0.85140947158207458</v>
      </c>
      <c r="AT5" s="195">
        <f>$AQ$2*Constants!$C$21/1000+IF(ISBLANK(Design!$B$33),Design!$B$32,Design!$B$33)*1000000*Constants!$D$25/1000000000*($AQ$2-Constants!$C$24)</f>
        <v>6.3375000000000001E-2</v>
      </c>
      <c r="AU5" s="195">
        <f>$AQ$2*AP5*($AQ$2/(Constants!$C$26*1000000000)*IF(ISBLANK(Design!$B$33),Design!$B$32,Design!$B$33)*1000000/2+$AQ$2/(Constants!$C$27*1000000000)*IF(ISBLANK(Design!$B$33),Design!$B$32,Design!$B$33)*1000000/2)</f>
        <v>8.3866666666666659E-2</v>
      </c>
      <c r="AV5" s="195">
        <f t="shared" ca="1" si="11"/>
        <v>1.5753203173905207E-2</v>
      </c>
      <c r="AW5" s="195">
        <f>Constants!$D$25/1000000000*Constants!$C$24*IF(ISBLANK(Design!$B$33),Design!$B$32,Design!$B$33)*1000000</f>
        <v>1.0624999999999999E-2</v>
      </c>
      <c r="AX5" s="195">
        <f t="shared" ca="1" si="12"/>
        <v>0.17361986984057187</v>
      </c>
      <c r="AY5" s="195">
        <f t="shared" ca="1" si="13"/>
        <v>0.12664925720090539</v>
      </c>
      <c r="AZ5" s="195">
        <f ca="1">AP5^2*IF(ISBLANK(Design!$B$43),Constants!$C$6,Design!$B$43)/1000*(1+(BC5-25)*(Constants!$C$36/100))</f>
        <v>1.2606835951026763E-2</v>
      </c>
      <c r="BA5" s="195">
        <f>0.5*Snubber!$B$16/1000000000000*$AQ$2^2*Design!$B$33*1000000</f>
        <v>1.7951999999999999E-2</v>
      </c>
      <c r="BB5" s="196">
        <f ca="1">$A5+AY5*Design!$B$19</f>
        <v>32.219007660451609</v>
      </c>
      <c r="BC5" s="196">
        <f ca="1">AX5*Design!$C$12+$A5</f>
        <v>30.903075574579443</v>
      </c>
      <c r="BD5" s="196">
        <f ca="1">Constants!$D$22+Constants!$D$22*Constants!$C$23/100*(BC5-25)</f>
        <v>129.72246045966355</v>
      </c>
      <c r="BE5" s="195">
        <f ca="1">(1-Constants!$C$20/1000000000*Design!$B$33*1000000) * ($AQ$2+AQ5-AP5*BD5/1000) - (AQ5+AP5*Design!$B$43/1000)</f>
        <v>15.248967540377354</v>
      </c>
      <c r="BF5" s="195">
        <f ca="1">IF(BE5&gt;Design!$C$29,Design!$C$29,BE5)</f>
        <v>4.9990521327014221</v>
      </c>
      <c r="BG5" s="195">
        <f t="shared" ca="1" si="14"/>
        <v>0.330827962992504</v>
      </c>
      <c r="BH5" s="195">
        <f t="shared" ca="1" si="15"/>
        <v>2.774473933649289</v>
      </c>
      <c r="BI5" s="365">
        <f t="shared" ca="1" si="16"/>
        <v>89.346351047211357</v>
      </c>
    </row>
    <row r="6" spans="1:61" s="120" customFormat="1" ht="12.75" x14ac:dyDescent="0.2">
      <c r="A6" s="112">
        <v>25</v>
      </c>
      <c r="B6" s="347">
        <f t="shared" ref="B6:B13" si="18">B5+0.305</f>
        <v>0.85999999999999988</v>
      </c>
      <c r="C6" s="348">
        <f ca="1">FORECAST(B6, OFFSET(Design!$C$15:$C$17,MATCH(B6,Design!$B$15:$B$17,1)-1,0,2), OFFSET(Design!$B$15:$B$17,MATCH(B6,Design!$B$15:$B$17,1)-1,0,2))+(N6-25)*Design!$B$18/1000</f>
        <v>0.36514180921041772</v>
      </c>
      <c r="D6" s="166">
        <f ca="1">IF(100*(Design!$C$29+C6+B6*IF(ISBLANK(Design!$B$43),Constants!$C$6,Design!$B$43)/1000*(1+Constants!$C$36/100*(O6-25)))/($C$2+C6-B6*P6/1000)&gt;Design!$C$36,Design!$C$36,100*(Design!$C$29+C6+B6*IF(ISBLANK(Design!$B$43),Constants!$C$6,Design!$B$43)/1000*(1+Constants!$C$36/100*(O6-25)))/($C$2+C6-B6*P6/1000))</f>
        <v>65.409033292585718</v>
      </c>
      <c r="E6" s="165">
        <f ca="1">IF(($C$2-B6*IF(ISBLANK(Design!$B$43),Constants!$C$6,Design!$B$43)/1000*(1+Constants!$C$36/100*(O6-25))-Design!$C$29) / (IF(ISBLANK(Design!$B$42),Design!$B$40,Design!$B$42)/1000000) * D6/100/(IF(ISBLANK(Design!$B$33),Design!$B$32,Design!$B$33)*1000000)&lt;0,0,($C$2-B6*IF(ISBLANK(Design!$B$43),Constants!$C$6,Design!$B$43)/1000*(1+Constants!$C$36/100*(O6-25))-Design!$C$29) / (IF(ISBLANK(Design!$B$42),Design!$B$40,Design!$B$42)/1000000) * D6/100/(IF(ISBLANK(Design!$B$33),Design!$B$32,Design!$B$33)*1000000))</f>
        <v>0.45646821000791804</v>
      </c>
      <c r="F6" s="165">
        <f>$C$2*Constants!$C$21/1000+IF(ISBLANK(Design!$B$33),Design!$B$32,Design!$B$33)*1000000*Constants!$D$25/1000000000*($C$2-Constants!$C$24)</f>
        <v>2.6375000000000003E-2</v>
      </c>
      <c r="G6" s="165">
        <f>$C$2*B6*($C$2/(Constants!$C$26*1000000000)*IF(ISBLANK(Design!$B$33),Design!$B$32,Design!$B$33)*1000000/2+$C$2/(Constants!$C$27*1000000000)*IF(ISBLANK(Design!$B$33),Design!$B$32,Design!$B$33)*1000000/2)</f>
        <v>3.2488888888888887E-2</v>
      </c>
      <c r="H6" s="165">
        <f t="shared" ca="1" si="17"/>
        <v>6.3683802948856019E-2</v>
      </c>
      <c r="I6" s="165">
        <f>Constants!$D$25/1000000000*Constants!$C$24*IF(ISBLANK(Design!$B$33),Design!$B$32,Design!$B$33)*1000000</f>
        <v>1.0624999999999999E-2</v>
      </c>
      <c r="J6" s="165">
        <f t="shared" ca="1" si="0"/>
        <v>0.13317269183774491</v>
      </c>
      <c r="K6" s="165">
        <f t="shared" ca="1" si="1"/>
        <v>0.10862323022659016</v>
      </c>
      <c r="L6" s="165">
        <f ca="1">B6^2*IF(ISBLANK(Design!$B$43),Constants!$C$6,Design!$B$43)/1000*(1+(O6-25)*(Constants!$C$36/100))</f>
        <v>3.0110433525906099E-2</v>
      </c>
      <c r="M6" s="165">
        <f>0.5*Snubber!$B$16/1000000000000*$C$2^2*Design!$B$33*1000000</f>
        <v>4.4879999999999998E-3</v>
      </c>
      <c r="N6" s="166">
        <f ca="1">$A6+K6*Design!$B$19</f>
        <v>31.191524122915638</v>
      </c>
      <c r="O6" s="166">
        <f ca="1">J6*Design!$C$12+A6</f>
        <v>29.527871522483327</v>
      </c>
      <c r="P6" s="166">
        <f ca="1">Constants!$D$22+Constants!$D$22*Constants!$C$23/100*(O6-25)</f>
        <v>128.62229721798667</v>
      </c>
      <c r="Q6" s="165">
        <f ca="1">(1-Constants!$C$20/1000000000*Design!$B$33*1000000) * ($C$2+C6-B6*P6/1000) - (C6+B6*Design!$B$43/1000)</f>
        <v>7.5217083115608103</v>
      </c>
      <c r="R6" s="165">
        <f ca="1">IF(Q6&gt;Design!$C$29,Design!$C$29,Q6)</f>
        <v>4.9990521327014221</v>
      </c>
      <c r="S6" s="165">
        <f t="shared" ca="1" si="2"/>
        <v>0.27639435559024117</v>
      </c>
      <c r="T6" s="165">
        <f t="shared" ca="1" si="3"/>
        <v>4.2991848341232224</v>
      </c>
      <c r="U6" s="349">
        <f t="shared" ca="1" si="4"/>
        <v>93.95935805872152</v>
      </c>
      <c r="V6" s="355">
        <f t="shared" ref="V6:V13" si="19">V5+0.305</f>
        <v>0.85999999999999988</v>
      </c>
      <c r="W6" s="356">
        <f ca="1">FORECAST(V6, OFFSET(Design!$C$15:$C$17,MATCH(V6,Design!$B$15:$B$17,1)-1,0,2), OFFSET(Design!$B$15:$B$17,MATCH(V6,Design!$B$15:$B$17,1)-1,0,2))+(AH6-25)*Design!$B$18/1000</f>
        <v>0.36142019988505425</v>
      </c>
      <c r="X6" s="184">
        <f ca="1">IF(100*(Design!$C$29+W6+V6*IF(ISBLANK(Design!$B$43),Constants!$C$6,Design!$B$43)/1000*(1+Constants!$C$36/100*(AI6-25)))/($W$2+W6-V6*AJ6/1000)&gt;Design!$C$36,Design!$C$36,100*(Design!$C$29+W6+V6*IF(ISBLANK(Design!$B$43),Constants!$C$6,Design!$B$43)/1000*(1+Constants!$C$36/100*(AI6-25)))/($W$2+W6-V6*AJ6/1000))</f>
        <v>44.046762024155328</v>
      </c>
      <c r="Y6" s="183">
        <f ca="1">($W$2-V6*IF(ISBLANK(Design!$B$43),Constants!$C$6,Design!$B$43)/1000*(1+Constants!$C$36/100*(AI6-25))-Design!$C$29) / (IF(ISBLANK(Design!$B$42),Design!$B$40,Design!$B$42)/1000000) * X6/100/(IF(ISBLANK(Design!$B$33),Design!$B$32,Design!$B$33)*1000000)</f>
        <v>0.72192654475898566</v>
      </c>
      <c r="Z6" s="183">
        <f>$W$2*Constants!$C$21/1000+IF(ISBLANK(Design!$B$33),Design!$B$32,Design!$B$33)*1000000*Constants!$D$25/1000000000*($W$2-Constants!$C$24)</f>
        <v>4.4874999999999998E-2</v>
      </c>
      <c r="AA6" s="183">
        <f>$W$2*V6*($W$2/(Constants!$C$26*1000000000)*IF(ISBLANK(Design!$B$33),Design!$B$32,Design!$B$33)*1000000/2+$W$2/(Constants!$C$27*1000000000)*IF(ISBLANK(Design!$B$33),Design!$B$32,Design!$B$33)*1000000/2)</f>
        <v>7.3099999999999984E-2</v>
      </c>
      <c r="AB6" s="183">
        <f t="shared" ca="1" si="5"/>
        <v>4.4738640792701956E-2</v>
      </c>
      <c r="AC6" s="183">
        <f>Constants!$D$25/1000000000*Constants!$C$24*IF(ISBLANK(Design!$B$33),Design!$B$32,Design!$B$33)*1000000</f>
        <v>1.0624999999999999E-2</v>
      </c>
      <c r="AD6" s="183">
        <f t="shared" ca="1" si="6"/>
        <v>0.17333864079270195</v>
      </c>
      <c r="AE6" s="183">
        <f t="shared" ca="1" si="7"/>
        <v>0.17391462189963378</v>
      </c>
      <c r="AF6" s="183">
        <f ca="1">V6^2*IF(ISBLANK(Design!$B$43),Constants!$C$6,Design!$B$43)/1000*(1+(AI6-25)*(Constants!$C$36/100))</f>
        <v>3.0269210087661605E-2</v>
      </c>
      <c r="AG6" s="183">
        <f>0.5*Snubber!$B$16/1000000000000*$W$2^2*Design!$B$33*1000000</f>
        <v>1.0097999999999999E-2</v>
      </c>
      <c r="AH6" s="184">
        <f ca="1">$A6+AE6*Design!$B$19</f>
        <v>34.913133448279126</v>
      </c>
      <c r="AI6" s="184">
        <f ca="1">AD6*Design!$C$12+$A6</f>
        <v>30.893513786951864</v>
      </c>
      <c r="AJ6" s="184">
        <f ca="1">Constants!$D$22+Constants!$D$22*Constants!$C$23/100*(AI6-25)</f>
        <v>129.7148110295615</v>
      </c>
      <c r="AK6" s="183">
        <f ca="1">(1-Constants!$C$20/1000000000*Design!$B$33*1000000) * ($W$2+W6-V6*AJ6/1000) - (W6+V6*Design!$B$43/1000)</f>
        <v>11.359456944470192</v>
      </c>
      <c r="AL6" s="183">
        <f ca="1">IF(AK6&gt;Design!$C$29,Design!$C$29,AK6)</f>
        <v>4.9990521327014221</v>
      </c>
      <c r="AM6" s="183">
        <f t="shared" ca="1" si="8"/>
        <v>0.38762047277999728</v>
      </c>
      <c r="AN6" s="183">
        <f t="shared" ca="1" si="9"/>
        <v>4.2991848341232224</v>
      </c>
      <c r="AO6" s="357">
        <f t="shared" ca="1" si="10"/>
        <v>91.729537554950937</v>
      </c>
      <c r="AP6" s="363">
        <f t="shared" ref="AP6:AP13" si="20">AP5+0.305</f>
        <v>0.85999999999999988</v>
      </c>
      <c r="AQ6" s="364">
        <f ca="1">FORECAST(AP6, OFFSET(Design!$C$15:$C$17,MATCH(AP6,Design!$B$15:$B$17,1)-1,0,2), OFFSET(Design!$B$15:$B$17,MATCH(AP6,Design!$B$15:$B$17,1)-1,0,2))+(BB6-25)*Design!$B$18/1000</f>
        <v>0.35955972624007881</v>
      </c>
      <c r="AR6" s="196">
        <f ca="1">IF(100*(Design!$C$29+AQ6+AP6*IF(ISBLANK(Design!$B$43),Constants!$C$6,Design!$B$43)/1000*(1+Constants!$C$36/100*(BC6-25)))/($AQ$2+AQ6-AP6*BD6/1000)&gt;Design!$C$36,Design!$C$36,100*(Design!$C$29+AQ6+AP6*IF(ISBLANK(Design!$B$43),Constants!$C$6,Design!$B$43)/1000*(1+Constants!$C$36/100*(BC6-25)))/($AQ$2+AQ6-AP6*BD6/1000))</f>
        <v>33.201733749035526</v>
      </c>
      <c r="AS6" s="195">
        <f ca="1">($AQ$2-AP6*IF(ISBLANK(Design!$B$43),Constants!$C$6,Design!$B$43)/1000*(1+Constants!$C$36/100*(BC6-25))-Design!$C$29) / (IF(ISBLANK(Design!$B$42),Design!$B$40,Design!$B$42)/1000000) * AR6/100/(IF(ISBLANK(Design!$B$33),Design!$B$32,Design!$B$33)*1000000)</f>
        <v>0.85663986066532372</v>
      </c>
      <c r="AT6" s="195">
        <f>$AQ$2*Constants!$C$21/1000+IF(ISBLANK(Design!$B$33),Design!$B$32,Design!$B$33)*1000000*Constants!$D$25/1000000000*($AQ$2-Constants!$C$24)</f>
        <v>6.3375000000000001E-2</v>
      </c>
      <c r="AU6" s="195">
        <f>$AQ$2*AP6*($AQ$2/(Constants!$C$26*1000000000)*IF(ISBLANK(Design!$B$33),Design!$B$32,Design!$B$33)*1000000/2+$AQ$2/(Constants!$C$27*1000000000)*IF(ISBLANK(Design!$B$33),Design!$B$32,Design!$B$33)*1000000/2)</f>
        <v>0.12995555555555555</v>
      </c>
      <c r="AV6" s="195">
        <f t="shared" ca="1" si="11"/>
        <v>3.4960692034689496E-2</v>
      </c>
      <c r="AW6" s="195">
        <f>Constants!$D$25/1000000000*Constants!$C$24*IF(ISBLANK(Design!$B$33),Design!$B$32,Design!$B$33)*1000000</f>
        <v>1.0624999999999999E-2</v>
      </c>
      <c r="AX6" s="195">
        <f t="shared" ca="1" si="12"/>
        <v>0.23891624759024505</v>
      </c>
      <c r="AY6" s="195">
        <f t="shared" ca="1" si="13"/>
        <v>0.20655451040797465</v>
      </c>
      <c r="AZ6" s="195">
        <f ca="1">AP6^2*IF(ISBLANK(Design!$B$43),Constants!$C$6,Design!$B$43)/1000*(1+(BC6-25)*(Constants!$C$36/100))</f>
        <v>3.0528439290664997E-2</v>
      </c>
      <c r="BA6" s="195">
        <f>0.5*Snubber!$B$16/1000000000000*$AQ$2^2*Design!$B$33*1000000</f>
        <v>1.7951999999999999E-2</v>
      </c>
      <c r="BB6" s="196">
        <f ca="1">$A6+AY6*Design!$B$19</f>
        <v>36.773607093254554</v>
      </c>
      <c r="BC6" s="196">
        <f ca="1">AX6*Design!$C$12+$A6</f>
        <v>33.123152418068329</v>
      </c>
      <c r="BD6" s="196">
        <f ca="1">Constants!$D$22+Constants!$D$22*Constants!$C$23/100*(BC6-25)</f>
        <v>131.49852193445466</v>
      </c>
      <c r="BE6" s="195">
        <f ca="1">(1-Constants!$C$20/1000000000*Design!$B$33*1000000) * ($AQ$2+AQ6-AP6*BD6/1000) - (AQ6+AP6*Design!$B$43/1000)</f>
        <v>15.196560004617295</v>
      </c>
      <c r="BF6" s="195">
        <f ca="1">IF(BE6&gt;Design!$C$29,Design!$C$29,BE6)</f>
        <v>4.9990521327014221</v>
      </c>
      <c r="BG6" s="195">
        <f t="shared" ca="1" si="14"/>
        <v>0.4939511972888847</v>
      </c>
      <c r="BH6" s="195">
        <f t="shared" ca="1" si="15"/>
        <v>4.2991848341232224</v>
      </c>
      <c r="BI6" s="365">
        <f t="shared" ca="1" si="16"/>
        <v>89.694613421114155</v>
      </c>
    </row>
    <row r="7" spans="1:61" s="120" customFormat="1" ht="12.75" x14ac:dyDescent="0.2">
      <c r="A7" s="112">
        <v>25</v>
      </c>
      <c r="B7" s="347">
        <f t="shared" si="18"/>
        <v>1.1649999999999998</v>
      </c>
      <c r="C7" s="348">
        <f ca="1">FORECAST(B7, OFFSET(Design!$C$15:$C$17,MATCH(B7,Design!$B$15:$B$17,1)-1,0,2), OFFSET(Design!$B$15:$B$17,MATCH(B7,Design!$B$15:$B$17,1)-1,0,2))+(N7-25)*Design!$B$18/1000</f>
        <v>0.38632855278556372</v>
      </c>
      <c r="D7" s="166">
        <f ca="1">IF(100*(Design!$C$29+C7+B7*IF(ISBLANK(Design!$B$43),Constants!$C$6,Design!$B$43)/1000*(1+Constants!$C$36/100*(O7-25)))/($C$2+C7-B7*P7/1000)&gt;Design!$C$36,Design!$C$36,100*(Design!$C$29+C7+B7*IF(ISBLANK(Design!$B$43),Constants!$C$6,Design!$B$43)/1000*(1+Constants!$C$36/100*(O7-25)))/($C$2+C7-B7*P7/1000))</f>
        <v>65.982098006738894</v>
      </c>
      <c r="E7" s="165">
        <f ca="1">IF(($C$2-B7*IF(ISBLANK(Design!$B$43),Constants!$C$6,Design!$B$43)/1000*(1+Constants!$C$36/100*(O7-25))-Design!$C$29) / (IF(ISBLANK(Design!$B$42),Design!$B$40,Design!$B$42)/1000000) * D7/100/(IF(ISBLANK(Design!$B$33),Design!$B$32,Design!$B$33)*1000000)&lt;0,0,($C$2-B7*IF(ISBLANK(Design!$B$43),Constants!$C$6,Design!$B$43)/1000*(1+Constants!$C$36/100*(O7-25))-Design!$C$29) / (IF(ISBLANK(Design!$B$42),Design!$B$40,Design!$B$42)/1000000) * D7/100/(IF(ISBLANK(Design!$B$33),Design!$B$32,Design!$B$33)*1000000))</f>
        <v>0.45847572298479206</v>
      </c>
      <c r="F7" s="165">
        <f>$C$2*Constants!$C$21/1000+IF(ISBLANK(Design!$B$33),Design!$B$32,Design!$B$33)*1000000*Constants!$D$25/1000000000*($C$2-Constants!$C$24)</f>
        <v>2.6375000000000003E-2</v>
      </c>
      <c r="G7" s="165">
        <f>$C$2*B7*($C$2/(Constants!$C$26*1000000000)*IF(ISBLANK(Design!$B$33),Design!$B$32,Design!$B$33)*1000000/2+$C$2/(Constants!$C$27*1000000000)*IF(ISBLANK(Design!$B$33),Design!$B$32,Design!$B$33)*1000000/2)</f>
        <v>4.4011111111111105E-2</v>
      </c>
      <c r="H7" s="165">
        <f t="shared" ca="1" si="17"/>
        <v>0.1183030359893264</v>
      </c>
      <c r="I7" s="165">
        <f>Constants!$D$25/1000000000*Constants!$C$24*IF(ISBLANK(Design!$B$33),Design!$B$32,Design!$B$33)*1000000</f>
        <v>1.0624999999999999E-2</v>
      </c>
      <c r="J7" s="165">
        <f t="shared" ca="1" si="0"/>
        <v>0.19931414710043749</v>
      </c>
      <c r="K7" s="165">
        <f t="shared" ca="1" si="1"/>
        <v>0.15310531175424222</v>
      </c>
      <c r="L7" s="165">
        <f ca="1">B7^2*IF(ISBLANK(Design!$B$43),Constants!$C$6,Design!$B$43)/1000*(1+(O7-25)*(Constants!$C$36/100))</f>
        <v>5.5734843993101219E-2</v>
      </c>
      <c r="M7" s="165">
        <f>0.5*Snubber!$B$16/1000000000000*$C$2^2*Design!$B$33*1000000</f>
        <v>4.4879999999999998E-3</v>
      </c>
      <c r="N7" s="166">
        <f ca="1">$A7+K7*Design!$B$19</f>
        <v>33.727002769991806</v>
      </c>
      <c r="O7" s="166">
        <f ca="1">J7*Design!$C$12+A7</f>
        <v>31.776681001414875</v>
      </c>
      <c r="P7" s="166">
        <f ca="1">Constants!$D$22+Constants!$D$22*Constants!$C$23/100*(O7-25)</f>
        <v>130.42134480113191</v>
      </c>
      <c r="Q7" s="165">
        <f ca="1">(1-Constants!$C$20/1000000000*Design!$B$33*1000000) * ($C$2+C7-B7*P7/1000) - (C7+B7*Design!$B$43/1000)</f>
        <v>7.4689957304807058</v>
      </c>
      <c r="R7" s="165">
        <f ca="1">IF(Q7&gt;Design!$C$29,Design!$C$29,Q7)</f>
        <v>4.9990521327014221</v>
      </c>
      <c r="S7" s="165">
        <f t="shared" ca="1" si="2"/>
        <v>0.41264230284778097</v>
      </c>
      <c r="T7" s="165">
        <f t="shared" ca="1" si="3"/>
        <v>5.8238957345971558</v>
      </c>
      <c r="U7" s="349">
        <f t="shared" ca="1" si="4"/>
        <v>93.383471721486742</v>
      </c>
      <c r="V7" s="355">
        <f t="shared" si="19"/>
        <v>1.1649999999999998</v>
      </c>
      <c r="W7" s="356">
        <f ca="1">FORECAST(V7, OFFSET(Design!$C$15:$C$17,MATCH(V7,Design!$B$15:$B$17,1)-1,0,2), OFFSET(Design!$B$15:$B$17,MATCH(V7,Design!$B$15:$B$17,1)-1,0,2))+(AH7-25)*Design!$B$18/1000</f>
        <v>0.38098686487506767</v>
      </c>
      <c r="X7" s="184">
        <f ca="1">IF(100*(Design!$C$29+W7+V7*IF(ISBLANK(Design!$B$43),Constants!$C$6,Design!$B$43)/1000*(1+Constants!$C$36/100*(AI7-25)))/($W$2+W7-V7*AJ7/1000)&gt;Design!$C$36,Design!$C$36,100*(Design!$C$29+W7+V7*IF(ISBLANK(Design!$B$43),Constants!$C$6,Design!$B$43)/1000*(1+Constants!$C$36/100*(AI7-25)))/($W$2+W7-V7*AJ7/1000))</f>
        <v>44.391280180782843</v>
      </c>
      <c r="Y7" s="183">
        <f ca="1">($W$2-V7*IF(ISBLANK(Design!$B$43),Constants!$C$6,Design!$B$43)/1000*(1+Constants!$C$36/100*(AI7-25))-Design!$C$29) / (IF(ISBLANK(Design!$B$42),Design!$B$40,Design!$B$42)/1000000) * X7/100/(IF(ISBLANK(Design!$B$33),Design!$B$32,Design!$B$33)*1000000)</f>
        <v>0.72622846217122816</v>
      </c>
      <c r="Z7" s="183">
        <f>$W$2*Constants!$C$21/1000+IF(ISBLANK(Design!$B$33),Design!$B$32,Design!$B$33)*1000000*Constants!$D$25/1000000000*($W$2-Constants!$C$24)</f>
        <v>4.4874999999999998E-2</v>
      </c>
      <c r="AA7" s="183">
        <f>$W$2*V7*($W$2/(Constants!$C$26*1000000000)*IF(ISBLANK(Design!$B$33),Design!$B$32,Design!$B$33)*1000000/2+$W$2/(Constants!$C$27*1000000000)*IF(ISBLANK(Design!$B$33),Design!$B$32,Design!$B$33)*1000000/2)</f>
        <v>9.9024999999999974E-2</v>
      </c>
      <c r="AB7" s="183">
        <f t="shared" ca="1" si="5"/>
        <v>8.1747324440113581E-2</v>
      </c>
      <c r="AC7" s="183">
        <f>Constants!$D$25/1000000000*Constants!$C$24*IF(ISBLANK(Design!$B$33),Design!$B$32,Design!$B$33)*1000000</f>
        <v>1.0624999999999999E-2</v>
      </c>
      <c r="AD7" s="183">
        <f t="shared" ca="1" si="6"/>
        <v>0.23627232444011353</v>
      </c>
      <c r="AE7" s="183">
        <f t="shared" ca="1" si="7"/>
        <v>0.2468191347454011</v>
      </c>
      <c r="AF7" s="183">
        <f ca="1">V7^2*IF(ISBLANK(Design!$B$43),Constants!$C$6,Design!$B$43)/1000*(1+(AI7-25)*(Constants!$C$36/100))</f>
        <v>5.6002942166160738E-2</v>
      </c>
      <c r="AG7" s="183">
        <f>0.5*Snubber!$B$16/1000000000000*$W$2^2*Design!$B$33*1000000</f>
        <v>1.0097999999999999E-2</v>
      </c>
      <c r="AH7" s="184">
        <f ca="1">$A7+AE7*Design!$B$19</f>
        <v>39.068690680487862</v>
      </c>
      <c r="AI7" s="184">
        <f ca="1">AD7*Design!$C$12+$A7</f>
        <v>33.033259030963862</v>
      </c>
      <c r="AJ7" s="184">
        <f ca="1">Constants!$D$22+Constants!$D$22*Constants!$C$23/100*(AI7-25)</f>
        <v>131.42660722477109</v>
      </c>
      <c r="AK7" s="183">
        <f ca="1">(1-Constants!$C$20/1000000000*Design!$B$33*1000000) * ($W$2+W7-V7*AJ7/1000) - (W7+V7*Design!$B$43/1000)</f>
        <v>11.306587554809516</v>
      </c>
      <c r="AL7" s="183">
        <f ca="1">IF(AK7&gt;Design!$C$29,Design!$C$29,AK7)</f>
        <v>4.9990521327014221</v>
      </c>
      <c r="AM7" s="183">
        <f t="shared" ca="1" si="8"/>
        <v>0.54919240135167546</v>
      </c>
      <c r="AN7" s="183">
        <f t="shared" ca="1" si="9"/>
        <v>5.8238957345971558</v>
      </c>
      <c r="AO7" s="357">
        <f t="shared" ca="1" si="10"/>
        <v>91.38263288320411</v>
      </c>
      <c r="AP7" s="363">
        <f t="shared" si="20"/>
        <v>1.1649999999999998</v>
      </c>
      <c r="AQ7" s="364">
        <f ca="1">FORECAST(AP7, OFFSET(Design!$C$15:$C$17,MATCH(AP7,Design!$B$15:$B$17,1)-1,0,2), OFFSET(Design!$B$15:$B$17,MATCH(AP7,Design!$B$15:$B$17,1)-1,0,2))+(BB7-25)*Design!$B$18/1000</f>
        <v>0.37833507332512961</v>
      </c>
      <c r="AR7" s="196">
        <f ca="1">IF(100*(Design!$C$29+AQ7+AP7*IF(ISBLANK(Design!$B$43),Constants!$C$6,Design!$B$43)/1000*(1+Constants!$C$36/100*(BC7-25)))/($AQ$2+AQ7-AP7*BD7/1000)&gt;Design!$C$36,Design!$C$36,100*(Design!$C$29+AQ7+AP7*IF(ISBLANK(Design!$B$43),Constants!$C$6,Design!$B$43)/1000*(1+Constants!$C$36/100*(BC7-25)))/($AQ$2+AQ7-AP7*BD7/1000))</f>
        <v>33.44642126297245</v>
      </c>
      <c r="AS7" s="195">
        <f ca="1">($AQ$2-AP7*IF(ISBLANK(Design!$B$43),Constants!$C$6,Design!$B$43)/1000*(1+Constants!$C$36/100*(BC7-25))-Design!$C$29) / (IF(ISBLANK(Design!$B$42),Design!$B$40,Design!$B$42)/1000000) * AR7/100/(IF(ISBLANK(Design!$B$33),Design!$B$32,Design!$B$33)*1000000)</f>
        <v>0.86192578816288024</v>
      </c>
      <c r="AT7" s="195">
        <f>$AQ$2*Constants!$C$21/1000+IF(ISBLANK(Design!$B$33),Design!$B$32,Design!$B$33)*1000000*Constants!$D$25/1000000000*($AQ$2-Constants!$C$24)</f>
        <v>6.3375000000000001E-2</v>
      </c>
      <c r="AU7" s="195">
        <f>$AQ$2*AP7*($AQ$2/(Constants!$C$26*1000000000)*IF(ISBLANK(Design!$B$33),Design!$B$32,Design!$B$33)*1000000/2+$AQ$2/(Constants!$C$27*1000000000)*IF(ISBLANK(Design!$B$33),Design!$B$32,Design!$B$33)*1000000/2)</f>
        <v>0.17604444444444442</v>
      </c>
      <c r="AV7" s="195">
        <f t="shared" ca="1" si="11"/>
        <v>6.3377647698873454E-2</v>
      </c>
      <c r="AW7" s="195">
        <f>Constants!$D$25/1000000000*Constants!$C$24*IF(ISBLANK(Design!$B$33),Design!$B$32,Design!$B$33)*1000000</f>
        <v>1.0624999999999999E-2</v>
      </c>
      <c r="AX7" s="195">
        <f t="shared" ca="1" si="12"/>
        <v>0.31342209214331784</v>
      </c>
      <c r="AY7" s="195">
        <f t="shared" ca="1" si="13"/>
        <v>0.29334179351624412</v>
      </c>
      <c r="AZ7" s="195">
        <f ca="1">AP7^2*IF(ISBLANK(Design!$B$43),Constants!$C$6,Design!$B$43)/1000*(1+(BC7-25)*(Constants!$C$36/100))</f>
        <v>5.6562594001344432E-2</v>
      </c>
      <c r="BA7" s="195">
        <f>0.5*Snubber!$B$16/1000000000000*$AQ$2^2*Design!$B$33*1000000</f>
        <v>1.7951999999999999E-2</v>
      </c>
      <c r="BB7" s="196">
        <f ca="1">$A7+AY7*Design!$B$19</f>
        <v>41.720482230425915</v>
      </c>
      <c r="BC7" s="196">
        <f ca="1">AX7*Design!$C$12+$A7</f>
        <v>35.656351132872807</v>
      </c>
      <c r="BD7" s="196">
        <f ca="1">Constants!$D$22+Constants!$D$22*Constants!$C$23/100*(BC7-25)</f>
        <v>133.52508090629826</v>
      </c>
      <c r="BE7" s="195">
        <f ca="1">(1-Constants!$C$20/1000000000*Design!$B$33*1000000) * ($AQ$2+AQ7-AP7*BD7/1000) - (AQ7+AP7*Design!$B$43/1000)</f>
        <v>15.142848604698614</v>
      </c>
      <c r="BF7" s="195">
        <f ca="1">IF(BE7&gt;Design!$C$29,Design!$C$29,BE7)</f>
        <v>4.9990521327014221</v>
      </c>
      <c r="BG7" s="195">
        <f t="shared" ca="1" si="14"/>
        <v>0.68127847966090638</v>
      </c>
      <c r="BH7" s="195">
        <f t="shared" ca="1" si="15"/>
        <v>5.8238957345971558</v>
      </c>
      <c r="BI7" s="365">
        <f t="shared" ca="1" si="16"/>
        <v>89.527129370837173</v>
      </c>
    </row>
    <row r="8" spans="1:61" s="120" customFormat="1" ht="12.75" x14ac:dyDescent="0.2">
      <c r="A8" s="112">
        <v>25</v>
      </c>
      <c r="B8" s="347">
        <f t="shared" si="18"/>
        <v>1.4699999999999998</v>
      </c>
      <c r="C8" s="348">
        <f ca="1">FORECAST(B8, OFFSET(Design!$C$15:$C$17,MATCH(B8,Design!$B$15:$B$17,1)-1,0,2), OFFSET(Design!$B$15:$B$17,MATCH(B8,Design!$B$15:$B$17,1)-1,0,2))+(N8-25)*Design!$B$18/1000</f>
        <v>0.40736939130085492</v>
      </c>
      <c r="D8" s="166">
        <f ca="1">IF(100*(Design!$C$29+C8+B8*IF(ISBLANK(Design!$B$43),Constants!$C$6,Design!$B$43)/1000*(1+Constants!$C$36/100*(O8-25)))/($C$2+C8-B8*P8/1000)&gt;Design!$C$36,Design!$C$36,100*(Design!$C$29+C8+B8*IF(ISBLANK(Design!$B$43),Constants!$C$6,Design!$B$43)/1000*(1+Constants!$C$36/100*(O8-25)))/($C$2+C8-B8*P8/1000))</f>
        <v>66.57713762735176</v>
      </c>
      <c r="E8" s="165">
        <f ca="1">IF(($C$2-B8*IF(ISBLANK(Design!$B$43),Constants!$C$6,Design!$B$43)/1000*(1+Constants!$C$36/100*(O8-25))-Design!$C$29) / (IF(ISBLANK(Design!$B$42),Design!$B$40,Design!$B$42)/1000000) * D8/100/(IF(ISBLANK(Design!$B$33),Design!$B$32,Design!$B$33)*1000000)&lt;0,0,($C$2-B8*IF(ISBLANK(Design!$B$43),Constants!$C$6,Design!$B$43)/1000*(1+Constants!$C$36/100*(O8-25))-Design!$C$29) / (IF(ISBLANK(Design!$B$42),Design!$B$40,Design!$B$42)/1000000) * D8/100/(IF(ISBLANK(Design!$B$33),Design!$B$32,Design!$B$33)*1000000))</f>
        <v>0.46054272817447728</v>
      </c>
      <c r="F8" s="165">
        <f>$C$2*Constants!$C$21/1000+IF(ISBLANK(Design!$B$33),Design!$B$32,Design!$B$33)*1000000*Constants!$D$25/1000000000*($C$2-Constants!$C$24)</f>
        <v>2.6375000000000003E-2</v>
      </c>
      <c r="G8" s="165">
        <f>$C$2*B8*($C$2/(Constants!$C$26*1000000000)*IF(ISBLANK(Design!$B$33),Design!$B$32,Design!$B$33)*1000000/2+$C$2/(Constants!$C$27*1000000000)*IF(ISBLANK(Design!$B$33),Design!$B$32,Design!$B$33)*1000000/2)</f>
        <v>5.5533333333333323E-2</v>
      </c>
      <c r="H8" s="165">
        <f t="shared" ca="1" si="17"/>
        <v>0.19255119712684324</v>
      </c>
      <c r="I8" s="165">
        <f>Constants!$D$25/1000000000*Constants!$C$24*IF(ISBLANK(Design!$B$33),Design!$B$32,Design!$B$33)*1000000</f>
        <v>1.0624999999999999E-2</v>
      </c>
      <c r="J8" s="165">
        <f t="shared" ca="1" si="0"/>
        <v>0.28508453046017657</v>
      </c>
      <c r="K8" s="165">
        <f t="shared" ca="1" si="1"/>
        <v>0.20014713117408603</v>
      </c>
      <c r="L8" s="165">
        <f ca="1">B8^2*IF(ISBLANK(Design!$B$43),Constants!$C$6,Design!$B$43)/1000*(1+(O8-25)*(Constants!$C$36/100))</f>
        <v>8.9728606112370213E-2</v>
      </c>
      <c r="M8" s="165">
        <f>0.5*Snubber!$B$16/1000000000000*$C$2^2*Design!$B$33*1000000</f>
        <v>4.4879999999999998E-3</v>
      </c>
      <c r="N8" s="166">
        <f ca="1">$A8+K8*Design!$B$19</f>
        <v>36.4083864769229</v>
      </c>
      <c r="O8" s="166">
        <f ca="1">J8*Design!$C$12+A8</f>
        <v>34.692874035646</v>
      </c>
      <c r="P8" s="166">
        <f ca="1">Constants!$D$22+Constants!$D$22*Constants!$C$23/100*(O8-25)</f>
        <v>132.7542992285168</v>
      </c>
      <c r="Q8" s="165">
        <f ca="1">(1-Constants!$C$20/1000000000*Design!$B$33*1000000) * ($C$2+C8-B8*P8/1000) - (C8+B8*Design!$B$43/1000)</f>
        <v>7.4144827745623942</v>
      </c>
      <c r="R8" s="165">
        <f ca="1">IF(Q8&gt;Design!$C$29,Design!$C$29,Q8)</f>
        <v>4.9990521327014221</v>
      </c>
      <c r="S8" s="165">
        <f t="shared" ca="1" si="2"/>
        <v>0.57944826774663283</v>
      </c>
      <c r="T8" s="165">
        <f t="shared" ca="1" si="3"/>
        <v>7.3486066350710892</v>
      </c>
      <c r="U8" s="349">
        <f t="shared" ca="1" si="4"/>
        <v>92.691167318471898</v>
      </c>
      <c r="V8" s="355">
        <f t="shared" si="19"/>
        <v>1.4699999999999998</v>
      </c>
      <c r="W8" s="356">
        <f ca="1">FORECAST(V8, OFFSET(Design!$C$15:$C$17,MATCH(V8,Design!$B$15:$B$17,1)-1,0,2), OFFSET(Design!$B$15:$B$17,MATCH(V8,Design!$B$15:$B$17,1)-1,0,2))+(AH8-25)*Design!$B$18/1000</f>
        <v>0.4002467189092499</v>
      </c>
      <c r="X8" s="184">
        <f ca="1">IF(100*(Design!$C$29+W8+V8*IF(ISBLANK(Design!$B$43),Constants!$C$6,Design!$B$43)/1000*(1+Constants!$C$36/100*(AI8-25)))/($W$2+W8-V8*AJ8/1000)&gt;Design!$C$36,Design!$C$36,100*(Design!$C$29+W8+V8*IF(ISBLANK(Design!$B$43),Constants!$C$6,Design!$B$43)/1000*(1+Constants!$C$36/100*(AI8-25)))/($W$2+W8-V8*AJ8/1000))</f>
        <v>44.743895430423755</v>
      </c>
      <c r="Y8" s="183">
        <f ca="1">($W$2-V8*IF(ISBLANK(Design!$B$43),Constants!$C$6,Design!$B$43)/1000*(1+Constants!$C$36/100*(AI8-25))-Design!$C$29) / (IF(ISBLANK(Design!$B$42),Design!$B$40,Design!$B$42)/1000000) * X8/100/(IF(ISBLANK(Design!$B$33),Design!$B$32,Design!$B$33)*1000000)</f>
        <v>0.7306093977324104</v>
      </c>
      <c r="Z8" s="183">
        <f>$W$2*Constants!$C$21/1000+IF(ISBLANK(Design!$B$33),Design!$B$32,Design!$B$33)*1000000*Constants!$D$25/1000000000*($W$2-Constants!$C$24)</f>
        <v>4.4874999999999998E-2</v>
      </c>
      <c r="AA8" s="183">
        <f>$W$2*V8*($W$2/(Constants!$C$26*1000000000)*IF(ISBLANK(Design!$B$33),Design!$B$32,Design!$B$33)*1000000/2+$W$2/(Constants!$C$27*1000000000)*IF(ISBLANK(Design!$B$33),Design!$B$32,Design!$B$33)*1000000/2)</f>
        <v>0.12494999999999998</v>
      </c>
      <c r="AB8" s="183">
        <f t="shared" ca="1" si="5"/>
        <v>0.13172562853785755</v>
      </c>
      <c r="AC8" s="183">
        <f>Constants!$D$25/1000000000*Constants!$C$24*IF(ISBLANK(Design!$B$33),Design!$B$32,Design!$B$33)*1000000</f>
        <v>1.0624999999999999E-2</v>
      </c>
      <c r="AD8" s="183">
        <f t="shared" ca="1" si="6"/>
        <v>0.31217562853785752</v>
      </c>
      <c r="AE8" s="183">
        <f t="shared" ca="1" si="7"/>
        <v>0.32510629593908563</v>
      </c>
      <c r="AF8" s="183">
        <f ca="1">V8^2*IF(ISBLANK(Design!$B$43),Constants!$C$6,Design!$B$43)/1000*(1+(AI8-25)*(Constants!$C$36/100))</f>
        <v>9.0041496871393192E-2</v>
      </c>
      <c r="AG8" s="183">
        <f>0.5*Snubber!$B$16/1000000000000*$W$2^2*Design!$B$33*1000000</f>
        <v>1.0097999999999999E-2</v>
      </c>
      <c r="AH8" s="184">
        <f ca="1">$A8+AE8*Design!$B$19</f>
        <v>43.531058868527879</v>
      </c>
      <c r="AI8" s="184">
        <f ca="1">AD8*Design!$C$12+$A8</f>
        <v>35.613971370287153</v>
      </c>
      <c r="AJ8" s="184">
        <f ca="1">Constants!$D$22+Constants!$D$22*Constants!$C$23/100*(AI8-25)</f>
        <v>133.49117709622973</v>
      </c>
      <c r="AK8" s="183">
        <f ca="1">(1-Constants!$C$20/1000000000*Design!$B$33*1000000) * ($W$2+W8-V8*AJ8/1000) - (W8+V8*Design!$B$43/1000)</f>
        <v>11.252230876617213</v>
      </c>
      <c r="AL8" s="183">
        <f ca="1">IF(AK8&gt;Design!$C$29,Design!$C$29,AK8)</f>
        <v>4.9990521327014221</v>
      </c>
      <c r="AM8" s="183">
        <f t="shared" ca="1" si="8"/>
        <v>0.73742142134833644</v>
      </c>
      <c r="AN8" s="183">
        <f t="shared" ca="1" si="9"/>
        <v>7.3486066350710892</v>
      </c>
      <c r="AO8" s="357">
        <f t="shared" ca="1" si="10"/>
        <v>90.880300980864092</v>
      </c>
      <c r="AP8" s="363">
        <f t="shared" si="20"/>
        <v>1.4699999999999998</v>
      </c>
      <c r="AQ8" s="364">
        <f ca="1">FORECAST(AP8, OFFSET(Design!$C$15:$C$17,MATCH(AP8,Design!$B$15:$B$17,1)-1,0,2), OFFSET(Design!$B$15:$B$17,MATCH(AP8,Design!$B$15:$B$17,1)-1,0,2))+(BB8-25)*Design!$B$18/1000</f>
        <v>0.3967365279499806</v>
      </c>
      <c r="AR8" s="196">
        <f ca="1">IF(100*(Design!$C$29+AQ8+AP8*IF(ISBLANK(Design!$B$43),Constants!$C$6,Design!$B$43)/1000*(1+Constants!$C$36/100*(BC8-25)))/($AQ$2+AQ8-AP8*BD8/1000)&gt;Design!$C$36,Design!$C$36,100*(Design!$C$29+AQ8+AP8*IF(ISBLANK(Design!$B$43),Constants!$C$6,Design!$B$43)/1000*(1+Constants!$C$36/100*(BC8-25)))/($AQ$2+AQ8-AP8*BD8/1000))</f>
        <v>33.69567800955565</v>
      </c>
      <c r="AS8" s="195">
        <f ca="1">($AQ$2-AP8*IF(ISBLANK(Design!$B$43),Constants!$C$6,Design!$B$43)/1000*(1+Constants!$C$36/100*(BC8-25))-Design!$C$29) / (IF(ISBLANK(Design!$B$42),Design!$B$40,Design!$B$42)/1000000) * AR8/100/(IF(ISBLANK(Design!$B$33),Design!$B$32,Design!$B$33)*1000000)</f>
        <v>0.86728882522163542</v>
      </c>
      <c r="AT8" s="195">
        <f>$AQ$2*Constants!$C$21/1000+IF(ISBLANK(Design!$B$33),Design!$B$32,Design!$B$33)*1000000*Constants!$D$25/1000000000*($AQ$2-Constants!$C$24)</f>
        <v>6.3375000000000001E-2</v>
      </c>
      <c r="AU8" s="195">
        <f>$AQ$2*AP8*($AQ$2/(Constants!$C$26*1000000000)*IF(ISBLANK(Design!$B$33),Design!$B$32,Design!$B$33)*1000000/2+$AQ$2/(Constants!$C$27*1000000000)*IF(ISBLANK(Design!$B$33),Design!$B$32,Design!$B$33)*1000000/2)</f>
        <v>0.22213333333333329</v>
      </c>
      <c r="AV8" s="195">
        <f t="shared" ca="1" si="11"/>
        <v>0.10176543020051904</v>
      </c>
      <c r="AW8" s="195">
        <f>Constants!$D$25/1000000000*Constants!$C$24*IF(ISBLANK(Design!$B$33),Design!$B$32,Design!$B$33)*1000000</f>
        <v>1.0624999999999999E-2</v>
      </c>
      <c r="AX8" s="195">
        <f t="shared" ca="1" si="12"/>
        <v>0.39789876353385234</v>
      </c>
      <c r="AY8" s="195">
        <f t="shared" ca="1" si="13"/>
        <v>0.38668859347012652</v>
      </c>
      <c r="AZ8" s="195">
        <f ca="1">AP8^2*IF(ISBLANK(Design!$B$43),Constants!$C$6,Design!$B$43)/1000*(1+(BC8-25)*(Constants!$C$36/100))</f>
        <v>9.1031562932865379E-2</v>
      </c>
      <c r="BA8" s="195">
        <f>0.5*Snubber!$B$16/1000000000000*$AQ$2^2*Design!$B$33*1000000</f>
        <v>1.7951999999999999E-2</v>
      </c>
      <c r="BB8" s="196">
        <f ca="1">$A8+AY8*Design!$B$19</f>
        <v>47.041249827797216</v>
      </c>
      <c r="BC8" s="196">
        <f ca="1">AX8*Design!$C$12+$A8</f>
        <v>38.528557960150977</v>
      </c>
      <c r="BD8" s="196">
        <f ca="1">Constants!$D$22+Constants!$D$22*Constants!$C$23/100*(BC8-25)</f>
        <v>135.82284636812079</v>
      </c>
      <c r="BE8" s="195">
        <f ca="1">(1-Constants!$C$20/1000000000*Design!$B$33*1000000) * ($AQ$2+AQ8-AP8*BD8/1000) - (AQ8+AP8*Design!$B$43/1000)</f>
        <v>15.087583434233387</v>
      </c>
      <c r="BF8" s="195">
        <f ca="1">IF(BE8&gt;Design!$C$29,Design!$C$29,BE8)</f>
        <v>4.9990521327014221</v>
      </c>
      <c r="BG8" s="195">
        <f t="shared" ca="1" si="14"/>
        <v>0.89357091993684423</v>
      </c>
      <c r="BH8" s="195">
        <f t="shared" ca="1" si="15"/>
        <v>7.3486066350710892</v>
      </c>
      <c r="BI8" s="365">
        <f t="shared" ca="1" si="16"/>
        <v>89.158557747959321</v>
      </c>
    </row>
    <row r="9" spans="1:61" s="120" customFormat="1" ht="12.75" x14ac:dyDescent="0.2">
      <c r="A9" s="112">
        <v>25</v>
      </c>
      <c r="B9" s="347">
        <f t="shared" si="18"/>
        <v>1.7749999999999997</v>
      </c>
      <c r="C9" s="348">
        <f ca="1">FORECAST(B9, OFFSET(Design!$C$15:$C$17,MATCH(B9,Design!$B$15:$B$17,1)-1,0,2), OFFSET(Design!$B$15:$B$17,MATCH(B9,Design!$B$15:$B$17,1)-1,0,2))+(N9-25)*Design!$B$18/1000</f>
        <v>0.42828767500077147</v>
      </c>
      <c r="D9" s="166">
        <f ca="1">IF(100*(Design!$C$29+C9+B9*IF(ISBLANK(Design!$B$43),Constants!$C$6,Design!$B$43)/1000*(1+Constants!$C$36/100*(O9-25)))/($C$2+C9-B9*P9/1000)&gt;Design!$C$36,Design!$C$36,100*(Design!$C$29+C9+B9*IF(ISBLANK(Design!$B$43),Constants!$C$6,Design!$B$43)/1000*(1+Constants!$C$36/100*(O9-25)))/($C$2+C9-B9*P9/1000))</f>
        <v>67.201321911449099</v>
      </c>
      <c r="E9" s="165">
        <f ca="1">IF(($C$2-B9*IF(ISBLANK(Design!$B$43),Constants!$C$6,Design!$B$43)/1000*(1+Constants!$C$36/100*(O9-25))-Design!$C$29) / (IF(ISBLANK(Design!$B$42),Design!$B$40,Design!$B$42)/1000000) * D9/100/(IF(ISBLANK(Design!$B$33),Design!$B$32,Design!$B$33)*1000000)&lt;0,0,($C$2-B9*IF(ISBLANK(Design!$B$43),Constants!$C$6,Design!$B$43)/1000*(1+Constants!$C$36/100*(O9-25))-Design!$C$29) / (IF(ISBLANK(Design!$B$42),Design!$B$40,Design!$B$42)/1000000) * D9/100/(IF(ISBLANK(Design!$B$33),Design!$B$32,Design!$B$33)*1000000))</f>
        <v>0.46269608218147346</v>
      </c>
      <c r="F9" s="165">
        <f>$C$2*Constants!$C$21/1000+IF(ISBLANK(Design!$B$33),Design!$B$32,Design!$B$33)*1000000*Constants!$D$25/1000000000*($C$2-Constants!$C$24)</f>
        <v>2.6375000000000003E-2</v>
      </c>
      <c r="G9" s="165">
        <f>$C$2*B9*($C$2/(Constants!$C$26*1000000000)*IF(ISBLANK(Design!$B$33),Design!$B$32,Design!$B$33)*1000000/2+$C$2/(Constants!$C$27*1000000000)*IF(ISBLANK(Design!$B$33),Design!$B$32,Design!$B$33)*1000000/2)</f>
        <v>6.7055555555555549E-2</v>
      </c>
      <c r="H9" s="165">
        <f t="shared" ca="1" si="17"/>
        <v>0.28891551288306977</v>
      </c>
      <c r="I9" s="165">
        <f>Constants!$D$25/1000000000*Constants!$C$24*IF(ISBLANK(Design!$B$33),Design!$B$32,Design!$B$33)*1000000</f>
        <v>1.0624999999999999E-2</v>
      </c>
      <c r="J9" s="165">
        <f t="shared" ca="1" si="0"/>
        <v>0.39297106843862528</v>
      </c>
      <c r="K9" s="165">
        <f t="shared" ca="1" si="1"/>
        <v>0.24933903507418476</v>
      </c>
      <c r="L9" s="165">
        <f ca="1">B9^2*IF(ISBLANK(Design!$B$43),Constants!$C$6,Design!$B$43)/1000*(1+(O9-25)*(Constants!$C$36/100))</f>
        <v>0.13264242078461497</v>
      </c>
      <c r="M9" s="165">
        <f>0.5*Snubber!$B$16/1000000000000*$C$2^2*Design!$B$33*1000000</f>
        <v>4.4879999999999998E-3</v>
      </c>
      <c r="N9" s="166">
        <f ca="1">$A9+K9*Design!$B$19</f>
        <v>39.212324999228528</v>
      </c>
      <c r="O9" s="166">
        <f ca="1">J9*Design!$C$12+A9</f>
        <v>38.361016326913258</v>
      </c>
      <c r="P9" s="166">
        <f ca="1">Constants!$D$22+Constants!$D$22*Constants!$C$23/100*(O9-25)</f>
        <v>135.6888130615306</v>
      </c>
      <c r="Q9" s="165">
        <f ca="1">(1-Constants!$C$20/1000000000*Design!$B$33*1000000) * ($C$2+C9-B9*P9/1000) - (C9+B9*Design!$B$43/1000)</f>
        <v>7.3575844655311879</v>
      </c>
      <c r="R9" s="165">
        <f ca="1">IF(Q9&gt;Design!$C$29,Design!$C$29,Q9)</f>
        <v>4.9990521327014221</v>
      </c>
      <c r="S9" s="165">
        <f t="shared" ca="1" si="2"/>
        <v>0.77944052429742505</v>
      </c>
      <c r="T9" s="165">
        <f t="shared" ca="1" si="3"/>
        <v>8.8733175355450236</v>
      </c>
      <c r="U9" s="349">
        <f t="shared" ca="1" si="4"/>
        <v>91.925203973151838</v>
      </c>
      <c r="V9" s="355">
        <f t="shared" si="19"/>
        <v>1.7749999999999997</v>
      </c>
      <c r="W9" s="356">
        <f ca="1">FORECAST(V9, OFFSET(Design!$C$15:$C$17,MATCH(V9,Design!$B$15:$B$17,1)-1,0,2), OFFSET(Design!$B$15:$B$17,MATCH(V9,Design!$B$15:$B$17,1)-1,0,2))+(AH9-25)*Design!$B$18/1000</f>
        <v>0.41921747878507898</v>
      </c>
      <c r="X9" s="184">
        <f ca="1">IF(100*(Design!$C$29+W9+V9*IF(ISBLANK(Design!$B$43),Constants!$C$6,Design!$B$43)/1000*(1+Constants!$C$36/100*(AI9-25)))/($W$2+W9-V9*AJ9/1000)&gt;Design!$C$36,Design!$C$36,100*(Design!$C$29+W9+V9*IF(ISBLANK(Design!$B$43),Constants!$C$6,Design!$B$43)/1000*(1+Constants!$C$36/100*(AI9-25)))/($W$2+W9-V9*AJ9/1000))</f>
        <v>45.106943609900384</v>
      </c>
      <c r="Y9" s="183">
        <f ca="1">($W$2-V9*IF(ISBLANK(Design!$B$43),Constants!$C$6,Design!$B$43)/1000*(1+Constants!$C$36/100*(AI9-25))-Design!$C$29) / (IF(ISBLANK(Design!$B$42),Design!$B$40,Design!$B$42)/1000000) * X9/100/(IF(ISBLANK(Design!$B$33),Design!$B$32,Design!$B$33)*1000000)</f>
        <v>0.73509787618442013</v>
      </c>
      <c r="Z9" s="183">
        <f>$W$2*Constants!$C$21/1000+IF(ISBLANK(Design!$B$33),Design!$B$32,Design!$B$33)*1000000*Constants!$D$25/1000000000*($W$2-Constants!$C$24)</f>
        <v>4.4874999999999998E-2</v>
      </c>
      <c r="AA9" s="183">
        <f>$W$2*V9*($W$2/(Constants!$C$26*1000000000)*IF(ISBLANK(Design!$B$33),Design!$B$32,Design!$B$33)*1000000/2+$W$2/(Constants!$C$27*1000000000)*IF(ISBLANK(Design!$B$33),Design!$B$32,Design!$B$33)*1000000/2)</f>
        <v>0.15087499999999998</v>
      </c>
      <c r="AB9" s="183">
        <f t="shared" ca="1" si="5"/>
        <v>0.19595739041623547</v>
      </c>
      <c r="AC9" s="183">
        <f>Constants!$D$25/1000000000*Constants!$C$24*IF(ISBLANK(Design!$B$33),Design!$B$32,Design!$B$33)*1000000</f>
        <v>1.0624999999999999E-2</v>
      </c>
      <c r="AD9" s="183">
        <f t="shared" ca="1" si="6"/>
        <v>0.40233239041623547</v>
      </c>
      <c r="AE9" s="183">
        <f t="shared" ca="1" si="7"/>
        <v>0.40846528447229891</v>
      </c>
      <c r="AF9" s="183">
        <f ca="1">V9^2*IF(ISBLANK(Design!$B$43),Constants!$C$6,Design!$B$43)/1000*(1+(AI9-25)*(Constants!$C$36/100))</f>
        <v>0.13280006039628472</v>
      </c>
      <c r="AG9" s="183">
        <f>0.5*Snubber!$B$16/1000000000000*$W$2^2*Design!$B$33*1000000</f>
        <v>1.0097999999999999E-2</v>
      </c>
      <c r="AH9" s="184">
        <f ca="1">$A9+AE9*Design!$B$19</f>
        <v>48.282521214921033</v>
      </c>
      <c r="AI9" s="184">
        <f ca="1">AD9*Design!$C$12+$A9</f>
        <v>38.67930127415201</v>
      </c>
      <c r="AJ9" s="184">
        <f ca="1">Constants!$D$22+Constants!$D$22*Constants!$C$23/100*(AI9-25)</f>
        <v>135.9434410193216</v>
      </c>
      <c r="AK9" s="183">
        <f ca="1">(1-Constants!$C$20/1000000000*Design!$B$33*1000000) * ($W$2+W9-V9*AJ9/1000) - (W9+V9*Design!$B$43/1000)</f>
        <v>11.196016958150057</v>
      </c>
      <c r="AL9" s="183">
        <f ca="1">IF(AK9&gt;Design!$C$29,Design!$C$29,AK9)</f>
        <v>4.9990521327014221</v>
      </c>
      <c r="AM9" s="183">
        <f t="shared" ca="1" si="8"/>
        <v>0.9536957352848191</v>
      </c>
      <c r="AN9" s="183">
        <f t="shared" ca="1" si="9"/>
        <v>8.8733175355450236</v>
      </c>
      <c r="AO9" s="357">
        <f t="shared" ca="1" si="10"/>
        <v>90.295161825864881</v>
      </c>
      <c r="AP9" s="363">
        <f t="shared" si="20"/>
        <v>1.7749999999999997</v>
      </c>
      <c r="AQ9" s="364">
        <f ca="1">FORECAST(AP9, OFFSET(Design!$C$15:$C$17,MATCH(AP9,Design!$B$15:$B$17,1)-1,0,2), OFFSET(Design!$B$15:$B$17,MATCH(AP9,Design!$B$15:$B$17,1)-1,0,2))+(BB9-25)*Design!$B$18/1000</f>
        <v>0.41478201810949356</v>
      </c>
      <c r="AR9" s="196">
        <f ca="1">IF(100*(Design!$C$29+AQ9+AP9*IF(ISBLANK(Design!$B$43),Constants!$C$6,Design!$B$43)/1000*(1+Constants!$C$36/100*(BC9-25)))/($AQ$2+AQ9-AP9*BD9/1000)&gt;Design!$C$36,Design!$C$36,100*(Design!$C$29+AQ9+AP9*IF(ISBLANK(Design!$B$43),Constants!$C$6,Design!$B$43)/1000*(1+Constants!$C$36/100*(BC9-25)))/($AQ$2+AQ9-AP9*BD9/1000))</f>
        <v>33.950661363829084</v>
      </c>
      <c r="AS9" s="195">
        <f ca="1">($AQ$2-AP9*IF(ISBLANK(Design!$B$43),Constants!$C$6,Design!$B$43)/1000*(1+Constants!$C$36/100*(BC9-25))-Design!$C$29) / (IF(ISBLANK(Design!$B$42),Design!$B$40,Design!$B$42)/1000000) * AR9/100/(IF(ISBLANK(Design!$B$33),Design!$B$32,Design!$B$33)*1000000)</f>
        <v>0.87275313683132427</v>
      </c>
      <c r="AT9" s="195">
        <f>$AQ$2*Constants!$C$21/1000+IF(ISBLANK(Design!$B$33),Design!$B$32,Design!$B$33)*1000000*Constants!$D$25/1000000000*($AQ$2-Constants!$C$24)</f>
        <v>6.3375000000000001E-2</v>
      </c>
      <c r="AU9" s="195">
        <f>$AQ$2*AP9*($AQ$2/(Constants!$C$26*1000000000)*IF(ISBLANK(Design!$B$33),Design!$B$32,Design!$B$33)*1000000/2+$AQ$2/(Constants!$C$27*1000000000)*IF(ISBLANK(Design!$B$33),Design!$B$32,Design!$B$33)*1000000/2)</f>
        <v>0.2682222222222222</v>
      </c>
      <c r="AV9" s="195">
        <f t="shared" ca="1" si="11"/>
        <v>0.15104151159641593</v>
      </c>
      <c r="AW9" s="195">
        <f>Constants!$D$25/1000000000*Constants!$C$24*IF(ISBLANK(Design!$B$33),Design!$B$32,Design!$B$33)*1000000</f>
        <v>1.0624999999999999E-2</v>
      </c>
      <c r="AX9" s="195">
        <f t="shared" ca="1" si="12"/>
        <v>0.49326373381863814</v>
      </c>
      <c r="AY9" s="195">
        <f t="shared" ca="1" si="13"/>
        <v>0.48628038404397256</v>
      </c>
      <c r="AZ9" s="195">
        <f ca="1">AP9^2*IF(ISBLANK(Design!$B$43),Constants!$C$6,Design!$B$43)/1000*(1+(BC9-25)*(Constants!$C$36/100))</f>
        <v>0.1343312951617214</v>
      </c>
      <c r="BA9" s="195">
        <f>0.5*Snubber!$B$16/1000000000000*$AQ$2^2*Design!$B$33*1000000</f>
        <v>1.7951999999999999E-2</v>
      </c>
      <c r="BB9" s="196">
        <f ca="1">$A9+AY9*Design!$B$19</f>
        <v>52.717981890506437</v>
      </c>
      <c r="BC9" s="196">
        <f ca="1">AX9*Design!$C$12+$A9</f>
        <v>41.770966949833692</v>
      </c>
      <c r="BD9" s="196">
        <f ca="1">Constants!$D$22+Constants!$D$22*Constants!$C$23/100*(BC9-25)</f>
        <v>138.41677355986695</v>
      </c>
      <c r="BE9" s="195">
        <f ca="1">(1-Constants!$C$20/1000000000*Design!$B$33*1000000) * ($AQ$2+AQ9-AP9*BD9/1000) - (AQ9+AP9*Design!$B$43/1000)</f>
        <v>15.030483127537718</v>
      </c>
      <c r="BF9" s="195">
        <f ca="1">IF(BE9&gt;Design!$C$29,Design!$C$29,BE9)</f>
        <v>4.9990521327014221</v>
      </c>
      <c r="BG9" s="195">
        <f t="shared" ca="1" si="14"/>
        <v>1.1318274130243322</v>
      </c>
      <c r="BH9" s="195">
        <f t="shared" ca="1" si="15"/>
        <v>8.8733175355450236</v>
      </c>
      <c r="BI9" s="365">
        <f t="shared" ca="1" si="16"/>
        <v>88.687546069123428</v>
      </c>
    </row>
    <row r="10" spans="1:61" s="120" customFormat="1" ht="12.75" x14ac:dyDescent="0.2">
      <c r="A10" s="112">
        <v>25</v>
      </c>
      <c r="B10" s="347">
        <f t="shared" si="18"/>
        <v>2.0799999999999996</v>
      </c>
      <c r="C10" s="348">
        <f ca="1">FORECAST(B10, OFFSET(Design!$C$15:$C$17,MATCH(B10,Design!$B$15:$B$17,1)-1,0,2), OFFSET(Design!$B$15:$B$17,MATCH(B10,Design!$B$15:$B$17,1)-1,0,2))+(N10-25)*Design!$B$18/1000</f>
        <v>0.4450352197760542</v>
      </c>
      <c r="D10" s="166">
        <f ca="1">IF(100*(Design!$C$29+C10+B10*IF(ISBLANK(Design!$B$43),Constants!$C$6,Design!$B$43)/1000*(1+Constants!$C$36/100*(O10-25)))/($C$2+C10-B10*P10/1000)&gt;Design!$C$36,Design!$C$36,100*(Design!$C$29+C10+B10*IF(ISBLANK(Design!$B$43),Constants!$C$6,Design!$B$43)/1000*(1+Constants!$C$36/100*(O10-25)))/($C$2+C10-B10*P10/1000))</f>
        <v>67.847432024929589</v>
      </c>
      <c r="E10" s="165">
        <f ca="1">IF(($C$2-B10*IF(ISBLANK(Design!$B$43),Constants!$C$6,Design!$B$43)/1000*(1+Constants!$C$36/100*(O10-25))-Design!$C$29) / (IF(ISBLANK(Design!$B$42),Design!$B$40,Design!$B$42)/1000000) * D10/100/(IF(ISBLANK(Design!$B$33),Design!$B$32,Design!$B$33)*1000000)&lt;0,0,($C$2-B10*IF(ISBLANK(Design!$B$43),Constants!$C$6,Design!$B$43)/1000*(1+Constants!$C$36/100*(O10-25))-Design!$C$29) / (IF(ISBLANK(Design!$B$42),Design!$B$40,Design!$B$42)/1000000) * D10/100/(IF(ISBLANK(Design!$B$33),Design!$B$32,Design!$B$33)*1000000))</f>
        <v>0.46485833554095107</v>
      </c>
      <c r="F10" s="165">
        <f>$C$2*Constants!$C$21/1000+IF(ISBLANK(Design!$B$33),Design!$B$32,Design!$B$33)*1000000*Constants!$D$25/1000000000*($C$2-Constants!$C$24)</f>
        <v>2.6375000000000003E-2</v>
      </c>
      <c r="G10" s="165">
        <f>$C$2*B10*($C$2/(Constants!$C$26*1000000000)*IF(ISBLANK(Design!$B$33),Design!$B$32,Design!$B$33)*1000000/2+$C$2/(Constants!$C$27*1000000000)*IF(ISBLANK(Design!$B$33),Design!$B$32,Design!$B$33)*1000000/2)</f>
        <v>7.857777777777776E-2</v>
      </c>
      <c r="H10" s="165">
        <f t="shared" ref="H10:H13" ca="1" si="21">IF($D$78,1,D10/100*(B10^2+E10^2/12)*P10/1000)</f>
        <v>0.41063462906427606</v>
      </c>
      <c r="I10" s="165">
        <f>Constants!$D$25/1000000000*Constants!$C$24*IF(ISBLANK(Design!$B$33),Design!$B$32,Design!$B$33)*1000000</f>
        <v>1.0624999999999999E-2</v>
      </c>
      <c r="J10" s="165">
        <f t="shared" ref="J10:J13" ca="1" si="22">SUM(F10:I10)</f>
        <v>0.52621240684205384</v>
      </c>
      <c r="K10" s="165">
        <f t="shared" ref="K10:K13" ca="1" si="23">B10*C10*(1-D10/100)</f>
        <v>0.29762772322711961</v>
      </c>
      <c r="L10" s="165">
        <f ca="1">B10^2*IF(ISBLANK(Design!$B$43),Constants!$C$6,Design!$B$43)/1000*(1+(O10-25)*(Constants!$C$36/100))</f>
        <v>0.18522400031188757</v>
      </c>
      <c r="M10" s="165">
        <f>0.5*Snubber!$B$16/1000000000000*$C$2^2*Design!$B$33*1000000</f>
        <v>4.4879999999999998E-3</v>
      </c>
      <c r="N10" s="166">
        <f ca="1">$A10+K10*Design!$B$19</f>
        <v>41.964780223945823</v>
      </c>
      <c r="O10" s="166">
        <f ca="1">J10*Design!$C$12+A10</f>
        <v>42.891221832629832</v>
      </c>
      <c r="P10" s="166">
        <f ca="1">Constants!$D$22+Constants!$D$22*Constants!$C$23/100*(O10-25)</f>
        <v>139.31297746610386</v>
      </c>
      <c r="Q10" s="165">
        <f ca="1">(1-Constants!$C$20/1000000000*Design!$B$33*1000000) * ($C$2+C10-B10*P10/1000) - (C10+B10*Design!$B$43/1000)</f>
        <v>7.2977602137196493</v>
      </c>
      <c r="R10" s="165">
        <f ca="1">IF(Q10&gt;Design!$C$29,Design!$C$29,Q10)</f>
        <v>4.9990521327014221</v>
      </c>
      <c r="S10" s="165">
        <f t="shared" ref="S10:S13" ca="1" si="24">SUM(J10:M10)</f>
        <v>1.0135521303810611</v>
      </c>
      <c r="T10" s="165">
        <f t="shared" ref="T10:T13" ca="1" si="25">R10*B10</f>
        <v>10.398028436018956</v>
      </c>
      <c r="U10" s="349">
        <f t="shared" ref="U10:U13" ca="1" si="26">100*T10/(T10+S10)</f>
        <v>91.118214304464189</v>
      </c>
      <c r="V10" s="355">
        <f t="shared" si="19"/>
        <v>2.0799999999999996</v>
      </c>
      <c r="W10" s="356">
        <f ca="1">FORECAST(V10, OFFSET(Design!$C$15:$C$17,MATCH(V10,Design!$B$15:$B$17,1)-1,0,2), OFFSET(Design!$B$15:$B$17,MATCH(V10,Design!$B$15:$B$17,1)-1,0,2))+(AH10-25)*Design!$B$18/1000</f>
        <v>0.43394283936274242</v>
      </c>
      <c r="X10" s="184">
        <f ca="1">IF(100*(Design!$C$29+W10+V10*IF(ISBLANK(Design!$B$43),Constants!$C$6,Design!$B$43)/1000*(1+Constants!$C$36/100*(AI10-25)))/($W$2+W10-V10*AJ10/1000)&gt;Design!$C$36,Design!$C$36,100*(Design!$C$29+W10+V10*IF(ISBLANK(Design!$B$43),Constants!$C$6,Design!$B$43)/1000*(1+Constants!$C$36/100*(AI10-25)))/($W$2+W10-V10*AJ10/1000))</f>
        <v>45.465290794649327</v>
      </c>
      <c r="Y10" s="183">
        <f ca="1">($W$2-V10*IF(ISBLANK(Design!$B$43),Constants!$C$6,Design!$B$43)/1000*(1+Constants!$C$36/100*(AI10-25))-Design!$C$29) / (IF(ISBLANK(Design!$B$42),Design!$B$40,Design!$B$42)/1000000) * X10/100/(IF(ISBLANK(Design!$B$33),Design!$B$32,Design!$B$33)*1000000)</f>
        <v>0.73943653702299095</v>
      </c>
      <c r="Z10" s="183">
        <f>$W$2*Constants!$C$21/1000+IF(ISBLANK(Design!$B$33),Design!$B$32,Design!$B$33)*1000000*Constants!$D$25/1000000000*($W$2-Constants!$C$24)</f>
        <v>4.4874999999999998E-2</v>
      </c>
      <c r="AA10" s="183">
        <f>$W$2*V10*($W$2/(Constants!$C$26*1000000000)*IF(ISBLANK(Design!$B$33),Design!$B$32,Design!$B$33)*1000000/2+$W$2/(Constants!$C$27*1000000000)*IF(ISBLANK(Design!$B$33),Design!$B$32,Design!$B$33)*1000000/2)</f>
        <v>0.17679999999999996</v>
      </c>
      <c r="AB10" s="183">
        <f t="shared" ref="AB10:AB13" ca="1" si="27">IF($D$78,1,X10/100*(V10^2+Y10^2/12)*AJ10/1000)</f>
        <v>0.27594458855583226</v>
      </c>
      <c r="AC10" s="183">
        <f>Constants!$D$25/1000000000*Constants!$C$24*IF(ISBLANK(Design!$B$33),Design!$B$32,Design!$B$33)*1000000</f>
        <v>1.0624999999999999E-2</v>
      </c>
      <c r="AD10" s="183">
        <f t="shared" ref="AD10:AD13" ca="1" si="28">SUM(Z10:AC10)</f>
        <v>0.50824458855583221</v>
      </c>
      <c r="AE10" s="183">
        <f t="shared" ref="AE10:AE13" ca="1" si="29">V10*W10*(1-X10/100)</f>
        <v>0.49223088837294016</v>
      </c>
      <c r="AF10" s="183">
        <f ca="1">V10^2*IF(ISBLANK(Design!$B$43),Constants!$C$6,Design!$B$43)/1000*(1+(AI10-25)*(Constants!$C$36/100))</f>
        <v>0.18480851710459728</v>
      </c>
      <c r="AG10" s="183">
        <f>0.5*Snubber!$B$16/1000000000000*$W$2^2*Design!$B$33*1000000</f>
        <v>1.0097999999999999E-2</v>
      </c>
      <c r="AH10" s="184">
        <f ca="1">$A10+AE10*Design!$B$19</f>
        <v>53.057160637257589</v>
      </c>
      <c r="AI10" s="184">
        <f ca="1">AD10*Design!$C$12+$A10</f>
        <v>42.280316010898296</v>
      </c>
      <c r="AJ10" s="184">
        <f ca="1">Constants!$D$22+Constants!$D$22*Constants!$C$23/100*(AI10-25)</f>
        <v>138.82425280871863</v>
      </c>
      <c r="AK10" s="183">
        <f ca="1">(1-Constants!$C$20/1000000000*Design!$B$33*1000000) * ($W$2+W10-V10*AJ10/1000) - (W10+V10*Design!$B$43/1000)</f>
        <v>11.137683572769472</v>
      </c>
      <c r="AL10" s="183">
        <f ca="1">IF(AK10&gt;Design!$C$29,Design!$C$29,AK10)</f>
        <v>4.9990521327014221</v>
      </c>
      <c r="AM10" s="183">
        <f t="shared" ref="AM10:AM13" ca="1" si="30">SUM(AD10:AG10)</f>
        <v>1.1953819940333694</v>
      </c>
      <c r="AN10" s="183">
        <f t="shared" ref="AN10:AN13" ca="1" si="31">AL10*V10</f>
        <v>10.398028436018956</v>
      </c>
      <c r="AO10" s="357">
        <f t="shared" ref="AO10:AO13" ca="1" si="32">100*AN10/(AN10+AM10)</f>
        <v>89.689125548986766</v>
      </c>
      <c r="AP10" s="363">
        <f t="shared" si="20"/>
        <v>2.0799999999999996</v>
      </c>
      <c r="AQ10" s="364">
        <f ca="1">FORECAST(AP10, OFFSET(Design!$C$15:$C$17,MATCH(AP10,Design!$B$15:$B$17,1)-1,0,2), OFFSET(Design!$B$15:$B$17,MATCH(AP10,Design!$B$15:$B$17,1)-1,0,2))+(BB10-25)*Design!$B$18/1000</f>
        <v>0.42856489919762003</v>
      </c>
      <c r="AR10" s="196">
        <f ca="1">IF(100*(Design!$C$29+AQ10+AP10*IF(ISBLANK(Design!$B$43),Constants!$C$6,Design!$B$43)/1000*(1+Constants!$C$36/100*(BC10-25)))/($AQ$2+AQ10-AP10*BD10/1000)&gt;Design!$C$36,Design!$C$36,100*(Design!$C$29+AQ10+AP10*IF(ISBLANK(Design!$B$43),Constants!$C$6,Design!$B$43)/1000*(1+Constants!$C$36/100*(BC10-25)))/($AQ$2+AQ10-AP10*BD10/1000))</f>
        <v>34.196673581472325</v>
      </c>
      <c r="AS10" s="195">
        <f ca="1">($AQ$2-AP10*IF(ISBLANK(Design!$B$43),Constants!$C$6,Design!$B$43)/1000*(1+Constants!$C$36/100*(BC10-25))-Design!$C$29) / (IF(ISBLANK(Design!$B$42),Design!$B$40,Design!$B$42)/1000000) * AR10/100/(IF(ISBLANK(Design!$B$33),Design!$B$32,Design!$B$33)*1000000)</f>
        <v>0.87793496717513841</v>
      </c>
      <c r="AT10" s="195">
        <f>$AQ$2*Constants!$C$21/1000+IF(ISBLANK(Design!$B$33),Design!$B$32,Design!$B$33)*1000000*Constants!$D$25/1000000000*($AQ$2-Constants!$C$24)</f>
        <v>6.3375000000000001E-2</v>
      </c>
      <c r="AU10" s="195">
        <f>$AQ$2*AP10*($AQ$2/(Constants!$C$26*1000000000)*IF(ISBLANK(Design!$B$33),Design!$B$32,Design!$B$33)*1000000/2+$AQ$2/(Constants!$C$27*1000000000)*IF(ISBLANK(Design!$B$33),Design!$B$32,Design!$B$33)*1000000/2)</f>
        <v>0.31431111111111104</v>
      </c>
      <c r="AV10" s="195">
        <f t="shared" ref="AV10:AV13" ca="1" si="33">IF($D$78,1,AR10/100*(AP10^2+AS10^2/12)*BD10/1000)</f>
        <v>0.21220598804710389</v>
      </c>
      <c r="AW10" s="195">
        <f>Constants!$D$25/1000000000*Constants!$C$24*IF(ISBLANK(Design!$B$33),Design!$B$32,Design!$B$33)*1000000</f>
        <v>1.0624999999999999E-2</v>
      </c>
      <c r="AX10" s="195">
        <f t="shared" ref="AX10:AX13" ca="1" si="34">SUM(AT10:AW10)</f>
        <v>0.60051709915821494</v>
      </c>
      <c r="AY10" s="195">
        <f t="shared" ref="AY10:AY13" ca="1" si="35">AP10*AQ10*(1-AR10/100)</f>
        <v>0.5865807158312274</v>
      </c>
      <c r="AZ10" s="195">
        <f ca="1">AP10^2*IF(ISBLANK(Design!$B$43),Constants!$C$6,Design!$B$43)/1000*(1+(BC10-25)*(Constants!$C$36/100))</f>
        <v>0.18694220289989524</v>
      </c>
      <c r="BA10" s="195">
        <f>0.5*Snubber!$B$16/1000000000000*$AQ$2^2*Design!$B$33*1000000</f>
        <v>1.7951999999999999E-2</v>
      </c>
      <c r="BB10" s="196">
        <f ca="1">$A10+AY10*Design!$B$19</f>
        <v>58.435100802379964</v>
      </c>
      <c r="BC10" s="196">
        <f ca="1">AX10*Design!$C$12+$A10</f>
        <v>45.417581371379306</v>
      </c>
      <c r="BD10" s="196">
        <f ca="1">Constants!$D$22+Constants!$D$22*Constants!$C$23/100*(BC10-25)</f>
        <v>141.33406509710343</v>
      </c>
      <c r="BE10" s="195">
        <f ca="1">(1-Constants!$C$20/1000000000*Design!$B$33*1000000) * ($AQ$2+AQ10-AP10*BD10/1000) - (AQ10+AP10*Design!$B$43/1000)</f>
        <v>14.971391071579777</v>
      </c>
      <c r="BF10" s="195">
        <f ca="1">IF(BE10&gt;Design!$C$29,Design!$C$29,BE10)</f>
        <v>4.9990521327014221</v>
      </c>
      <c r="BG10" s="195">
        <f t="shared" ref="BG10:BG13" ca="1" si="36">SUM(AX10:BA10)</f>
        <v>1.3919920178893375</v>
      </c>
      <c r="BH10" s="195">
        <f t="shared" ref="BH10:BH13" ca="1" si="37">BF10*AP10</f>
        <v>10.398028436018956</v>
      </c>
      <c r="BI10" s="365">
        <f t="shared" ref="BI10:BI13" ca="1" si="38">100*BH10/(BH10+BG10)</f>
        <v>88.193472408880297</v>
      </c>
    </row>
    <row r="11" spans="1:61" s="120" customFormat="1" ht="12.75" x14ac:dyDescent="0.2">
      <c r="A11" s="112">
        <v>25</v>
      </c>
      <c r="B11" s="347">
        <f t="shared" si="18"/>
        <v>2.3849999999999998</v>
      </c>
      <c r="C11" s="348">
        <f ca="1">FORECAST(B11, OFFSET(Design!$C$15:$C$17,MATCH(B11,Design!$B$15:$B$17,1)-1,0,2), OFFSET(Design!$B$15:$B$17,MATCH(B11,Design!$B$15:$B$17,1)-1,0,2))+(N11-25)*Design!$B$18/1000</f>
        <v>0.45033966385818552</v>
      </c>
      <c r="D11" s="166">
        <f ca="1">IF(100*(Design!$C$29+C11+B11*IF(ISBLANK(Design!$B$43),Constants!$C$6,Design!$B$43)/1000*(1+Constants!$C$36/100*(O11-25)))/($C$2+C11-B11*P11/1000)&gt;Design!$C$36,Design!$C$36,100*(Design!$C$29+C11+B11*IF(ISBLANK(Design!$B$43),Constants!$C$6,Design!$B$43)/1000*(1+Constants!$C$36/100*(O11-25)))/($C$2+C11-B11*P11/1000))</f>
        <v>68.49904105988972</v>
      </c>
      <c r="E11" s="165">
        <f ca="1">IF(($C$2-B11*IF(ISBLANK(Design!$B$43),Constants!$C$6,Design!$B$43)/1000*(1+Constants!$C$36/100*(O11-25))-Design!$C$29) / (IF(ISBLANK(Design!$B$42),Design!$B$40,Design!$B$42)/1000000) * D11/100/(IF(ISBLANK(Design!$B$33),Design!$B$32,Design!$B$33)*1000000)&lt;0,0,($C$2-B11*IF(ISBLANK(Design!$B$43),Constants!$C$6,Design!$B$43)/1000*(1+Constants!$C$36/100*(O11-25))-Design!$C$29) / (IF(ISBLANK(Design!$B$42),Design!$B$40,Design!$B$42)/1000000) * D11/100/(IF(ISBLANK(Design!$B$33),Design!$B$32,Design!$B$33)*1000000))</f>
        <v>0.46688391206578522</v>
      </c>
      <c r="F11" s="165">
        <f>$C$2*Constants!$C$21/1000+IF(ISBLANK(Design!$B$33),Design!$B$32,Design!$B$33)*1000000*Constants!$D$25/1000000000*($C$2-Constants!$C$24)</f>
        <v>2.6375000000000003E-2</v>
      </c>
      <c r="G11" s="165">
        <f>$C$2*B11*($C$2/(Constants!$C$26*1000000000)*IF(ISBLANK(Design!$B$33),Design!$B$32,Design!$B$33)*1000000/2+$C$2/(Constants!$C$27*1000000000)*IF(ISBLANK(Design!$B$33),Design!$B$32,Design!$B$33)*1000000/2)</f>
        <v>9.01E-2</v>
      </c>
      <c r="H11" s="165">
        <f t="shared" ca="1" si="21"/>
        <v>0.5618521840510825</v>
      </c>
      <c r="I11" s="165">
        <f>Constants!$D$25/1000000000*Constants!$C$24*IF(ISBLANK(Design!$B$33),Design!$B$32,Design!$B$33)*1000000</f>
        <v>1.0624999999999999E-2</v>
      </c>
      <c r="J11" s="165">
        <f t="shared" ca="1" si="22"/>
        <v>0.68895218405108249</v>
      </c>
      <c r="K11" s="165">
        <f t="shared" ca="1" si="23"/>
        <v>0.33833923055814941</v>
      </c>
      <c r="L11" s="165">
        <f ca="1">B11^2*IF(ISBLANK(Design!$B$43),Constants!$C$6,Design!$B$43)/1000*(1+(O11-25)*(Constants!$C$36/100))</f>
        <v>0.24847481709042016</v>
      </c>
      <c r="M11" s="165">
        <f>0.5*Snubber!$B$16/1000000000000*$C$2^2*Design!$B$33*1000000</f>
        <v>4.4879999999999998E-3</v>
      </c>
      <c r="N11" s="166">
        <f ca="1">$A11+K11*Design!$B$19</f>
        <v>44.285336141814511</v>
      </c>
      <c r="O11" s="166">
        <f ca="1">J11*Design!$C$12+A11</f>
        <v>48.424374257736801</v>
      </c>
      <c r="P11" s="166">
        <f ca="1">Constants!$D$22+Constants!$D$22*Constants!$C$23/100*(O11-25)</f>
        <v>143.73949940618945</v>
      </c>
      <c r="Q11" s="165">
        <f ca="1">(1-Constants!$C$20/1000000000*Design!$B$33*1000000) * ($C$2+C11-B11*P11/1000) - (C11+B11*Design!$B$43/1000)</f>
        <v>7.2344401352460963</v>
      </c>
      <c r="R11" s="165">
        <f ca="1">IF(Q11&gt;Design!$C$29,Design!$C$29,Q11)</f>
        <v>4.9990521327014221</v>
      </c>
      <c r="S11" s="165">
        <f t="shared" ca="1" si="24"/>
        <v>1.2802542316996519</v>
      </c>
      <c r="T11" s="165">
        <f t="shared" ca="1" si="25"/>
        <v>11.92273933649289</v>
      </c>
      <c r="U11" s="349">
        <f t="shared" ca="1" si="26"/>
        <v>90.303303375198752</v>
      </c>
      <c r="V11" s="355">
        <f t="shared" si="19"/>
        <v>2.3849999999999998</v>
      </c>
      <c r="W11" s="356">
        <f ca="1">FORECAST(V11, OFFSET(Design!$C$15:$C$17,MATCH(V11,Design!$B$15:$B$17,1)-1,0,2), OFFSET(Design!$B$15:$B$17,MATCH(V11,Design!$B$15:$B$17,1)-1,0,2))+(AH11-25)*Design!$B$18/1000</f>
        <v>0.43739150380925551</v>
      </c>
      <c r="X11" s="184">
        <f ca="1">IF(100*(Design!$C$29+W11+V11*IF(ISBLANK(Design!$B$43),Constants!$C$6,Design!$B$43)/1000*(1+Constants!$C$36/100*(AI11-25)))/($W$2+W11-V11*AJ11/1000)&gt;Design!$C$36,Design!$C$36,100*(Design!$C$29+W11+V11*IF(ISBLANK(Design!$B$43),Constants!$C$6,Design!$B$43)/1000*(1+Constants!$C$36/100*(AI11-25)))/($W$2+W11-V11*AJ11/1000))</f>
        <v>45.790695943231725</v>
      </c>
      <c r="Y11" s="183">
        <f ca="1">($W$2-V11*IF(ISBLANK(Design!$B$43),Constants!$C$6,Design!$B$43)/1000*(1+Constants!$C$36/100*(AI11-25))-Design!$C$29) / (IF(ISBLANK(Design!$B$42),Design!$B$40,Design!$B$42)/1000000) * X11/100/(IF(ISBLANK(Design!$B$33),Design!$B$32,Design!$B$33)*1000000)</f>
        <v>0.74315576691846352</v>
      </c>
      <c r="Z11" s="183">
        <f>$W$2*Constants!$C$21/1000+IF(ISBLANK(Design!$B$33),Design!$B$32,Design!$B$33)*1000000*Constants!$D$25/1000000000*($W$2-Constants!$C$24)</f>
        <v>4.4874999999999998E-2</v>
      </c>
      <c r="AA11" s="183">
        <f>$W$2*V11*($W$2/(Constants!$C$26*1000000000)*IF(ISBLANK(Design!$B$33),Design!$B$32,Design!$B$33)*1000000/2+$W$2/(Constants!$C$27*1000000000)*IF(ISBLANK(Design!$B$33),Design!$B$32,Design!$B$33)*1000000/2)</f>
        <v>0.20272499999999996</v>
      </c>
      <c r="AB11" s="183">
        <f t="shared" ca="1" si="27"/>
        <v>0.37332459269546248</v>
      </c>
      <c r="AC11" s="183">
        <f>Constants!$D$25/1000000000*Constants!$C$24*IF(ISBLANK(Design!$B$33),Design!$B$32,Design!$B$33)*1000000</f>
        <v>1.0624999999999999E-2</v>
      </c>
      <c r="AD11" s="183">
        <f t="shared" ca="1" si="28"/>
        <v>0.6315495926954624</v>
      </c>
      <c r="AE11" s="183">
        <f t="shared" ca="1" si="29"/>
        <v>0.56549993317095659</v>
      </c>
      <c r="AF11" s="183">
        <f ca="1">V11^2*IF(ISBLANK(Design!$B$43),Constants!$C$6,Design!$B$43)/1000*(1+(AI11-25)*(Constants!$C$36/100))</f>
        <v>0.2467296391130733</v>
      </c>
      <c r="AG11" s="183">
        <f>0.5*Snubber!$B$16/1000000000000*$W$2^2*Design!$B$33*1000000</f>
        <v>1.0097999999999999E-2</v>
      </c>
      <c r="AH11" s="184">
        <f ca="1">$A11+AE11*Design!$B$19</f>
        <v>57.233496190744525</v>
      </c>
      <c r="AI11" s="184">
        <f ca="1">AD11*Design!$C$12+$A11</f>
        <v>46.472686151645718</v>
      </c>
      <c r="AJ11" s="184">
        <f ca="1">Constants!$D$22+Constants!$D$22*Constants!$C$23/100*(AI11-25)</f>
        <v>142.17814892131656</v>
      </c>
      <c r="AK11" s="183">
        <f ca="1">(1-Constants!$C$20/1000000000*Design!$B$33*1000000) * ($W$2+W11-V11*AJ11/1000) - (W11+V11*Design!$B$43/1000)</f>
        <v>11.077036388845396</v>
      </c>
      <c r="AL11" s="183">
        <f ca="1">IF(AK11&gt;Design!$C$29,Design!$C$29,AK11)</f>
        <v>4.9990521327014221</v>
      </c>
      <c r="AM11" s="183">
        <f t="shared" ca="1" si="30"/>
        <v>1.4538771649794924</v>
      </c>
      <c r="AN11" s="183">
        <f t="shared" ca="1" si="31"/>
        <v>11.92273933649289</v>
      </c>
      <c r="AO11" s="357">
        <f t="shared" ca="1" si="32"/>
        <v>89.131203957148202</v>
      </c>
      <c r="AP11" s="363">
        <f t="shared" si="20"/>
        <v>2.3849999999999998</v>
      </c>
      <c r="AQ11" s="364">
        <f ca="1">FORECAST(AP11, OFFSET(Design!$C$15:$C$17,MATCH(AP11,Design!$B$15:$B$17,1)-1,0,2), OFFSET(Design!$B$15:$B$17,MATCH(AP11,Design!$B$15:$B$17,1)-1,0,2))+(BB11-25)*Design!$B$18/1000</f>
        <v>0.43117679414864268</v>
      </c>
      <c r="AR11" s="196">
        <f ca="1">IF(100*(Design!$C$29+AQ11+AP11*IF(ISBLANK(Design!$B$43),Constants!$C$6,Design!$B$43)/1000*(1+Constants!$C$36/100*(BC11-25)))/($AQ$2+AQ11-AP11*BD11/1000)&gt;Design!$C$36,Design!$C$36,100*(Design!$C$29+AQ11+AP11*IF(ISBLANK(Design!$B$43),Constants!$C$6,Design!$B$43)/1000*(1+Constants!$C$36/100*(BC11-25)))/($AQ$2+AQ11-AP11*BD11/1000))</f>
        <v>34.407005141272933</v>
      </c>
      <c r="AS11" s="195">
        <f ca="1">($AQ$2-AP11*IF(ISBLANK(Design!$B$43),Constants!$C$6,Design!$B$43)/1000*(1+Constants!$C$36/100*(BC11-25))-Design!$C$29) / (IF(ISBLANK(Design!$B$42),Design!$B$40,Design!$B$42)/1000000) * AR11/100/(IF(ISBLANK(Design!$B$33),Design!$B$32,Design!$B$33)*1000000)</f>
        <v>0.88214393787596612</v>
      </c>
      <c r="AT11" s="195">
        <f>$AQ$2*Constants!$C$21/1000+IF(ISBLANK(Design!$B$33),Design!$B$32,Design!$B$33)*1000000*Constants!$D$25/1000000000*($AQ$2-Constants!$C$24)</f>
        <v>6.3375000000000001E-2</v>
      </c>
      <c r="AU11" s="195">
        <f>$AQ$2*AP11*($AQ$2/(Constants!$C$26*1000000000)*IF(ISBLANK(Design!$B$33),Design!$B$32,Design!$B$33)*1000000/2+$AQ$2/(Constants!$C$27*1000000000)*IF(ISBLANK(Design!$B$33),Design!$B$32,Design!$B$33)*1000000/2)</f>
        <v>0.3604</v>
      </c>
      <c r="AV11" s="195">
        <f t="shared" ca="1" si="33"/>
        <v>0.28623231507339952</v>
      </c>
      <c r="AW11" s="195">
        <f>Constants!$D$25/1000000000*Constants!$C$24*IF(ISBLANK(Design!$B$33),Design!$B$32,Design!$B$33)*1000000</f>
        <v>1.0624999999999999E-2</v>
      </c>
      <c r="AX11" s="195">
        <f t="shared" ca="1" si="34"/>
        <v>0.72063231507339953</v>
      </c>
      <c r="AY11" s="195">
        <f t="shared" ca="1" si="35"/>
        <v>0.67452992721679506</v>
      </c>
      <c r="AZ11" s="195">
        <f ca="1">AP11^2*IF(ISBLANK(Design!$B$43),Constants!$C$6,Design!$B$43)/1000*(1+(BC11-25)*(Constants!$C$36/100))</f>
        <v>0.24943796989718273</v>
      </c>
      <c r="BA11" s="195">
        <f>0.5*Snubber!$B$16/1000000000000*$AQ$2^2*Design!$B$33*1000000</f>
        <v>1.7951999999999999E-2</v>
      </c>
      <c r="BB11" s="196">
        <f ca="1">$A11+AY11*Design!$B$19</f>
        <v>63.448205851357315</v>
      </c>
      <c r="BC11" s="196">
        <f ca="1">AX11*Design!$C$12+$A11</f>
        <v>49.501498712495582</v>
      </c>
      <c r="BD11" s="196">
        <f ca="1">Constants!$D$22+Constants!$D$22*Constants!$C$23/100*(BC11-25)</f>
        <v>144.60119896999646</v>
      </c>
      <c r="BE11" s="195">
        <f ca="1">(1-Constants!$C$20/1000000000*Design!$B$33*1000000) * ($AQ$2+AQ11-AP11*BD11/1000) - (AQ11+AP11*Design!$B$43/1000)</f>
        <v>14.910241659471875</v>
      </c>
      <c r="BF11" s="195">
        <f ca="1">IF(BE11&gt;Design!$C$29,Design!$C$29,BE11)</f>
        <v>4.9990521327014221</v>
      </c>
      <c r="BG11" s="195">
        <f t="shared" ca="1" si="36"/>
        <v>1.6625522121873773</v>
      </c>
      <c r="BH11" s="195">
        <f t="shared" ca="1" si="37"/>
        <v>11.92273933649289</v>
      </c>
      <c r="BI11" s="365">
        <f t="shared" ca="1" si="38"/>
        <v>87.762116063317876</v>
      </c>
    </row>
    <row r="12" spans="1:61" s="120" customFormat="1" ht="12.75" x14ac:dyDescent="0.2">
      <c r="A12" s="112">
        <v>25</v>
      </c>
      <c r="B12" s="347">
        <f t="shared" si="18"/>
        <v>2.69</v>
      </c>
      <c r="C12" s="348">
        <f ca="1">FORECAST(B12, OFFSET(Design!$C$15:$C$17,MATCH(B12,Design!$B$15:$B$17,1)-1,0,2), OFFSET(Design!$B$15:$B$17,MATCH(B12,Design!$B$15:$B$17,1)-1,0,2))+(N12-25)*Design!$B$18/1000</f>
        <v>0.45573956546819649</v>
      </c>
      <c r="D12" s="166">
        <f ca="1">IF(100*(Design!$C$29+C12+B12*IF(ISBLANK(Design!$B$43),Constants!$C$6,Design!$B$43)/1000*(1+Constants!$C$36/100*(O12-25)))/($C$2+C12-B12*P12/1000)&gt;Design!$C$36,Design!$C$36,100*(Design!$C$29+C12+B12*IF(ISBLANK(Design!$B$43),Constants!$C$6,Design!$B$43)/1000*(1+Constants!$C$36/100*(O12-25)))/($C$2+C12-B12*P12/1000))</f>
        <v>69.217398931683846</v>
      </c>
      <c r="E12" s="165">
        <f ca="1">IF(($C$2-B12*IF(ISBLANK(Design!$B$43),Constants!$C$6,Design!$B$43)/1000*(1+Constants!$C$36/100*(O12-25))-Design!$C$29) / (IF(ISBLANK(Design!$B$42),Design!$B$40,Design!$B$42)/1000000) * D12/100/(IF(ISBLANK(Design!$B$33),Design!$B$32,Design!$B$33)*1000000)&lt;0,0,($C$2-B12*IF(ISBLANK(Design!$B$43),Constants!$C$6,Design!$B$43)/1000*(1+Constants!$C$36/100*(O12-25))-Design!$C$29) / (IF(ISBLANK(Design!$B$42),Design!$B$40,Design!$B$42)/1000000) * D12/100/(IF(ISBLANK(Design!$B$33),Design!$B$32,Design!$B$33)*1000000))</f>
        <v>0.46914539246648579</v>
      </c>
      <c r="F12" s="165">
        <f>$C$2*Constants!$C$21/1000+IF(ISBLANK(Design!$B$33),Design!$B$32,Design!$B$33)*1000000*Constants!$D$25/1000000000*($C$2-Constants!$C$24)</f>
        <v>2.6375000000000003E-2</v>
      </c>
      <c r="G12" s="165">
        <f>$C$2*B12*($C$2/(Constants!$C$26*1000000000)*IF(ISBLANK(Design!$B$33),Design!$B$32,Design!$B$33)*1000000/2+$C$2/(Constants!$C$27*1000000000)*IF(ISBLANK(Design!$B$33),Design!$B$32,Design!$B$33)*1000000/2)</f>
        <v>0.10162222222222222</v>
      </c>
      <c r="H12" s="165">
        <f t="shared" ca="1" si="21"/>
        <v>0.74888267150351795</v>
      </c>
      <c r="I12" s="165">
        <f>Constants!$D$25/1000000000*Constants!$C$24*IF(ISBLANK(Design!$B$33),Design!$B$32,Design!$B$33)*1000000</f>
        <v>1.0624999999999999E-2</v>
      </c>
      <c r="J12" s="165">
        <f t="shared" ca="1" si="22"/>
        <v>0.88750489372574015</v>
      </c>
      <c r="K12" s="165">
        <f t="shared" ca="1" si="23"/>
        <v>0.37737604441760603</v>
      </c>
      <c r="L12" s="165">
        <f ca="1">B12^2*IF(ISBLANK(Design!$B$43),Constants!$C$6,Design!$B$43)/1000*(1+(O12-25)*(Constants!$C$36/100))</f>
        <v>0.32376870197832547</v>
      </c>
      <c r="M12" s="165">
        <f>0.5*Snubber!$B$16/1000000000000*$C$2^2*Design!$B$33*1000000</f>
        <v>4.4879999999999998E-3</v>
      </c>
      <c r="N12" s="166">
        <f ca="1">$A12+K12*Design!$B$19</f>
        <v>46.51043453180354</v>
      </c>
      <c r="O12" s="166">
        <f ca="1">J12*Design!$C$12+A12</f>
        <v>55.175166386675166</v>
      </c>
      <c r="P12" s="166">
        <f ca="1">Constants!$D$22+Constants!$D$22*Constants!$C$23/100*(O12-25)</f>
        <v>149.14013310934013</v>
      </c>
      <c r="Q12" s="165">
        <f ca="1">(1-Constants!$C$20/1000000000*Design!$B$33*1000000) * ($C$2+C12-B12*P12/1000) - (C12+B12*Design!$B$43/1000)</f>
        <v>7.1660104804119351</v>
      </c>
      <c r="R12" s="165">
        <f ca="1">IF(Q12&gt;Design!$C$29,Design!$C$29,Q12)</f>
        <v>4.9990521327014221</v>
      </c>
      <c r="S12" s="165">
        <f t="shared" ca="1" si="24"/>
        <v>1.5931376401216717</v>
      </c>
      <c r="T12" s="165">
        <f t="shared" ca="1" si="25"/>
        <v>13.447450236966825</v>
      </c>
      <c r="U12" s="349">
        <f t="shared" ca="1" si="26"/>
        <v>89.407743546058342</v>
      </c>
      <c r="V12" s="355">
        <f t="shared" si="19"/>
        <v>2.69</v>
      </c>
      <c r="W12" s="356">
        <f ca="1">FORECAST(V12, OFFSET(Design!$C$15:$C$17,MATCH(V12,Design!$B$15:$B$17,1)-1,0,2), OFFSET(Design!$B$15:$B$17,MATCH(V12,Design!$B$15:$B$17,1)-1,0,2))+(AH12-25)*Design!$B$18/1000</f>
        <v>0.44084223575758846</v>
      </c>
      <c r="X12" s="184">
        <f ca="1">IF(100*(Design!$C$29+W12+V12*IF(ISBLANK(Design!$B$43),Constants!$C$6,Design!$B$43)/1000*(1+Constants!$C$36/100*(AI12-25)))/($W$2+W12-V12*AJ12/1000)&gt;Design!$C$36,Design!$C$36,100*(Design!$C$29+W12+V12*IF(ISBLANK(Design!$B$43),Constants!$C$6,Design!$B$43)/1000*(1+Constants!$C$36/100*(AI12-25)))/($W$2+W12-V12*AJ12/1000))</f>
        <v>46.137850835262832</v>
      </c>
      <c r="Y12" s="183">
        <f ca="1">($W$2-V12*IF(ISBLANK(Design!$B$43),Constants!$C$6,Design!$B$43)/1000*(1+Constants!$C$36/100*(AI12-25))-Design!$C$29) / (IF(ISBLANK(Design!$B$42),Design!$B$40,Design!$B$42)/1000000) * X12/100/(IF(ISBLANK(Design!$B$33),Design!$B$32,Design!$B$33)*1000000)</f>
        <v>0.74712981703670944</v>
      </c>
      <c r="Z12" s="183">
        <f>$W$2*Constants!$C$21/1000+IF(ISBLANK(Design!$B$33),Design!$B$32,Design!$B$33)*1000000*Constants!$D$25/1000000000*($W$2-Constants!$C$24)</f>
        <v>4.4874999999999998E-2</v>
      </c>
      <c r="AA12" s="183">
        <f>$W$2*V12*($W$2/(Constants!$C$26*1000000000)*IF(ISBLANK(Design!$B$33),Design!$B$32,Design!$B$33)*1000000/2+$W$2/(Constants!$C$27*1000000000)*IF(ISBLANK(Design!$B$33),Design!$B$32,Design!$B$33)*1000000/2)</f>
        <v>0.22864999999999999</v>
      </c>
      <c r="AB12" s="183">
        <f t="shared" ca="1" si="27"/>
        <v>0.49083356934769057</v>
      </c>
      <c r="AC12" s="183">
        <f>Constants!$D$25/1000000000*Constants!$C$24*IF(ISBLANK(Design!$B$33),Design!$B$32,Design!$B$33)*1000000</f>
        <v>1.0624999999999999E-2</v>
      </c>
      <c r="AD12" s="183">
        <f t="shared" ca="1" si="28"/>
        <v>0.77498356934769064</v>
      </c>
      <c r="AE12" s="183">
        <f t="shared" ca="1" si="29"/>
        <v>0.63873270600722032</v>
      </c>
      <c r="AF12" s="183">
        <f ca="1">V12^2*IF(ISBLANK(Design!$B$43),Constants!$C$6,Design!$B$43)/1000*(1+(AI12-25)*(Constants!$C$36/100))</f>
        <v>0.31941688267818696</v>
      </c>
      <c r="AG12" s="183">
        <f>0.5*Snubber!$B$16/1000000000000*$W$2^2*Design!$B$33*1000000</f>
        <v>1.0097999999999999E-2</v>
      </c>
      <c r="AH12" s="184">
        <f ca="1">$A12+AE12*Design!$B$19</f>
        <v>61.40776424241156</v>
      </c>
      <c r="AI12" s="184">
        <f ca="1">AD12*Design!$C$12+$A12</f>
        <v>51.349441357821483</v>
      </c>
      <c r="AJ12" s="184">
        <f ca="1">Constants!$D$22+Constants!$D$22*Constants!$C$23/100*(AI12-25)</f>
        <v>146.07955308625719</v>
      </c>
      <c r="AK12" s="183">
        <f ca="1">(1-Constants!$C$20/1000000000*Design!$B$33*1000000) * ($W$2+W12-V12*AJ12/1000) - (W12+V12*Design!$B$43/1000)</f>
        <v>11.01301251459051</v>
      </c>
      <c r="AL12" s="183">
        <f ca="1">IF(AK12&gt;Design!$C$29,Design!$C$29,AK12)</f>
        <v>4.9990521327014221</v>
      </c>
      <c r="AM12" s="183">
        <f t="shared" ca="1" si="30"/>
        <v>1.7432311580330977</v>
      </c>
      <c r="AN12" s="183">
        <f t="shared" ca="1" si="31"/>
        <v>13.447450236966825</v>
      </c>
      <c r="AO12" s="357">
        <f t="shared" ca="1" si="32"/>
        <v>88.524338621130653</v>
      </c>
      <c r="AP12" s="363">
        <f t="shared" si="20"/>
        <v>2.69</v>
      </c>
      <c r="AQ12" s="364">
        <f ca="1">FORECAST(AP12, OFFSET(Design!$C$15:$C$17,MATCH(AP12,Design!$B$15:$B$17,1)-1,0,2), OFFSET(Design!$B$15:$B$17,MATCH(AP12,Design!$B$15:$B$17,1)-1,0,2))+(BB12-25)*Design!$B$18/1000</f>
        <v>0.43377155574961546</v>
      </c>
      <c r="AR12" s="196">
        <f ca="1">IF(100*(Design!$C$29+AQ12+AP12*IF(ISBLANK(Design!$B$43),Constants!$C$6,Design!$B$43)/1000*(1+Constants!$C$36/100*(BC12-25)))/($AQ$2+AQ12-AP12*BD12/1000)&gt;Design!$C$36,Design!$C$36,100*(Design!$C$29+AQ12+AP12*IF(ISBLANK(Design!$B$43),Constants!$C$6,Design!$B$43)/1000*(1+Constants!$C$36/100*(BC12-25)))/($AQ$2+AQ12-AP12*BD12/1000))</f>
        <v>34.628900439814579</v>
      </c>
      <c r="AS12" s="195">
        <f ca="1">($AQ$2-AP12*IF(ISBLANK(Design!$B$43),Constants!$C$6,Design!$B$43)/1000*(1+Constants!$C$36/100*(BC12-25))-Design!$C$29) / (IF(ISBLANK(Design!$B$42),Design!$B$40,Design!$B$42)/1000000) * AR12/100/(IF(ISBLANK(Design!$B$33),Design!$B$32,Design!$B$33)*1000000)</f>
        <v>0.8865853811241341</v>
      </c>
      <c r="AT12" s="195">
        <f>$AQ$2*Constants!$C$21/1000+IF(ISBLANK(Design!$B$33),Design!$B$32,Design!$B$33)*1000000*Constants!$D$25/1000000000*($AQ$2-Constants!$C$24)</f>
        <v>6.3375000000000001E-2</v>
      </c>
      <c r="AU12" s="195">
        <f>$AQ$2*AP12*($AQ$2/(Constants!$C$26*1000000000)*IF(ISBLANK(Design!$B$33),Design!$B$32,Design!$B$33)*1000000/2+$AQ$2/(Constants!$C$27*1000000000)*IF(ISBLANK(Design!$B$33),Design!$B$32,Design!$B$33)*1000000/2)</f>
        <v>0.4064888888888889</v>
      </c>
      <c r="AV12" s="195">
        <f t="shared" ca="1" si="33"/>
        <v>0.37488584421766097</v>
      </c>
      <c r="AW12" s="195">
        <f>Constants!$D$25/1000000000*Constants!$C$24*IF(ISBLANK(Design!$B$33),Design!$B$32,Design!$B$33)*1000000</f>
        <v>1.0624999999999999E-2</v>
      </c>
      <c r="AX12" s="195">
        <f t="shared" ca="1" si="34"/>
        <v>0.85537473310654988</v>
      </c>
      <c r="AY12" s="195">
        <f t="shared" ca="1" si="35"/>
        <v>0.76277972369095659</v>
      </c>
      <c r="AZ12" s="195">
        <f ca="1">AP12^2*IF(ISBLANK(Design!$B$43),Constants!$C$6,Design!$B$43)/1000*(1+(BC12-25)*(Constants!$C$36/100))</f>
        <v>0.32252605171739041</v>
      </c>
      <c r="BA12" s="195">
        <f>0.5*Snubber!$B$16/1000000000000*$AQ$2^2*Design!$B$33*1000000</f>
        <v>1.7951999999999999E-2</v>
      </c>
      <c r="BB12" s="196">
        <f ca="1">$A12+AY12*Design!$B$19</f>
        <v>68.478444250384527</v>
      </c>
      <c r="BC12" s="196">
        <f ca="1">AX12*Design!$C$12+$A12</f>
        <v>54.082740925622694</v>
      </c>
      <c r="BD12" s="196">
        <f ca="1">Constants!$D$22+Constants!$D$22*Constants!$C$23/100*(BC12-25)</f>
        <v>148.26619274049816</v>
      </c>
      <c r="BE12" s="195">
        <f ca="1">(1-Constants!$C$20/1000000000*Design!$B$33*1000000) * ($AQ$2+AQ12-AP12*BD12/1000) - (AQ12+AP12*Design!$B$43/1000)</f>
        <v>14.846153420825473</v>
      </c>
      <c r="BF12" s="195">
        <f ca="1">IF(BE12&gt;Design!$C$29,Design!$C$29,BE12)</f>
        <v>4.9990521327014221</v>
      </c>
      <c r="BG12" s="195">
        <f t="shared" ca="1" si="36"/>
        <v>1.958632508514897</v>
      </c>
      <c r="BH12" s="195">
        <f t="shared" ca="1" si="37"/>
        <v>13.447450236966825</v>
      </c>
      <c r="BI12" s="365">
        <f t="shared" ca="1" si="38"/>
        <v>87.286628659129306</v>
      </c>
    </row>
    <row r="13" spans="1:61" s="120" customFormat="1" ht="13.5" thickBot="1" x14ac:dyDescent="0.25">
      <c r="A13" s="112">
        <v>25</v>
      </c>
      <c r="B13" s="347">
        <f t="shared" si="18"/>
        <v>2.9950000000000001</v>
      </c>
      <c r="C13" s="348">
        <f ca="1">FORECAST(B13, OFFSET(Design!$C$15:$C$17,MATCH(B13,Design!$B$15:$B$17,1)-1,0,2), OFFSET(Design!$B$15:$B$17,MATCH(B13,Design!$B$15:$B$17,1)-1,0,2))+(N13-25)*Design!$B$18/1000</f>
        <v>0.46126956968967142</v>
      </c>
      <c r="D13" s="166">
        <f ca="1">IF(100*(Design!$C$29+C13+B13*IF(ISBLANK(Design!$B$43),Constants!$C$6,Design!$B$43)/1000*(1+Constants!$C$36/100*(O13-25)))/($C$2+C13-B13*P13/1000)&gt;Design!$C$36,Design!$C$36,100*(Design!$C$29+C13+B13*IF(ISBLANK(Design!$B$43),Constants!$C$6,Design!$B$43)/1000*(1+Constants!$C$36/100*(O13-25)))/($C$2+C13-B13*P13/1000))</f>
        <v>70.023188671522249</v>
      </c>
      <c r="E13" s="165">
        <f ca="1">IF(($C$2-B13*IF(ISBLANK(Design!$B$43),Constants!$C$6,Design!$B$43)/1000*(1+Constants!$C$36/100*(O13-25))-Design!$C$29) / (IF(ISBLANK(Design!$B$42),Design!$B$40,Design!$B$42)/1000000) * D13/100/(IF(ISBLANK(Design!$B$33),Design!$B$32,Design!$B$33)*1000000)&lt;0,0,($C$2-B13*IF(ISBLANK(Design!$B$43),Constants!$C$6,Design!$B$43)/1000*(1+Constants!$C$36/100*(O13-25))-Design!$C$29) / (IF(ISBLANK(Design!$B$42),Design!$B$40,Design!$B$42)/1000000) * D13/100/(IF(ISBLANK(Design!$B$33),Design!$B$32,Design!$B$33)*1000000))</f>
        <v>0.47171775937690275</v>
      </c>
      <c r="F13" s="165">
        <f>$C$2*Constants!$C$21/1000+IF(ISBLANK(Design!$B$33),Design!$B$32,Design!$B$33)*1000000*Constants!$D$25/1000000000*($C$2-Constants!$C$24)</f>
        <v>2.6375000000000003E-2</v>
      </c>
      <c r="G13" s="165">
        <f>$C$2*B13*($C$2/(Constants!$C$26*1000000000)*IF(ISBLANK(Design!$B$33),Design!$B$32,Design!$B$33)*1000000/2+$C$2/(Constants!$C$27*1000000000)*IF(ISBLANK(Design!$B$33),Design!$B$32,Design!$B$33)*1000000/2)</f>
        <v>0.11314444444444445</v>
      </c>
      <c r="H13" s="165">
        <f t="shared" ca="1" si="21"/>
        <v>0.98028943869093255</v>
      </c>
      <c r="I13" s="165">
        <f>Constants!$D$25/1000000000*Constants!$C$24*IF(ISBLANK(Design!$B$33),Design!$B$32,Design!$B$33)*1000000</f>
        <v>1.0624999999999999E-2</v>
      </c>
      <c r="J13" s="165">
        <f t="shared" ca="1" si="22"/>
        <v>1.1304338831353771</v>
      </c>
      <c r="K13" s="165">
        <f t="shared" ca="1" si="23"/>
        <v>0.4141303563215542</v>
      </c>
      <c r="L13" s="167">
        <f ca="1">B13^2*IF(ISBLANK(Design!$B$43),Constants!$C$6,Design!$B$43)/1000*(1+(O13-25)*(Constants!$C$36/100))</f>
        <v>0.41299737992525576</v>
      </c>
      <c r="M13" s="165">
        <f>0.5*Snubber!$B$16/1000000000000*$C$2^2*Design!$B$33*1000000</f>
        <v>4.4879999999999998E-3</v>
      </c>
      <c r="N13" s="166">
        <f ca="1">$A13+K13*Design!$B$19</f>
        <v>48.605430310328586</v>
      </c>
      <c r="O13" s="166">
        <f ca="1">J13*Design!$C$12+A13</f>
        <v>63.434752026602823</v>
      </c>
      <c r="P13" s="166">
        <f ca="1">Constants!$D$22+Constants!$D$22*Constants!$C$23/100*(O13-25)</f>
        <v>155.74780162128226</v>
      </c>
      <c r="Q13" s="165">
        <f ca="1">(1-Constants!$C$20/1000000000*Design!$B$33*1000000) * ($C$2+C13-B13*P13/1000) - (C13+B13*Design!$B$43/1000)</f>
        <v>7.0909450861519634</v>
      </c>
      <c r="R13" s="165">
        <f ca="1">IF(Q13&gt;Design!$C$29,Design!$C$29,Q13)</f>
        <v>4.9990521327014221</v>
      </c>
      <c r="S13" s="167">
        <f t="shared" ca="1" si="24"/>
        <v>1.962049619382187</v>
      </c>
      <c r="T13" s="165">
        <f t="shared" ca="1" si="25"/>
        <v>14.972161137440759</v>
      </c>
      <c r="U13" s="349">
        <f t="shared" ca="1" si="26"/>
        <v>88.413693159029222</v>
      </c>
      <c r="V13" s="355">
        <f t="shared" si="19"/>
        <v>2.9950000000000001</v>
      </c>
      <c r="W13" s="356">
        <f ca="1">FORECAST(V13, OFFSET(Design!$C$15:$C$17,MATCH(V13,Design!$B$15:$B$17,1)-1,0,2), OFFSET(Design!$B$15:$B$17,MATCH(V13,Design!$B$15:$B$17,1)-1,0,2))+(AH13-25)*Design!$B$18/1000</f>
        <v>0.44430434696716381</v>
      </c>
      <c r="X13" s="184">
        <f ca="1">IF(100*(Design!$C$29+W13+V13*IF(ISBLANK(Design!$B$43),Constants!$C$6,Design!$B$43)/1000*(1+Constants!$C$36/100*(AI13-25)))/($W$2+W13-V13*AJ13/1000)&gt;Design!$C$36,Design!$C$36,100*(Design!$C$29+W13+V13*IF(ISBLANK(Design!$B$43),Constants!$C$6,Design!$B$43)/1000*(1+Constants!$C$36/100*(AI13-25)))/($W$2+W13-V13*AJ13/1000))</f>
        <v>46.511581953488417</v>
      </c>
      <c r="Y13" s="183">
        <f ca="1">($W$2-V13*IF(ISBLANK(Design!$B$43),Constants!$C$6,Design!$B$43)/1000*(1+Constants!$C$36/100*(AI13-25))-Design!$C$29) / (IF(ISBLANK(Design!$B$42),Design!$B$40,Design!$B$42)/1000000) * X13/100/(IF(ISBLANK(Design!$B$33),Design!$B$32,Design!$B$33)*1000000)</f>
        <v>0.7514162267078458</v>
      </c>
      <c r="Z13" s="183">
        <f>$W$2*Constants!$C$21/1000+IF(ISBLANK(Design!$B$33),Design!$B$32,Design!$B$33)*1000000*Constants!$D$25/1000000000*($W$2-Constants!$C$24)</f>
        <v>4.4874999999999998E-2</v>
      </c>
      <c r="AA13" s="183">
        <f>$W$2*V13*($W$2/(Constants!$C$26*1000000000)*IF(ISBLANK(Design!$B$33),Design!$B$32,Design!$B$33)*1000000/2+$W$2/(Constants!$C$27*1000000000)*IF(ISBLANK(Design!$B$33),Design!$B$32,Design!$B$33)*1000000/2)</f>
        <v>0.254575</v>
      </c>
      <c r="AB13" s="183">
        <f t="shared" ca="1" si="27"/>
        <v>0.63168019769129857</v>
      </c>
      <c r="AC13" s="183">
        <f>Constants!$D$25/1000000000*Constants!$C$24*IF(ISBLANK(Design!$B$33),Design!$B$32,Design!$B$33)*1000000</f>
        <v>1.0624999999999999E-2</v>
      </c>
      <c r="AD13" s="183">
        <f t="shared" ca="1" si="28"/>
        <v>0.94175519769129856</v>
      </c>
      <c r="AE13" s="183">
        <f t="shared" ca="1" si="29"/>
        <v>0.71176584268133669</v>
      </c>
      <c r="AF13" s="187">
        <f ca="1">V13^2*IF(ISBLANK(Design!$B$43),Constants!$C$6,Design!$B$43)/1000*(1+(AI13-25)*(Constants!$C$36/100))</f>
        <v>0.40395155966749502</v>
      </c>
      <c r="AG13" s="183">
        <f>0.5*Snubber!$B$16/1000000000000*$W$2^2*Design!$B$33*1000000</f>
        <v>1.0097999999999999E-2</v>
      </c>
      <c r="AH13" s="184">
        <f ca="1">$A13+AE13*Design!$B$19</f>
        <v>65.570653032836191</v>
      </c>
      <c r="AI13" s="184">
        <f ca="1">AD13*Design!$C$12+$A13</f>
        <v>57.019676721504155</v>
      </c>
      <c r="AJ13" s="184">
        <f ca="1">Constants!$D$22+Constants!$D$22*Constants!$C$23/100*(AI13-25)</f>
        <v>150.61574137720334</v>
      </c>
      <c r="AK13" s="183">
        <f ca="1">(1-Constants!$C$20/1000000000*Design!$B$33*1000000) * ($W$2+W13-V13*AJ13/1000) - (W13+V13*Design!$B$43/1000)</f>
        <v>10.944879992687998</v>
      </c>
      <c r="AL13" s="183">
        <f ca="1">IF(AK13&gt;Design!$C$29,Design!$C$29,AK13)</f>
        <v>4.9990521327014221</v>
      </c>
      <c r="AM13" s="183">
        <f t="shared" ca="1" si="30"/>
        <v>2.0675706000401304</v>
      </c>
      <c r="AN13" s="183">
        <f t="shared" ca="1" si="31"/>
        <v>14.972161137440759</v>
      </c>
      <c r="AO13" s="357">
        <f t="shared" ca="1" si="32"/>
        <v>87.866178694044436</v>
      </c>
      <c r="AP13" s="363">
        <f t="shared" si="20"/>
        <v>2.9950000000000001</v>
      </c>
      <c r="AQ13" s="364">
        <f ca="1">FORECAST(AP13, OFFSET(Design!$C$15:$C$17,MATCH(AP13,Design!$B$15:$B$17,1)-1,0,2), OFFSET(Design!$B$15:$B$17,MATCH(AP13,Design!$B$15:$B$17,1)-1,0,2))+(BB13-25)*Design!$B$18/1000</f>
        <v>0.4363540606216868</v>
      </c>
      <c r="AR13" s="196">
        <f ca="1">IF(100*(Design!$C$29+AQ13+AP13*IF(ISBLANK(Design!$B$43),Constants!$C$6,Design!$B$43)/1000*(1+Constants!$C$36/100*(BC13-25)))/($AQ$2+AQ13-AP13*BD13/1000)&gt;Design!$C$36,Design!$C$36,100*(Design!$C$29+AQ13+AP13*IF(ISBLANK(Design!$B$43),Constants!$C$6,Design!$B$43)/1000*(1+Constants!$C$36/100*(BC13-25)))/($AQ$2+AQ13-AP13*BD13/1000))</f>
        <v>34.864388281760533</v>
      </c>
      <c r="AS13" s="195">
        <f ca="1">($AQ$2-AP13*IF(ISBLANK(Design!$B$43),Constants!$C$6,Design!$B$43)/1000*(1+Constants!$C$36/100*(BC13-25))-Design!$C$29) / (IF(ISBLANK(Design!$B$42),Design!$B$40,Design!$B$42)/1000000) * AR13/100/(IF(ISBLANK(Design!$B$33),Design!$B$32,Design!$B$33)*1000000)</f>
        <v>0.89130061106415803</v>
      </c>
      <c r="AT13" s="195">
        <f>$AQ$2*Constants!$C$21/1000+IF(ISBLANK(Design!$B$33),Design!$B$32,Design!$B$33)*1000000*Constants!$D$25/1000000000*($AQ$2-Constants!$C$24)</f>
        <v>6.3375000000000001E-2</v>
      </c>
      <c r="AU13" s="195">
        <f>$AQ$2*AP13*($AQ$2/(Constants!$C$26*1000000000)*IF(ISBLANK(Design!$B$33),Design!$B$32,Design!$B$33)*1000000/2+$AQ$2/(Constants!$C$27*1000000000)*IF(ISBLANK(Design!$B$33),Design!$B$32,Design!$B$33)*1000000/2)</f>
        <v>0.4525777777777778</v>
      </c>
      <c r="AV13" s="195">
        <f t="shared" ca="1" si="33"/>
        <v>0.48006382288562083</v>
      </c>
      <c r="AW13" s="195">
        <f>Constants!$D$25/1000000000*Constants!$C$24*IF(ISBLANK(Design!$B$33),Design!$B$32,Design!$B$33)*1000000</f>
        <v>1.0624999999999999E-2</v>
      </c>
      <c r="AX13" s="195">
        <f t="shared" ca="1" si="34"/>
        <v>1.0066416006633987</v>
      </c>
      <c r="AY13" s="195">
        <f t="shared" ca="1" si="35"/>
        <v>0.8512445504967231</v>
      </c>
      <c r="AZ13" s="198">
        <f ca="1">AP13^2*IF(ISBLANK(Design!$B$43),Constants!$C$6,Design!$B$43)/1000*(1+(BC13-25)*(Constants!$C$36/100))</f>
        <v>0.40706240781166558</v>
      </c>
      <c r="BA13" s="195">
        <f>0.5*Snubber!$B$16/1000000000000*$AQ$2^2*Design!$B$33*1000000</f>
        <v>1.7951999999999999E-2</v>
      </c>
      <c r="BB13" s="196">
        <f ca="1">$A13+AY13*Design!$B$19</f>
        <v>73.520939378313216</v>
      </c>
      <c r="BC13" s="196">
        <f ca="1">AX13*Design!$C$12+$A13</f>
        <v>59.225814422555558</v>
      </c>
      <c r="BD13" s="196">
        <f ca="1">Constants!$D$22+Constants!$D$22*Constants!$C$23/100*(BC13-25)</f>
        <v>152.38065153804445</v>
      </c>
      <c r="BE13" s="195">
        <f ca="1">(1-Constants!$C$20/1000000000*Design!$B$33*1000000) * ($AQ$2+AQ13-AP13*BD13/1000) - (AQ13+AP13*Design!$B$43/1000)</f>
        <v>14.77862849801947</v>
      </c>
      <c r="BF13" s="195">
        <f ca="1">IF(BE13&gt;Design!$C$29,Design!$C$29,BE13)</f>
        <v>4.9990521327014221</v>
      </c>
      <c r="BG13" s="195">
        <f t="shared" ca="1" si="36"/>
        <v>2.2829005589717877</v>
      </c>
      <c r="BH13" s="195">
        <f t="shared" ca="1" si="37"/>
        <v>14.972161137440759</v>
      </c>
      <c r="BI13" s="365">
        <f t="shared" ca="1" si="38"/>
        <v>86.769676057162869</v>
      </c>
    </row>
    <row r="14" spans="1:61" ht="15.75" thickBot="1" x14ac:dyDescent="0.3">
      <c r="A14" s="156" t="s">
        <v>194</v>
      </c>
      <c r="B14" s="156" t="s">
        <v>92</v>
      </c>
      <c r="C14" s="157" t="s">
        <v>219</v>
      </c>
      <c r="D14" s="169" t="s">
        <v>217</v>
      </c>
      <c r="E14" s="169" t="s">
        <v>218</v>
      </c>
      <c r="F14" s="169" t="s">
        <v>93</v>
      </c>
      <c r="G14" s="169" t="s">
        <v>94</v>
      </c>
      <c r="H14" s="169" t="s">
        <v>95</v>
      </c>
      <c r="I14" s="169" t="s">
        <v>182</v>
      </c>
      <c r="J14" s="169" t="s">
        <v>235</v>
      </c>
      <c r="K14" s="169" t="s">
        <v>237</v>
      </c>
      <c r="L14" s="169" t="s">
        <v>238</v>
      </c>
      <c r="M14" s="169" t="s">
        <v>249</v>
      </c>
      <c r="N14" s="169" t="s">
        <v>264</v>
      </c>
      <c r="O14" s="169" t="s">
        <v>265</v>
      </c>
      <c r="P14" s="169" t="s">
        <v>111</v>
      </c>
      <c r="Q14" s="169" t="s">
        <v>231</v>
      </c>
      <c r="R14" s="169" t="s">
        <v>236</v>
      </c>
      <c r="S14" s="200" t="s">
        <v>239</v>
      </c>
      <c r="T14" s="169" t="s">
        <v>240</v>
      </c>
      <c r="U14" s="212" t="s">
        <v>226</v>
      </c>
      <c r="V14" s="157" t="s">
        <v>92</v>
      </c>
      <c r="W14" s="157" t="s">
        <v>219</v>
      </c>
      <c r="X14" s="169" t="s">
        <v>217</v>
      </c>
      <c r="Y14" s="169" t="s">
        <v>218</v>
      </c>
      <c r="Z14" s="169" t="s">
        <v>93</v>
      </c>
      <c r="AA14" s="169" t="s">
        <v>94</v>
      </c>
      <c r="AB14" s="169" t="s">
        <v>95</v>
      </c>
      <c r="AC14" s="169" t="s">
        <v>182</v>
      </c>
      <c r="AD14" s="169" t="s">
        <v>235</v>
      </c>
      <c r="AE14" s="169" t="s">
        <v>237</v>
      </c>
      <c r="AF14" s="169" t="s">
        <v>238</v>
      </c>
      <c r="AG14" s="169" t="s">
        <v>249</v>
      </c>
      <c r="AH14" s="169" t="s">
        <v>264</v>
      </c>
      <c r="AI14" s="169" t="s">
        <v>265</v>
      </c>
      <c r="AJ14" s="169" t="s">
        <v>111</v>
      </c>
      <c r="AK14" s="169" t="s">
        <v>231</v>
      </c>
      <c r="AL14" s="169" t="s">
        <v>236</v>
      </c>
      <c r="AM14" s="169" t="s">
        <v>239</v>
      </c>
      <c r="AN14" s="169" t="s">
        <v>240</v>
      </c>
      <c r="AO14" s="212" t="s">
        <v>226</v>
      </c>
      <c r="AP14" s="157" t="s">
        <v>92</v>
      </c>
      <c r="AQ14" s="157" t="s">
        <v>219</v>
      </c>
      <c r="AR14" s="169" t="s">
        <v>217</v>
      </c>
      <c r="AS14" s="169" t="s">
        <v>218</v>
      </c>
      <c r="AT14" s="169" t="s">
        <v>93</v>
      </c>
      <c r="AU14" s="169" t="s">
        <v>94</v>
      </c>
      <c r="AV14" s="169" t="s">
        <v>95</v>
      </c>
      <c r="AW14" s="169" t="s">
        <v>182</v>
      </c>
      <c r="AX14" s="169" t="s">
        <v>235</v>
      </c>
      <c r="AY14" s="169" t="s">
        <v>237</v>
      </c>
      <c r="AZ14" s="169" t="s">
        <v>238</v>
      </c>
      <c r="BA14" s="169" t="s">
        <v>249</v>
      </c>
      <c r="BB14" s="169" t="s">
        <v>264</v>
      </c>
      <c r="BC14" s="169" t="s">
        <v>265</v>
      </c>
      <c r="BD14" s="169" t="s">
        <v>111</v>
      </c>
      <c r="BE14" s="169" t="s">
        <v>231</v>
      </c>
      <c r="BF14" s="169" t="s">
        <v>236</v>
      </c>
      <c r="BG14" s="169" t="s">
        <v>239</v>
      </c>
      <c r="BH14" s="169" t="s">
        <v>240</v>
      </c>
      <c r="BI14" s="212" t="s">
        <v>226</v>
      </c>
    </row>
    <row r="15" spans="1:61" ht="12.75" customHeight="1" x14ac:dyDescent="0.25">
      <c r="A15" s="159">
        <f>Design!$D$13</f>
        <v>85</v>
      </c>
      <c r="B15" s="344">
        <v>0.25</v>
      </c>
      <c r="C15" s="345">
        <f ca="1">FORECAST(B15, OFFSET(Design!$C$15:$C$17,MATCH(B15,Design!$B$15:$B$17,1)-1,0,2), OFFSET(Design!$B$15:$B$17,MATCH(B15,Design!$B$15:$B$17,1)-1,0,2))+(N15-25)*Design!$B$18/1000</f>
        <v>0.26254835338918681</v>
      </c>
      <c r="D15" s="164">
        <f ca="1">IF(100*(Design!$C$29+C15+B15*IF(ISBLANK(Design!$B$43),Constants!$C$6,Design!$B$43)/1000*(1+Constants!$C$36/100*(O15-25)))/($C$2+C15-B15*P15/1000)&gt;Design!$C$36,Design!$C$36,100*(Design!$C$29+C15+B15*IF(ISBLANK(Design!$B$43),Constants!$C$6,Design!$B$43)/1000*(1+Constants!$C$36/100*(O15-25)))/($C$2+C15-B15*P15/1000))</f>
        <v>64.16939377779552</v>
      </c>
      <c r="E15" s="163">
        <f ca="1">IF(($C$2-B15*IF(ISBLANK(Design!$B$43),Constants!$C$6,Design!$B$43)/1000*(1+Constants!$C$36/100*(O15-25))-Design!$C$29) / (IF(ISBLANK(Design!$B$42),Design!$B$40,Design!$B$42)/1000000) * D15/100/(IF(ISBLANK(Design!$B$33),Design!$B$32,Design!$B$33)*1000000)&lt;0,0,($C$2-B15*IF(ISBLANK(Design!$B$43),Constants!$C$6,Design!$B$43)/1000*(1+Constants!$C$36/100*(O15-25))-Design!$C$29) / (IF(ISBLANK(Design!$B$42),Design!$B$40,Design!$B$42)/1000000) * D15/100/(IF(ISBLANK(Design!$B$33),Design!$B$32,Design!$B$33)*1000000))</f>
        <v>0.45122648175106639</v>
      </c>
      <c r="F15" s="163">
        <f>$C$2*Constants!$C$21/1000+IF(ISBLANK(Design!$B$33),Design!$B$32,Design!$B$33)*1000000*Constants!$D$25/1000000000*($C$2-Constants!$C$24)</f>
        <v>2.6375000000000003E-2</v>
      </c>
      <c r="G15" s="163">
        <f>$C$2*B15*($C$2/(Constants!$C$26*1000000000)*IF(ISBLANK(Design!$B$33),Design!$B$32,Design!$B$33)*1000000/2+$C$2/(Constants!$C$27*1000000000)*IF(ISBLANK(Design!$B$33),Design!$B$32,Design!$B$33)*1000000/2)</f>
        <v>9.4444444444444445E-3</v>
      </c>
      <c r="H15" s="163">
        <f t="shared" ref="H15:H18" ca="1" si="39">IF($D$78,1,D15/100*(B15^2+E15^2/12)*P15/1000)</f>
        <v>8.8986487690793301E-3</v>
      </c>
      <c r="I15" s="163">
        <f>Constants!$D$25/1000000000*Constants!$C$24*IF(ISBLANK(Design!$B$33),Design!$B$32,Design!$B$33)*1000000</f>
        <v>1.0624999999999999E-2</v>
      </c>
      <c r="J15" s="163">
        <f t="shared" ref="J15:J18" ca="1" si="40">SUM(F15:I15)</f>
        <v>5.5343093213523778E-2</v>
      </c>
      <c r="K15" s="163">
        <f t="shared" ref="K15:K18" ca="1" si="41">B15*C15*(1-D15/100)</f>
        <v>2.351816666144034E-2</v>
      </c>
      <c r="L15" s="163">
        <f ca="1">B15^2*IF(ISBLANK(Design!$B$43),Constants!$C$6,Design!$B$43)/1000*(1+(O15-25)*(Constants!$C$36/100))</f>
        <v>3.1079873602879778E-3</v>
      </c>
      <c r="M15" s="163">
        <f>0.5*Snubber!$B$16/1000000000000*$C$2^2*Design!$B$33*1000000</f>
        <v>4.4879999999999998E-3</v>
      </c>
      <c r="N15" s="164">
        <f ca="1">$A15+K15*Design!$B$19</f>
        <v>86.340535499702099</v>
      </c>
      <c r="O15" s="164">
        <f ca="1">J15*Design!$C$12+A15</f>
        <v>86.881665169259804</v>
      </c>
      <c r="P15" s="164">
        <f ca="1">Constants!$D$22+Constants!$D$22*Constants!$C$23/100*(O15-25)</f>
        <v>174.50533213540785</v>
      </c>
      <c r="Q15" s="163">
        <f ca="1">(1-Constants!$C$20/1000000000*Design!$B$33*1000000) * ($C$2+C15-B15*P15/1000) - (C15+B15*Design!$B$43/1000)</f>
        <v>7.6145346903943008</v>
      </c>
      <c r="R15" s="163">
        <f ca="1">IF(Q15&gt;Design!$C$29,Design!$C$29,Q15)</f>
        <v>4.9990521327014221</v>
      </c>
      <c r="S15" s="163">
        <f t="shared" ref="S15:S18" ca="1" si="42">SUM(J15:M15)</f>
        <v>8.6457247235252097E-2</v>
      </c>
      <c r="T15" s="163">
        <f t="shared" ref="T15:T18" ca="1" si="43">R15*B15</f>
        <v>1.2497630331753555</v>
      </c>
      <c r="U15" s="346">
        <f t="shared" ref="U15:U18" ca="1" si="44">100*T15/(T15+S15)</f>
        <v>93.52971598300509</v>
      </c>
      <c r="V15" s="352">
        <v>0.25</v>
      </c>
      <c r="W15" s="353">
        <f ca="1">FORECAST(V15, OFFSET(Design!$C$15:$C$17,MATCH(V15,Design!$B$15:$B$17,1)-1,0,2), OFFSET(Design!$B$15:$B$17,MATCH(V15,Design!$B$15:$B$17,1)-1,0,2))+(AH15-25)*Design!$B$18/1000</f>
        <v>0.26176864981284714</v>
      </c>
      <c r="X15" s="180">
        <f ca="1">IF(100*(Design!$C$29+W15+V15*IF(ISBLANK(Design!$B$43),Constants!$C$6,Design!$B$43)/1000*(1+Constants!$C$36/100*(AI15-25)))/($W$2+W15-V15*AJ15/1000)&gt;Design!$C$36,Design!$C$36,100*(Design!$C$29+W15+V15*IF(ISBLANK(Design!$B$43),Constants!$C$6,Design!$B$43)/1000*(1+Constants!$C$36/100*(AI15-25)))/($W$2+W15-V15*AJ15/1000))</f>
        <v>43.160226712776634</v>
      </c>
      <c r="Y15" s="179">
        <f ca="1">($W$2-V15*IF(ISBLANK(Design!$B$43),Constants!$C$6,Design!$B$43)/1000*(1+Constants!$C$36/100*(AI15-25))-Design!$C$29) / (IF(ISBLANK(Design!$B$42),Design!$B$40,Design!$B$42)/1000000) * X15/100/(IF(ISBLANK(Design!$B$33),Design!$B$32,Design!$B$33)*1000000)</f>
        <v>0.7097040964426421</v>
      </c>
      <c r="Z15" s="179">
        <f>$W$2*Constants!$C$21/1000+IF(ISBLANK(Design!$B$33),Design!$B$32,Design!$B$33)*1000000*Constants!$D$25/1000000000*($W$2-Constants!$C$24)</f>
        <v>4.4874999999999998E-2</v>
      </c>
      <c r="AA15" s="179">
        <f>$W$2*V15*($W$2/(Constants!$C$26*1000000000)*IF(ISBLANK(Design!$B$33),Design!$B$32,Design!$B$33)*1000000/2+$W$2/(Constants!$C$27*1000000000)*IF(ISBLANK(Design!$B$33),Design!$B$32,Design!$B$33)*1000000/2)</f>
        <v>2.1249999999999998E-2</v>
      </c>
      <c r="AB15" s="179">
        <f t="shared" ref="AB15:AB18" ca="1" si="45">IF($D$78,1,X15/100*(V15^2+Y15^2/12)*AJ15/1000)</f>
        <v>7.904556406164125E-3</v>
      </c>
      <c r="AC15" s="179">
        <f>Constants!$D$25/1000000000*Constants!$C$24*IF(ISBLANK(Design!$B$33),Design!$B$32,Design!$B$33)*1000000</f>
        <v>1.0624999999999999E-2</v>
      </c>
      <c r="AD15" s="179">
        <f t="shared" ref="AD15:AD18" ca="1" si="46">SUM(Z15:AC15)</f>
        <v>8.4654556406164108E-2</v>
      </c>
      <c r="AE15" s="179">
        <f t="shared" ref="AE15:AE18" ca="1" si="47">V15*W15*(1-X15/100)</f>
        <v>3.7197176772661988E-2</v>
      </c>
      <c r="AF15" s="179">
        <f ca="1">V15^2*IF(ISBLANK(Design!$B$43),Constants!$C$6,Design!$B$43)/1000*(1+(AI15-25)*(Constants!$C$36/100))</f>
        <v>3.1177788545674791E-3</v>
      </c>
      <c r="AG15" s="179">
        <f>0.5*Snubber!$B$16/1000000000000*$W$2^2*Design!$B$33*1000000</f>
        <v>1.0097999999999999E-2</v>
      </c>
      <c r="AH15" s="180">
        <f ca="1">$A15+AE15*Design!$B$19</f>
        <v>87.120239076041727</v>
      </c>
      <c r="AI15" s="180">
        <f ca="1">AD15*Design!$C$12+$A15</f>
        <v>87.878254917809585</v>
      </c>
      <c r="AJ15" s="180">
        <f ca="1">Constants!$D$22+Constants!$D$22*Constants!$C$23/100*(AI15-25)</f>
        <v>175.30260393424766</v>
      </c>
      <c r="AK15" s="179">
        <f ca="1">(1-Constants!$C$20/1000000000*Design!$B$33*1000000) * ($W$2+W15-V15*AJ15/1000) - (W15+V15*Design!$B$43/1000)</f>
        <v>11.452874900438704</v>
      </c>
      <c r="AL15" s="179">
        <f ca="1">IF(AK15&gt;Design!$C$29,Design!$C$29,AK15)</f>
        <v>4.9990521327014221</v>
      </c>
      <c r="AM15" s="179">
        <f t="shared" ref="AM15:AM18" ca="1" si="48">SUM(AD15:AG15)</f>
        <v>0.13506751203339357</v>
      </c>
      <c r="AN15" s="179">
        <f t="shared" ref="AN15:AN18" ca="1" si="49">AL15*V15</f>
        <v>1.2497630331753555</v>
      </c>
      <c r="AO15" s="354">
        <f t="shared" ref="AO15:AO18" ca="1" si="50">100*AN15/(AN15+AM15)</f>
        <v>90.246639742262943</v>
      </c>
      <c r="AP15" s="360">
        <v>0.25</v>
      </c>
      <c r="AQ15" s="361">
        <f ca="1">FORECAST(AP15, OFFSET(Design!$C$15:$C$17,MATCH(AP15,Design!$B$15:$B$17,1)-1,0,2), OFFSET(Design!$B$15:$B$17,MATCH(AP15,Design!$B$15:$B$17,1)-1,0,2))+(BB15-25)*Design!$B$18/1000</f>
        <v>0.26137531691847987</v>
      </c>
      <c r="AR15" s="193">
        <f ca="1">IF(100*(Design!$C$29+AQ15+AP15*IF(ISBLANK(Design!$B$43),Constants!$C$6,Design!$B$43)/1000*(1+Constants!$C$36/100*(BC15-25)))/($AQ$2+AQ15-AP15*BD15/1000)&gt;Design!$C$36,Design!$C$36,100*(Design!$C$29+AQ15+AP15*IF(ISBLANK(Design!$B$43),Constants!$C$6,Design!$B$43)/1000*(1+Constants!$C$36/100*(BC15-25)))/($AQ$2+AQ15-AP15*BD15/1000))</f>
        <v>32.514279639375722</v>
      </c>
      <c r="AS15" s="192">
        <f ca="1">($AQ$2-AP15*IF(ISBLANK(Design!$B$43),Constants!$C$6,Design!$B$43)/1000*(1+Constants!$C$36/100*(BC15-25))-Design!$C$29) / (IF(ISBLANK(Design!$B$42),Design!$B$40,Design!$B$42)/1000000) * AR15/100/(IF(ISBLANK(Design!$B$33),Design!$B$32,Design!$B$33)*1000000)</f>
        <v>0.8406610007999985</v>
      </c>
      <c r="AT15" s="192">
        <f>$AQ$2*Constants!$C$21/1000+IF(ISBLANK(Design!$B$33),Design!$B$32,Design!$B$33)*1000000*Constants!$D$25/1000000000*($AQ$2-Constants!$C$24)</f>
        <v>6.3375000000000001E-2</v>
      </c>
      <c r="AU15" s="192">
        <f>$AQ$2*AP15*($AQ$2/(Constants!$C$26*1000000000)*IF(ISBLANK(Design!$B$33),Design!$B$32,Design!$B$33)*1000000/2+$AQ$2/(Constants!$C$27*1000000000)*IF(ISBLANK(Design!$B$33),Design!$B$32,Design!$B$33)*1000000/2)</f>
        <v>3.7777777777777778E-2</v>
      </c>
      <c r="AV15" s="192">
        <f t="shared" ref="AV15:AV18" ca="1" si="51">IF($D$78,1,AR15/100*(AP15^2+AS15^2/12)*BD15/1000)</f>
        <v>6.9557666509768318E-3</v>
      </c>
      <c r="AW15" s="192">
        <f>Constants!$D$25/1000000000*Constants!$C$24*IF(ISBLANK(Design!$B$33),Design!$B$32,Design!$B$33)*1000000</f>
        <v>1.0624999999999999E-2</v>
      </c>
      <c r="AX15" s="192">
        <f t="shared" ref="AX15:AX18" ca="1" si="52">SUM(AT15:AW15)</f>
        <v>0.11873354442875461</v>
      </c>
      <c r="AY15" s="192">
        <f t="shared" ref="AY15:AY18" ca="1" si="53">AP15*AQ15*(1-AR15/100)</f>
        <v>4.4097753866825205E-2</v>
      </c>
      <c r="AZ15" s="192">
        <f ca="1">AP15^2*IF(ISBLANK(Design!$B$43),Constants!$C$6,Design!$B$43)/1000*(1+(BC15-25)*(Constants!$C$36/100))</f>
        <v>3.1291629405164256E-3</v>
      </c>
      <c r="BA15" s="192">
        <f>0.5*Snubber!$B$16/1000000000000*$AQ$2^2*Design!$B$33*1000000</f>
        <v>1.7951999999999999E-2</v>
      </c>
      <c r="BB15" s="193">
        <f ca="1">$A15+AY15*Design!$B$19</f>
        <v>87.513571970409032</v>
      </c>
      <c r="BC15" s="193">
        <f ca="1">AX15*Design!$C$12+$A15</f>
        <v>89.036940510577651</v>
      </c>
      <c r="BD15" s="193">
        <f ca="1">Constants!$D$22+Constants!$D$22*Constants!$C$23/100*(BC15-25)</f>
        <v>176.22955240846213</v>
      </c>
      <c r="BE15" s="192">
        <f ca="1">(1-Constants!$C$20/1000000000*Design!$B$33*1000000) * ($AQ$2+AQ15-AP15*BD15/1000) - (AQ15+AP15*Design!$B$43/1000)</f>
        <v>15.291168400521922</v>
      </c>
      <c r="BF15" s="192">
        <f ca="1">IF(BE15&gt;Design!$C$29,Design!$C$29,BE15)</f>
        <v>4.9990521327014221</v>
      </c>
      <c r="BG15" s="192">
        <f t="shared" ref="BG15:BG18" ca="1" si="54">SUM(AX15:BA15)</f>
        <v>0.18391246123609625</v>
      </c>
      <c r="BH15" s="192">
        <f t="shared" ref="BH15:BH18" ca="1" si="55">BF15*AP15</f>
        <v>1.2497630331753555</v>
      </c>
      <c r="BI15" s="362">
        <f t="shared" ref="BI15:BI18" ca="1" si="56">100*BH15/(BH15+BG15)</f>
        <v>87.171960324843567</v>
      </c>
    </row>
    <row r="16" spans="1:61" ht="12.75" customHeight="1" x14ac:dyDescent="0.25">
      <c r="A16" s="112">
        <f>Design!$D$13</f>
        <v>85</v>
      </c>
      <c r="B16" s="347">
        <f>B15+0.305</f>
        <v>0.55499999999999994</v>
      </c>
      <c r="C16" s="348">
        <f ca="1">FORECAST(B16, OFFSET(Design!$C$15:$C$17,MATCH(B16,Design!$B$15:$B$17,1)-1,0,2), OFFSET(Design!$B$15:$B$17,MATCH(B16,Design!$B$15:$B$17,1)-1,0,2))+(N16-25)*Design!$B$18/1000</f>
        <v>0.28445025095485155</v>
      </c>
      <c r="D16" s="166">
        <f ca="1">IF(100*(Design!$C$29+C16+B16*IF(ISBLANK(Design!$B$43),Constants!$C$6,Design!$B$43)/1000*(1+Constants!$C$36/100*(O16-25)))/($C$2+C16-B16*P16/1000)&gt;Design!$C$36,Design!$C$36,100*(Design!$C$29+C16+B16*IF(ISBLANK(Design!$B$43),Constants!$C$6,Design!$B$43)/1000*(1+Constants!$C$36/100*(O16-25)))/($C$2+C16-B16*P16/1000))</f>
        <v>64.873803861615556</v>
      </c>
      <c r="E16" s="165">
        <f ca="1">IF(($C$2-B16*IF(ISBLANK(Design!$B$43),Constants!$C$6,Design!$B$43)/1000*(1+Constants!$C$36/100*(O16-25))-Design!$C$29) / (IF(ISBLANK(Design!$B$42),Design!$B$40,Design!$B$42)/1000000) * D16/100/(IF(ISBLANK(Design!$B$33),Design!$B$32,Design!$B$33)*1000000)&lt;0,0,($C$2-B16*IF(ISBLANK(Design!$B$43),Constants!$C$6,Design!$B$43)/1000*(1+Constants!$C$36/100*(O16-25))-Design!$C$29) / (IF(ISBLANK(Design!$B$42),Design!$B$40,Design!$B$42)/1000000) * D16/100/(IF(ISBLANK(Design!$B$33),Design!$B$32,Design!$B$33)*1000000))</f>
        <v>0.45384664175262379</v>
      </c>
      <c r="F16" s="165">
        <f>$C$2*Constants!$C$21/1000+IF(ISBLANK(Design!$B$33),Design!$B$32,Design!$B$33)*1000000*Constants!$D$25/1000000000*($C$2-Constants!$C$24)</f>
        <v>2.6375000000000003E-2</v>
      </c>
      <c r="G16" s="165">
        <f>$C$2*B16*($C$2/(Constants!$C$26*1000000000)*IF(ISBLANK(Design!$B$33),Design!$B$32,Design!$B$33)*1000000/2+$C$2/(Constants!$C$27*1000000000)*IF(ISBLANK(Design!$B$33),Design!$B$32,Design!$B$33)*1000000/2)</f>
        <v>2.0966666666666665E-2</v>
      </c>
      <c r="H16" s="165">
        <f t="shared" ca="1" si="39"/>
        <v>3.7041766722097393E-2</v>
      </c>
      <c r="I16" s="165">
        <f>Constants!$D$25/1000000000*Constants!$C$24*IF(ISBLANK(Design!$B$33),Design!$B$32,Design!$B$33)*1000000</f>
        <v>1.0624999999999999E-2</v>
      </c>
      <c r="J16" s="165">
        <f t="shared" ca="1" si="40"/>
        <v>9.5008433388764052E-2</v>
      </c>
      <c r="K16" s="165">
        <f t="shared" ca="1" si="41"/>
        <v>5.5453686951922994E-2</v>
      </c>
      <c r="L16" s="165">
        <f ca="1">B16^2*IF(ISBLANK(Design!$B$43),Constants!$C$6,Design!$B$43)/1000*(1+(O16-25)*(Constants!$C$36/100))</f>
        <v>1.5382707226057958E-2</v>
      </c>
      <c r="M16" s="165">
        <f>0.5*Snubber!$B$16/1000000000000*$C$2^2*Design!$B$33*1000000</f>
        <v>4.4879999999999998E-3</v>
      </c>
      <c r="N16" s="166">
        <f ca="1">$A16+K16*Design!$B$19</f>
        <v>88.160860156259616</v>
      </c>
      <c r="O16" s="166">
        <f ca="1">J16*Design!$C$12+A16</f>
        <v>88.230286735217973</v>
      </c>
      <c r="P16" s="166">
        <f ca="1">Constants!$D$22+Constants!$D$22*Constants!$C$23/100*(O16-25)</f>
        <v>175.58422938817438</v>
      </c>
      <c r="Q16" s="165">
        <f ca="1">(1-Constants!$C$20/1000000000*Design!$B$33*1000000) * ($C$2+C16-B16*P16/1000) - (C16+B16*Design!$B$43/1000)</f>
        <v>7.5498005871674199</v>
      </c>
      <c r="R16" s="165">
        <f ca="1">IF(Q16&gt;Design!$C$29,Design!$C$29,Q16)</f>
        <v>4.9990521327014221</v>
      </c>
      <c r="S16" s="165">
        <f t="shared" ca="1" si="42"/>
        <v>0.17033282756674498</v>
      </c>
      <c r="T16" s="165">
        <f t="shared" ca="1" si="43"/>
        <v>2.774473933649289</v>
      </c>
      <c r="U16" s="349">
        <f t="shared" ca="1" si="44"/>
        <v>94.215823265211199</v>
      </c>
      <c r="V16" s="355">
        <f>V15+0.305</f>
        <v>0.55499999999999994</v>
      </c>
      <c r="W16" s="356">
        <f ca="1">FORECAST(V16, OFFSET(Design!$C$15:$C$17,MATCH(V16,Design!$B$15:$B$17,1)-1,0,2), OFFSET(Design!$B$15:$B$17,MATCH(V16,Design!$B$15:$B$17,1)-1,0,2))+(AH16-25)*Design!$B$18/1000</f>
        <v>0.2825672725514875</v>
      </c>
      <c r="X16" s="184">
        <f ca="1">IF(100*(Design!$C$29+W16+V16*IF(ISBLANK(Design!$B$43),Constants!$C$6,Design!$B$43)/1000*(1+Constants!$C$36/100*(AI16-25)))/($W$2+W16-V16*AJ16/1000)&gt;Design!$C$36,Design!$C$36,100*(Design!$C$29+W16+V16*IF(ISBLANK(Design!$B$43),Constants!$C$6,Design!$B$43)/1000*(1+Constants!$C$36/100*(AI16-25)))/($W$2+W16-V16*AJ16/1000))</f>
        <v>43.575011528952949</v>
      </c>
      <c r="Y16" s="183">
        <f ca="1">($W$2-V16*IF(ISBLANK(Design!$B$43),Constants!$C$6,Design!$B$43)/1000*(1+Constants!$C$36/100*(AI16-25))-Design!$C$29) / (IF(ISBLANK(Design!$B$42),Design!$B$40,Design!$B$42)/1000000) * X16/100/(IF(ISBLANK(Design!$B$33),Design!$B$32,Design!$B$33)*1000000)</f>
        <v>0.71495095572998146</v>
      </c>
      <c r="Z16" s="183">
        <f>$W$2*Constants!$C$21/1000+IF(ISBLANK(Design!$B$33),Design!$B$32,Design!$B$33)*1000000*Constants!$D$25/1000000000*($W$2-Constants!$C$24)</f>
        <v>4.4874999999999998E-2</v>
      </c>
      <c r="AA16" s="183">
        <f>$W$2*V16*($W$2/(Constants!$C$26*1000000000)*IF(ISBLANK(Design!$B$33),Design!$B$32,Design!$B$33)*1000000/2+$W$2/(Constants!$C$27*1000000000)*IF(ISBLANK(Design!$B$33),Design!$B$32,Design!$B$33)*1000000/2)</f>
        <v>4.7174999999999995E-2</v>
      </c>
      <c r="AB16" s="183">
        <f t="shared" ca="1" si="45"/>
        <v>2.6970268844586472E-2</v>
      </c>
      <c r="AC16" s="183">
        <f>Constants!$D$25/1000000000*Constants!$C$24*IF(ISBLANK(Design!$B$33),Design!$B$32,Design!$B$33)*1000000</f>
        <v>1.0624999999999999E-2</v>
      </c>
      <c r="AD16" s="183">
        <f t="shared" ca="1" si="46"/>
        <v>0.12964526884458646</v>
      </c>
      <c r="AE16" s="183">
        <f t="shared" ca="1" si="47"/>
        <v>8.8488395782871529E-2</v>
      </c>
      <c r="AF16" s="183">
        <f ca="1">V16^2*IF(ISBLANK(Design!$B$43),Constants!$C$6,Design!$B$43)/1000*(1+(AI16-25)*(Constants!$C$36/100))</f>
        <v>1.5439730957340352E-2</v>
      </c>
      <c r="AG16" s="183">
        <f>0.5*Snubber!$B$16/1000000000000*$W$2^2*Design!$B$33*1000000</f>
        <v>1.0097999999999999E-2</v>
      </c>
      <c r="AH16" s="184">
        <f ca="1">$A16+AE16*Design!$B$19</f>
        <v>90.04383855962368</v>
      </c>
      <c r="AI16" s="184">
        <f ca="1">AD16*Design!$C$12+$A16</f>
        <v>89.407939140715939</v>
      </c>
      <c r="AJ16" s="184">
        <f ca="1">Constants!$D$22+Constants!$D$22*Constants!$C$23/100*(AI16-25)</f>
        <v>176.52635131257276</v>
      </c>
      <c r="AK16" s="183">
        <f ca="1">(1-Constants!$C$20/1000000000*Design!$B$33*1000000) * ($W$2+W16-V16*AJ16/1000) - (W16+V16*Design!$B$43/1000)</f>
        <v>11.387874845938262</v>
      </c>
      <c r="AL16" s="183">
        <f ca="1">IF(AK16&gt;Design!$C$29,Design!$C$29,AK16)</f>
        <v>4.9990521327014221</v>
      </c>
      <c r="AM16" s="183">
        <f t="shared" ca="1" si="48"/>
        <v>0.24367139558479833</v>
      </c>
      <c r="AN16" s="183">
        <f t="shared" ca="1" si="49"/>
        <v>2.774473933649289</v>
      </c>
      <c r="AO16" s="357">
        <f t="shared" ca="1" si="50"/>
        <v>91.926452539426435</v>
      </c>
      <c r="AP16" s="363">
        <f>AP5</f>
        <v>0.55499999999999994</v>
      </c>
      <c r="AQ16" s="364">
        <f ca="1">FORECAST(AP16, OFFSET(Design!$C$15:$C$17,MATCH(AP16,Design!$B$15:$B$17,1)-1,0,2), OFFSET(Design!$B$15:$B$17,MATCH(AP16,Design!$B$15:$B$17,1)-1,0,2))+(BB16-25)*Design!$B$18/1000</f>
        <v>0.28162449345783558</v>
      </c>
      <c r="AR16" s="196">
        <f ca="1">IF(100*(Design!$C$29+AQ16+AP16*IF(ISBLANK(Design!$B$43),Constants!$C$6,Design!$B$43)/1000*(1+Constants!$C$36/100*(BC16-25)))/($AQ$2+AQ16-AP16*BD16/1000)&gt;Design!$C$36,Design!$C$36,100*(Design!$C$29+AQ16+AP16*IF(ISBLANK(Design!$B$43),Constants!$C$6,Design!$B$43)/1000*(1+Constants!$C$36/100*(BC16-25)))/($AQ$2+AQ16-AP16*BD16/1000))</f>
        <v>32.80402503765351</v>
      </c>
      <c r="AS16" s="195">
        <f ca="1">($AQ$2-AP16*IF(ISBLANK(Design!$B$43),Constants!$C$6,Design!$B$43)/1000*(1+Constants!$C$36/100*(BC16-25))-Design!$C$29) / (IF(ISBLANK(Design!$B$42),Design!$B$40,Design!$B$42)/1000000) * AR16/100/(IF(ISBLANK(Design!$B$33),Design!$B$32,Design!$B$33)*1000000)</f>
        <v>0.84695987885799984</v>
      </c>
      <c r="AT16" s="195">
        <f>$AQ$2*Constants!$C$21/1000+IF(ISBLANK(Design!$B$33),Design!$B$32,Design!$B$33)*1000000*Constants!$D$25/1000000000*($AQ$2-Constants!$C$24)</f>
        <v>6.3375000000000001E-2</v>
      </c>
      <c r="AU16" s="195">
        <f>$AQ$2*AP16*($AQ$2/(Constants!$C$26*1000000000)*IF(ISBLANK(Design!$B$33),Design!$B$32,Design!$B$33)*1000000/2+$AQ$2/(Constants!$C$27*1000000000)*IF(ISBLANK(Design!$B$33),Design!$B$32,Design!$B$33)*1000000/2)</f>
        <v>8.3866666666666659E-2</v>
      </c>
      <c r="AV16" s="195">
        <f t="shared" ca="1" si="51"/>
        <v>2.1461717851982847E-2</v>
      </c>
      <c r="AW16" s="195">
        <f>Constants!$D$25/1000000000*Constants!$C$24*IF(ISBLANK(Design!$B$33),Design!$B$32,Design!$B$33)*1000000</f>
        <v>1.0624999999999999E-2</v>
      </c>
      <c r="AX16" s="195">
        <f t="shared" ca="1" si="52"/>
        <v>0.17932838451864949</v>
      </c>
      <c r="AY16" s="195">
        <f t="shared" ca="1" si="53"/>
        <v>0.10502837988202807</v>
      </c>
      <c r="AZ16" s="195">
        <f ca="1">AP16^2*IF(ISBLANK(Design!$B$43),Constants!$C$6,Design!$B$43)/1000*(1+(BC16-25)*(Constants!$C$36/100))</f>
        <v>1.5521525861527923E-2</v>
      </c>
      <c r="BA16" s="195">
        <f>0.5*Snubber!$B$16/1000000000000*$AQ$2^2*Design!$B$33*1000000</f>
        <v>1.7951999999999999E-2</v>
      </c>
      <c r="BB16" s="196">
        <f ca="1">$A16+AY16*Design!$B$19</f>
        <v>90.986617653275601</v>
      </c>
      <c r="BC16" s="196">
        <f ca="1">AX16*Design!$C$12+$A16</f>
        <v>91.097165073634088</v>
      </c>
      <c r="BD16" s="196">
        <f ca="1">Constants!$D$22+Constants!$D$22*Constants!$C$23/100*(BC16-25)</f>
        <v>177.87773205890727</v>
      </c>
      <c r="BE16" s="195">
        <f ca="1">(1-Constants!$C$20/1000000000*Design!$B$33*1000000) * ($AQ$2+AQ16-AP16*BD16/1000) - (AQ16+AP16*Design!$B$43/1000)</f>
        <v>15.225693176238639</v>
      </c>
      <c r="BF16" s="195">
        <f ca="1">IF(BE16&gt;Design!$C$29,Design!$C$29,BE16)</f>
        <v>4.9990521327014221</v>
      </c>
      <c r="BG16" s="195">
        <f t="shared" ca="1" si="54"/>
        <v>0.31783029026220555</v>
      </c>
      <c r="BH16" s="195">
        <f t="shared" ca="1" si="55"/>
        <v>2.774473933649289</v>
      </c>
      <c r="BI16" s="365">
        <f t="shared" ca="1" si="56"/>
        <v>89.721894508161355</v>
      </c>
    </row>
    <row r="17" spans="1:61" ht="12.75" customHeight="1" x14ac:dyDescent="0.25">
      <c r="A17" s="112">
        <f>Design!$D$13</f>
        <v>85</v>
      </c>
      <c r="B17" s="347">
        <f t="shared" ref="B17:B24" si="57">B16+0.305</f>
        <v>0.85999999999999988</v>
      </c>
      <c r="C17" s="348">
        <f ca="1">FORECAST(B17, OFFSET(Design!$C$15:$C$17,MATCH(B17,Design!$B$15:$B$17,1)-1,0,2), OFFSET(Design!$B$15:$B$17,MATCH(B17,Design!$B$15:$B$17,1)-1,0,2))+(N17-25)*Design!$B$18/1000</f>
        <v>0.30616974289129567</v>
      </c>
      <c r="D17" s="166">
        <f ca="1">IF(100*(Design!$C$29+C17+B17*IF(ISBLANK(Design!$B$43),Constants!$C$6,Design!$B$43)/1000*(1+Constants!$C$36/100*(O17-25)))/($C$2+C17-B17*P17/1000)&gt;Design!$C$36,Design!$C$36,100*(Design!$C$29+C17+B17*IF(ISBLANK(Design!$B$43),Constants!$C$6,Design!$B$43)/1000*(1+Constants!$C$36/100*(O17-25)))/($C$2+C17-B17*P17/1000))</f>
        <v>65.59542385488119</v>
      </c>
      <c r="E17" s="165">
        <f ca="1">IF(($C$2-B17*IF(ISBLANK(Design!$B$43),Constants!$C$6,Design!$B$43)/1000*(1+Constants!$C$36/100*(O17-25))-Design!$C$29) / (IF(ISBLANK(Design!$B$42),Design!$B$40,Design!$B$42)/1000000) * D17/100/(IF(ISBLANK(Design!$B$33),Design!$B$32,Design!$B$33)*1000000)&lt;0,0,($C$2-B17*IF(ISBLANK(Design!$B$43),Constants!$C$6,Design!$B$43)/1000*(1+Constants!$C$36/100*(O17-25))-Design!$C$29) / (IF(ISBLANK(Design!$B$42),Design!$B$40,Design!$B$42)/1000000) * D17/100/(IF(ISBLANK(Design!$B$33),Design!$B$32,Design!$B$33)*1000000))</f>
        <v>0.45649974837105178</v>
      </c>
      <c r="F17" s="165">
        <f>$C$2*Constants!$C$21/1000+IF(ISBLANK(Design!$B$33),Design!$B$32,Design!$B$33)*1000000*Constants!$D$25/1000000000*($C$2-Constants!$C$24)</f>
        <v>2.6375000000000003E-2</v>
      </c>
      <c r="G17" s="165">
        <f>$C$2*B17*($C$2/(Constants!$C$26*1000000000)*IF(ISBLANK(Design!$B$33),Design!$B$32,Design!$B$33)*1000000/2+$C$2/(Constants!$C$27*1000000000)*IF(ISBLANK(Design!$B$33),Design!$B$32,Design!$B$33)*1000000/2)</f>
        <v>3.2488888888888887E-2</v>
      </c>
      <c r="H17" s="165">
        <f t="shared" ca="1" si="39"/>
        <v>8.8027948490107491E-2</v>
      </c>
      <c r="I17" s="165">
        <f>Constants!$D$25/1000000000*Constants!$C$24*IF(ISBLANK(Design!$B$33),Design!$B$32,Design!$B$33)*1000000</f>
        <v>1.0624999999999999E-2</v>
      </c>
      <c r="J17" s="165">
        <f t="shared" ca="1" si="40"/>
        <v>0.15751683737899638</v>
      </c>
      <c r="K17" s="165">
        <f t="shared" ca="1" si="41"/>
        <v>9.0589306000661257E-2</v>
      </c>
      <c r="L17" s="165">
        <f ca="1">B17^2*IF(ISBLANK(Design!$B$43),Constants!$C$6,Design!$B$43)/1000*(1+(O17-25)*(Constants!$C$36/100))</f>
        <v>3.7182573475996239E-2</v>
      </c>
      <c r="M17" s="165">
        <f>0.5*Snubber!$B$16/1000000000000*$C$2^2*Design!$B$33*1000000</f>
        <v>4.4879999999999998E-3</v>
      </c>
      <c r="N17" s="166">
        <f ca="1">$A17+K17*Design!$B$19</f>
        <v>90.163590442037687</v>
      </c>
      <c r="O17" s="166">
        <f ca="1">J17*Design!$C$12+A17</f>
        <v>90.355572470885875</v>
      </c>
      <c r="P17" s="166">
        <f ca="1">Constants!$D$22+Constants!$D$22*Constants!$C$23/100*(O17-25)</f>
        <v>177.28445797670869</v>
      </c>
      <c r="Q17" s="165">
        <f ca="1">(1-Constants!$C$20/1000000000*Design!$B$33*1000000) * ($C$2+C17-B17*P17/1000) - (C17+B17*Design!$B$43/1000)</f>
        <v>7.4839295223628906</v>
      </c>
      <c r="R17" s="165">
        <f ca="1">IF(Q17&gt;Design!$C$29,Design!$C$29,Q17)</f>
        <v>4.9990521327014221</v>
      </c>
      <c r="S17" s="165">
        <f t="shared" ca="1" si="42"/>
        <v>0.28977671685565387</v>
      </c>
      <c r="T17" s="165">
        <f t="shared" ca="1" si="43"/>
        <v>4.2991848341232224</v>
      </c>
      <c r="U17" s="349">
        <f t="shared" ca="1" si="44"/>
        <v>93.685353131933709</v>
      </c>
      <c r="V17" s="355">
        <f t="shared" ref="V17:V24" si="58">V16+0.305</f>
        <v>0.85999999999999988</v>
      </c>
      <c r="W17" s="356">
        <f ca="1">FORECAST(V17, OFFSET(Design!$C$15:$C$17,MATCH(V17,Design!$B$15:$B$17,1)-1,0,2), OFFSET(Design!$B$15:$B$17,MATCH(V17,Design!$B$15:$B$17,1)-1,0,2))+(AH17-25)*Design!$B$18/1000</f>
        <v>0.30301465914129083</v>
      </c>
      <c r="X17" s="184">
        <f ca="1">IF(100*(Design!$C$29+W17+V17*IF(ISBLANK(Design!$B$43),Constants!$C$6,Design!$B$43)/1000*(1+Constants!$C$36/100*(AI17-25)))/($W$2+W17-V17*AJ17/1000)&gt;Design!$C$36,Design!$C$36,100*(Design!$C$29+W17+V17*IF(ISBLANK(Design!$B$43),Constants!$C$6,Design!$B$43)/1000*(1+Constants!$C$36/100*(AI17-25)))/($W$2+W17-V17*AJ17/1000))</f>
        <v>43.996242161415623</v>
      </c>
      <c r="Y17" s="183">
        <f ca="1">($W$2-V17*IF(ISBLANK(Design!$B$43),Constants!$C$6,Design!$B$43)/1000*(1+Constants!$C$36/100*(AI17-25))-Design!$C$29) / (IF(ISBLANK(Design!$B$42),Design!$B$40,Design!$B$42)/1000000) * X17/100/(IF(ISBLANK(Design!$B$33),Design!$B$32,Design!$B$33)*1000000)</f>
        <v>0.72025090419281956</v>
      </c>
      <c r="Z17" s="183">
        <f>$W$2*Constants!$C$21/1000+IF(ISBLANK(Design!$B$33),Design!$B$32,Design!$B$33)*1000000*Constants!$D$25/1000000000*($W$2-Constants!$C$24)</f>
        <v>4.4874999999999998E-2</v>
      </c>
      <c r="AA17" s="183">
        <f>$W$2*V17*($W$2/(Constants!$C$26*1000000000)*IF(ISBLANK(Design!$B$33),Design!$B$32,Design!$B$33)*1000000/2+$W$2/(Constants!$C$27*1000000000)*IF(ISBLANK(Design!$B$33),Design!$B$32,Design!$B$33)*1000000/2)</f>
        <v>7.3099999999999984E-2</v>
      </c>
      <c r="AB17" s="183">
        <f t="shared" ca="1" si="45"/>
        <v>6.1363538479562878E-2</v>
      </c>
      <c r="AC17" s="183">
        <f>Constants!$D$25/1000000000*Constants!$C$24*IF(ISBLANK(Design!$B$33),Design!$B$32,Design!$B$33)*1000000</f>
        <v>1.0624999999999999E-2</v>
      </c>
      <c r="AD17" s="183">
        <f t="shared" ca="1" si="46"/>
        <v>0.18996353847956285</v>
      </c>
      <c r="AE17" s="183">
        <f t="shared" ca="1" si="47"/>
        <v>0.14594165249197433</v>
      </c>
      <c r="AF17" s="183">
        <f ca="1">V17^2*IF(ISBLANK(Design!$B$43),Constants!$C$6,Design!$B$43)/1000*(1+(AI17-25)*(Constants!$C$36/100))</f>
        <v>3.7310835742296322E-2</v>
      </c>
      <c r="AG17" s="183">
        <f>0.5*Snubber!$B$16/1000000000000*$W$2^2*Design!$B$33*1000000</f>
        <v>1.0097999999999999E-2</v>
      </c>
      <c r="AH17" s="184">
        <f ca="1">$A17+AE17*Design!$B$19</f>
        <v>93.318674192042536</v>
      </c>
      <c r="AI17" s="184">
        <f ca="1">AD17*Design!$C$12+$A17</f>
        <v>91.458760308305131</v>
      </c>
      <c r="AJ17" s="184">
        <f ca="1">Constants!$D$22+Constants!$D$22*Constants!$C$23/100*(AI17-25)</f>
        <v>178.16700824664412</v>
      </c>
      <c r="AK17" s="183">
        <f ca="1">(1-Constants!$C$20/1000000000*Design!$B$33*1000000) * ($W$2+W17-V17*AJ17/1000) - (W17+V17*Design!$B$43/1000)</f>
        <v>11.321828559988898</v>
      </c>
      <c r="AL17" s="183">
        <f ca="1">IF(AK17&gt;Design!$C$29,Design!$C$29,AK17)</f>
        <v>4.9990521327014221</v>
      </c>
      <c r="AM17" s="183">
        <f t="shared" ca="1" si="48"/>
        <v>0.38331402671383347</v>
      </c>
      <c r="AN17" s="183">
        <f t="shared" ca="1" si="49"/>
        <v>4.2991848341232224</v>
      </c>
      <c r="AO17" s="357">
        <f t="shared" ca="1" si="50"/>
        <v>91.81390026765942</v>
      </c>
      <c r="AP17" s="363">
        <f t="shared" ref="AP17:AP24" si="59">AP6</f>
        <v>0.85999999999999988</v>
      </c>
      <c r="AQ17" s="364">
        <f ca="1">FORECAST(AP17, OFFSET(Design!$C$15:$C$17,MATCH(AP17,Design!$B$15:$B$17,1)-1,0,2), OFFSET(Design!$B$15:$B$17,MATCH(AP17,Design!$B$15:$B$17,1)-1,0,2))+(BB17-25)*Design!$B$18/1000</f>
        <v>0.30144717790070774</v>
      </c>
      <c r="AR17" s="196">
        <f ca="1">IF(100*(Design!$C$29+AQ17+AP17*IF(ISBLANK(Design!$B$43),Constants!$C$6,Design!$B$43)/1000*(1+Constants!$C$36/100*(BC17-25)))/($AQ$2+AQ17-AP17*BD17/1000)&gt;Design!$C$36,Design!$C$36,100*(Design!$C$29+AQ17+AP17*IF(ISBLANK(Design!$B$43),Constants!$C$6,Design!$B$43)/1000*(1+Constants!$C$36/100*(BC17-25)))/($AQ$2+AQ17-AP17*BD17/1000))</f>
        <v>33.097414007195439</v>
      </c>
      <c r="AS17" s="195">
        <f ca="1">($AQ$2-AP17*IF(ISBLANK(Design!$B$43),Constants!$C$6,Design!$B$43)/1000*(1+Constants!$C$36/100*(BC17-25))-Design!$C$29) / (IF(ISBLANK(Design!$B$42),Design!$B$40,Design!$B$42)/1000000) * AR17/100/(IF(ISBLANK(Design!$B$33),Design!$B$32,Design!$B$33)*1000000)</f>
        <v>0.85331206901300682</v>
      </c>
      <c r="AT17" s="195">
        <f>$AQ$2*Constants!$C$21/1000+IF(ISBLANK(Design!$B$33),Design!$B$32,Design!$B$33)*1000000*Constants!$D$25/1000000000*($AQ$2-Constants!$C$24)</f>
        <v>6.3375000000000001E-2</v>
      </c>
      <c r="AU17" s="195">
        <f>$AQ$2*AP17*($AQ$2/(Constants!$C$26*1000000000)*IF(ISBLANK(Design!$B$33),Design!$B$32,Design!$B$33)*1000000/2+$AQ$2/(Constants!$C$27*1000000000)*IF(ISBLANK(Design!$B$33),Design!$B$32,Design!$B$33)*1000000/2)</f>
        <v>0.12995555555555555</v>
      </c>
      <c r="AV17" s="195">
        <f t="shared" ca="1" si="51"/>
        <v>4.7635352768467969E-2</v>
      </c>
      <c r="AW17" s="195">
        <f>Constants!$D$25/1000000000*Constants!$C$24*IF(ISBLANK(Design!$B$33),Design!$B$32,Design!$B$33)*1000000</f>
        <v>1.0624999999999999E-2</v>
      </c>
      <c r="AX17" s="195">
        <f t="shared" ca="1" si="52"/>
        <v>0.25159090832402353</v>
      </c>
      <c r="AY17" s="195">
        <f t="shared" ca="1" si="53"/>
        <v>0.17344132337939702</v>
      </c>
      <c r="AZ17" s="195">
        <f ca="1">AP17^2*IF(ISBLANK(Design!$B$43),Constants!$C$6,Design!$B$43)/1000*(1+(BC17-25)*(Constants!$C$36/100))</f>
        <v>3.7554449603004844E-2</v>
      </c>
      <c r="BA17" s="195">
        <f>0.5*Snubber!$B$16/1000000000000*$AQ$2^2*Design!$B$33*1000000</f>
        <v>1.7951999999999999E-2</v>
      </c>
      <c r="BB17" s="196">
        <f ca="1">$A17+AY17*Design!$B$19</f>
        <v>94.886155432625628</v>
      </c>
      <c r="BC17" s="196">
        <f ca="1">AX17*Design!$C$12+$A17</f>
        <v>93.554090883016798</v>
      </c>
      <c r="BD17" s="196">
        <f ca="1">Constants!$D$22+Constants!$D$22*Constants!$C$23/100*(BC17-25)</f>
        <v>179.84327270641344</v>
      </c>
      <c r="BE17" s="195">
        <f ca="1">(1-Constants!$C$20/1000000000*Design!$B$33*1000000) * ($AQ$2+AQ17-AP17*BD17/1000) - (AQ17+AP17*Design!$B$43/1000)</f>
        <v>15.159008463701291</v>
      </c>
      <c r="BF17" s="195">
        <f ca="1">IF(BE17&gt;Design!$C$29,Design!$C$29,BE17)</f>
        <v>4.9990521327014221</v>
      </c>
      <c r="BG17" s="195">
        <f t="shared" ca="1" si="54"/>
        <v>0.48053868130642541</v>
      </c>
      <c r="BH17" s="195">
        <f t="shared" ca="1" si="55"/>
        <v>4.2991848341232224</v>
      </c>
      <c r="BI17" s="365">
        <f t="shared" ca="1" si="56"/>
        <v>89.946307987163351</v>
      </c>
    </row>
    <row r="18" spans="1:61" ht="12.75" customHeight="1" x14ac:dyDescent="0.25">
      <c r="A18" s="112">
        <f>Design!$D$13</f>
        <v>85</v>
      </c>
      <c r="B18" s="347">
        <f t="shared" si="57"/>
        <v>1.1649999999999998</v>
      </c>
      <c r="C18" s="348">
        <f ca="1">FORECAST(B18, OFFSET(Design!$C$15:$C$17,MATCH(B18,Design!$B$15:$B$17,1)-1,0,2), OFFSET(Design!$B$15:$B$17,MATCH(B18,Design!$B$15:$B$17,1)-1,0,2))+(N18-25)*Design!$B$18/1000</f>
        <v>0.32773050212342808</v>
      </c>
      <c r="D18" s="166">
        <f ca="1">IF(100*(Design!$C$29+C18+B18*IF(ISBLANK(Design!$B$43),Constants!$C$6,Design!$B$43)/1000*(1+Constants!$C$36/100*(O18-25)))/($C$2+C18-B18*P18/1000)&gt;Design!$C$36,Design!$C$36,100*(Design!$C$29+C18+B18*IF(ISBLANK(Design!$B$43),Constants!$C$6,Design!$B$43)/1000*(1+Constants!$C$36/100*(O18-25)))/($C$2+C18-B18*P18/1000))</f>
        <v>66.341624394598668</v>
      </c>
      <c r="E18" s="165">
        <f ca="1">IF(($C$2-B18*IF(ISBLANK(Design!$B$43),Constants!$C$6,Design!$B$43)/1000*(1+Constants!$C$36/100*(O18-25))-Design!$C$29) / (IF(ISBLANK(Design!$B$42),Design!$B$40,Design!$B$42)/1000000) * D18/100/(IF(ISBLANK(Design!$B$33),Design!$B$32,Design!$B$33)*1000000)&lt;0,0,($C$2-B18*IF(ISBLANK(Design!$B$43),Constants!$C$6,Design!$B$43)/1000*(1+Constants!$C$36/100*(O18-25))-Design!$C$29) / (IF(ISBLANK(Design!$B$42),Design!$B$40,Design!$B$42)/1000000) * D18/100/(IF(ISBLANK(Design!$B$33),Design!$B$32,Design!$B$33)*1000000))</f>
        <v>0.45921435746391009</v>
      </c>
      <c r="F18" s="165">
        <f>$C$2*Constants!$C$21/1000+IF(ISBLANK(Design!$B$33),Design!$B$32,Design!$B$33)*1000000*Constants!$D$25/1000000000*($C$2-Constants!$C$24)</f>
        <v>2.6375000000000003E-2</v>
      </c>
      <c r="G18" s="165">
        <f>$C$2*B18*($C$2/(Constants!$C$26*1000000000)*IF(ISBLANK(Design!$B$33),Design!$B$32,Design!$B$33)*1000000/2+$C$2/(Constants!$C$27*1000000000)*IF(ISBLANK(Design!$B$33),Design!$B$32,Design!$B$33)*1000000/2)</f>
        <v>4.4011111111111105E-2</v>
      </c>
      <c r="H18" s="165">
        <f t="shared" ca="1" si="39"/>
        <v>0.16386181085496576</v>
      </c>
      <c r="I18" s="165">
        <f>Constants!$D$25/1000000000*Constants!$C$24*IF(ISBLANK(Design!$B$33),Design!$B$32,Design!$B$33)*1000000</f>
        <v>1.0624999999999999E-2</v>
      </c>
      <c r="J18" s="165">
        <f t="shared" ca="1" si="40"/>
        <v>0.24487292196607685</v>
      </c>
      <c r="K18" s="165">
        <f t="shared" ca="1" si="41"/>
        <v>0.12850970933556946</v>
      </c>
      <c r="L18" s="165">
        <f ca="1">B18^2*IF(ISBLANK(Design!$B$43),Constants!$C$6,Design!$B$43)/1000*(1+(O18-25)*(Constants!$C$36/100))</f>
        <v>6.8866677927819531E-2</v>
      </c>
      <c r="M18" s="165">
        <f>0.5*Snubber!$B$16/1000000000000*$C$2^2*Design!$B$33*1000000</f>
        <v>4.4879999999999998E-3</v>
      </c>
      <c r="N18" s="166">
        <f ca="1">$A18+K18*Design!$B$19</f>
        <v>92.325053432127461</v>
      </c>
      <c r="O18" s="166">
        <f ca="1">J18*Design!$C$12+A18</f>
        <v>93.325679346846613</v>
      </c>
      <c r="P18" s="166">
        <f ca="1">Constants!$D$22+Constants!$D$22*Constants!$C$23/100*(O18-25)</f>
        <v>179.66054347747729</v>
      </c>
      <c r="Q18" s="165">
        <f ca="1">(1-Constants!$C$20/1000000000*Design!$B$33*1000000) * ($C$2+C18-B18*P18/1000) - (C18+B18*Design!$B$43/1000)</f>
        <v>7.4163140183514873</v>
      </c>
      <c r="R18" s="165">
        <f ca="1">IF(Q18&gt;Design!$C$29,Design!$C$29,Q18)</f>
        <v>4.9990521327014221</v>
      </c>
      <c r="S18" s="165">
        <f t="shared" ca="1" si="42"/>
        <v>0.44673730922946581</v>
      </c>
      <c r="T18" s="165">
        <f t="shared" ca="1" si="43"/>
        <v>5.8238957345971558</v>
      </c>
      <c r="U18" s="349">
        <f t="shared" ca="1" si="44"/>
        <v>92.875722337647005</v>
      </c>
      <c r="V18" s="355">
        <f t="shared" si="58"/>
        <v>1.1649999999999998</v>
      </c>
      <c r="W18" s="356">
        <f ca="1">FORECAST(V18, OFFSET(Design!$C$15:$C$17,MATCH(V18,Design!$B$15:$B$17,1)-1,0,2), OFFSET(Design!$B$15:$B$17,MATCH(V18,Design!$B$15:$B$17,1)-1,0,2))+(AH18-25)*Design!$B$18/1000</f>
        <v>0.32313085292235944</v>
      </c>
      <c r="X18" s="184">
        <f ca="1">IF(100*(Design!$C$29+W18+V18*IF(ISBLANK(Design!$B$43),Constants!$C$6,Design!$B$43)/1000*(1+Constants!$C$36/100*(AI18-25)))/($W$2+W18-V18*AJ18/1000)&gt;Design!$C$36,Design!$C$36,100*(Design!$C$29+W18+V18*IF(ISBLANK(Design!$B$43),Constants!$C$6,Design!$B$43)/1000*(1+Constants!$C$36/100*(AI18-25)))/($W$2+W18-V18*AJ18/1000))</f>
        <v>44.426423161928092</v>
      </c>
      <c r="Y18" s="183">
        <f ca="1">($W$2-V18*IF(ISBLANK(Design!$B$43),Constants!$C$6,Design!$B$43)/1000*(1+Constants!$C$36/100*(AI18-25))-Design!$C$29) / (IF(ISBLANK(Design!$B$42),Design!$B$40,Design!$B$42)/1000000) * X18/100/(IF(ISBLANK(Design!$B$33),Design!$B$32,Design!$B$33)*1000000)</f>
        <v>0.72563493344560714</v>
      </c>
      <c r="Z18" s="183">
        <f>$W$2*Constants!$C$21/1000+IF(ISBLANK(Design!$B$33),Design!$B$32,Design!$B$33)*1000000*Constants!$D$25/1000000000*($W$2-Constants!$C$24)</f>
        <v>4.4874999999999998E-2</v>
      </c>
      <c r="AA18" s="183">
        <f>$W$2*V18*($W$2/(Constants!$C$26*1000000000)*IF(ISBLANK(Design!$B$33),Design!$B$32,Design!$B$33)*1000000/2+$W$2/(Constants!$C$27*1000000000)*IF(ISBLANK(Design!$B$33),Design!$B$32,Design!$B$33)*1000000/2)</f>
        <v>9.9024999999999974E-2</v>
      </c>
      <c r="AB18" s="183">
        <f t="shared" ca="1" si="45"/>
        <v>0.11220156163028441</v>
      </c>
      <c r="AC18" s="183">
        <f>Constants!$D$25/1000000000*Constants!$C$24*IF(ISBLANK(Design!$B$33),Design!$B$32,Design!$B$33)*1000000</f>
        <v>1.0624999999999999E-2</v>
      </c>
      <c r="AD18" s="183">
        <f t="shared" ca="1" si="46"/>
        <v>0.26672656163028441</v>
      </c>
      <c r="AE18" s="183">
        <f t="shared" ca="1" si="47"/>
        <v>0.20920530935431808</v>
      </c>
      <c r="AF18" s="183">
        <f ca="1">V18^2*IF(ISBLANK(Design!$B$43),Constants!$C$6,Design!$B$43)/1000*(1+(AI18-25)*(Constants!$C$36/100))</f>
        <v>6.9025206331826752E-2</v>
      </c>
      <c r="AG18" s="183">
        <f>0.5*Snubber!$B$16/1000000000000*$W$2^2*Design!$B$33*1000000</f>
        <v>1.0097999999999999E-2</v>
      </c>
      <c r="AH18" s="184">
        <f ca="1">$A18+AE18*Design!$B$19</f>
        <v>96.924702633196134</v>
      </c>
      <c r="AI18" s="184">
        <f ca="1">AD18*Design!$C$12+$A18</f>
        <v>94.068703095429669</v>
      </c>
      <c r="AJ18" s="184">
        <f ca="1">Constants!$D$22+Constants!$D$22*Constants!$C$23/100*(AI18-25)</f>
        <v>180.25496247634374</v>
      </c>
      <c r="AK18" s="183">
        <f ca="1">(1-Constants!$C$20/1000000000*Design!$B$33*1000000) * ($W$2+W18-V18*AJ18/1000) - (W18+V18*Design!$B$43/1000)</f>
        <v>11.254335190666449</v>
      </c>
      <c r="AL18" s="183">
        <f ca="1">IF(AK18&gt;Design!$C$29,Design!$C$29,AK18)</f>
        <v>4.9990521327014221</v>
      </c>
      <c r="AM18" s="183">
        <f t="shared" ca="1" si="48"/>
        <v>0.55505507731642933</v>
      </c>
      <c r="AN18" s="183">
        <f t="shared" ca="1" si="49"/>
        <v>5.8238957345971558</v>
      </c>
      <c r="AO18" s="357">
        <f t="shared" ca="1" si="50"/>
        <v>91.298646224395</v>
      </c>
      <c r="AP18" s="363">
        <f t="shared" si="59"/>
        <v>1.1649999999999998</v>
      </c>
      <c r="AQ18" s="364">
        <f ca="1">FORECAST(AP18, OFFSET(Design!$C$15:$C$17,MATCH(AP18,Design!$B$15:$B$17,1)-1,0,2), OFFSET(Design!$B$15:$B$17,MATCH(AP18,Design!$B$15:$B$17,1)-1,0,2))+(BB18-25)*Design!$B$18/1000</f>
        <v>0.32086418506843384</v>
      </c>
      <c r="AR18" s="196">
        <f ca="1">IF(100*(Design!$C$29+AQ18+AP18*IF(ISBLANK(Design!$B$43),Constants!$C$6,Design!$B$43)/1000*(1+Constants!$C$36/100*(BC18-25)))/($AQ$2+AQ18-AP18*BD18/1000)&gt;Design!$C$36,Design!$C$36,100*(Design!$C$29+AQ18+AP18*IF(ISBLANK(Design!$B$43),Constants!$C$6,Design!$B$43)/1000*(1+Constants!$C$36/100*(BC18-25)))/($AQ$2+AQ18-AP18*BD18/1000))</f>
        <v>33.395693095184392</v>
      </c>
      <c r="AS18" s="195">
        <f ca="1">($AQ$2-AP18*IF(ISBLANK(Design!$B$43),Constants!$C$6,Design!$B$43)/1000*(1+Constants!$C$36/100*(BC18-25))-Design!$C$29) / (IF(ISBLANK(Design!$B$42),Design!$B$40,Design!$B$42)/1000000) * AR18/100/(IF(ISBLANK(Design!$B$33),Design!$B$32,Design!$B$33)*1000000)</f>
        <v>0.85974384887940569</v>
      </c>
      <c r="AT18" s="195">
        <f>$AQ$2*Constants!$C$21/1000+IF(ISBLANK(Design!$B$33),Design!$B$32,Design!$B$33)*1000000*Constants!$D$25/1000000000*($AQ$2-Constants!$C$24)</f>
        <v>6.3375000000000001E-2</v>
      </c>
      <c r="AU18" s="195">
        <f>$AQ$2*AP18*($AQ$2/(Constants!$C$26*1000000000)*IF(ISBLANK(Design!$B$33),Design!$B$32,Design!$B$33)*1000000/2+$AQ$2/(Constants!$C$27*1000000000)*IF(ISBLANK(Design!$B$33),Design!$B$32,Design!$B$33)*1000000/2)</f>
        <v>0.17604444444444442</v>
      </c>
      <c r="AV18" s="195">
        <f t="shared" ca="1" si="51"/>
        <v>8.6306689251954088E-2</v>
      </c>
      <c r="AW18" s="195">
        <f>Constants!$D$25/1000000000*Constants!$C$24*IF(ISBLANK(Design!$B$33),Design!$B$32,Design!$B$33)*1000000</f>
        <v>1.0624999999999999E-2</v>
      </c>
      <c r="AX18" s="195">
        <f t="shared" ca="1" si="52"/>
        <v>0.33635113369639846</v>
      </c>
      <c r="AY18" s="195">
        <f t="shared" ca="1" si="53"/>
        <v>0.24897141205476667</v>
      </c>
      <c r="AZ18" s="195">
        <f ca="1">AP18^2*IF(ISBLANK(Design!$B$43),Constants!$C$6,Design!$B$43)/1000*(1+(BC18-25)*(Constants!$C$36/100))</f>
        <v>6.9530269674085696E-2</v>
      </c>
      <c r="BA18" s="195">
        <f>0.5*Snubber!$B$16/1000000000000*$AQ$2^2*Design!$B$33*1000000</f>
        <v>1.7951999999999999E-2</v>
      </c>
      <c r="BB18" s="196">
        <f ca="1">$A18+AY18*Design!$B$19</f>
        <v>99.191370487121702</v>
      </c>
      <c r="BC18" s="196">
        <f ca="1">AX18*Design!$C$12+$A18</f>
        <v>96.435938545677544</v>
      </c>
      <c r="BD18" s="196">
        <f ca="1">Constants!$D$22+Constants!$D$22*Constants!$C$23/100*(BC18-25)</f>
        <v>182.14875083654204</v>
      </c>
      <c r="BE18" s="195">
        <f ca="1">(1-Constants!$C$20/1000000000*Design!$B$33*1000000) * ($AQ$2+AQ18-AP18*BD18/1000) - (AQ18+AP18*Design!$B$43/1000)</f>
        <v>15.090809521827795</v>
      </c>
      <c r="BF18" s="195">
        <f ca="1">IF(BE18&gt;Design!$C$29,Design!$C$29,BE18)</f>
        <v>4.9990521327014221</v>
      </c>
      <c r="BG18" s="195">
        <f t="shared" ca="1" si="54"/>
        <v>0.67280481542525084</v>
      </c>
      <c r="BH18" s="195">
        <f t="shared" ca="1" si="55"/>
        <v>5.8238957345971558</v>
      </c>
      <c r="BI18" s="365">
        <f t="shared" ca="1" si="56"/>
        <v>89.643899849702478</v>
      </c>
    </row>
    <row r="19" spans="1:61" ht="12.75" customHeight="1" x14ac:dyDescent="0.25">
      <c r="A19" s="112">
        <f>Design!$D$13</f>
        <v>85</v>
      </c>
      <c r="B19" s="347">
        <f t="shared" si="57"/>
        <v>1.4699999999999998</v>
      </c>
      <c r="C19" s="348">
        <f ca="1">FORECAST(B19, OFFSET(Design!$C$15:$C$17,MATCH(B19,Design!$B$15:$B$17,1)-1,0,2), OFFSET(Design!$B$15:$B$17,MATCH(B19,Design!$B$15:$B$17,1)-1,0,2))+(N19-25)*Design!$B$18/1000</f>
        <v>0.34915875438006816</v>
      </c>
      <c r="D19" s="166">
        <f ca="1">IF(100*(Design!$C$29+C19+B19*IF(ISBLANK(Design!$B$43),Constants!$C$6,Design!$B$43)/1000*(1+Constants!$C$36/100*(O19-25)))/($C$2+C19-B19*P19/1000)&gt;Design!$C$36,Design!$C$36,100*(Design!$C$29+C19+B19*IF(ISBLANK(Design!$B$43),Constants!$C$6,Design!$B$43)/1000*(1+Constants!$C$36/100*(O19-25)))/($C$2+C19-B19*P19/1000))</f>
        <v>67.121207811890329</v>
      </c>
      <c r="E19" s="165">
        <f ca="1">IF(($C$2-B19*IF(ISBLANK(Design!$B$43),Constants!$C$6,Design!$B$43)/1000*(1+Constants!$C$36/100*(O19-25))-Design!$C$29) / (IF(ISBLANK(Design!$B$42),Design!$B$40,Design!$B$42)/1000000) * D19/100/(IF(ISBLANK(Design!$B$33),Design!$B$32,Design!$B$33)*1000000)&lt;0,0,($C$2-B19*IF(ISBLANK(Design!$B$43),Constants!$C$6,Design!$B$43)/1000*(1+Constants!$C$36/100*(O19-25))-Design!$C$29) / (IF(ISBLANK(Design!$B$42),Design!$B$40,Design!$B$42)/1000000) * D19/100/(IF(ISBLANK(Design!$B$33),Design!$B$32,Design!$B$33)*1000000))</f>
        <v>0.46202380484175815</v>
      </c>
      <c r="F19" s="165">
        <f>$C$2*Constants!$C$21/1000+IF(ISBLANK(Design!$B$33),Design!$B$32,Design!$B$33)*1000000*Constants!$D$25/1000000000*($C$2-Constants!$C$24)</f>
        <v>2.6375000000000003E-2</v>
      </c>
      <c r="G19" s="165">
        <f>$C$2*B19*($C$2/(Constants!$C$26*1000000000)*IF(ISBLANK(Design!$B$33),Design!$B$32,Design!$B$33)*1000000/2+$C$2/(Constants!$C$27*1000000000)*IF(ISBLANK(Design!$B$33),Design!$B$32,Design!$B$33)*1000000/2)</f>
        <v>5.5533333333333323E-2</v>
      </c>
      <c r="H19" s="165">
        <f t="shared" ref="H19:H24" ca="1" si="60">IF($D$78,1,D19/100*(B19^2+E19^2/12)*P19/1000)</f>
        <v>0.26730155453926868</v>
      </c>
      <c r="I19" s="165">
        <f>Constants!$D$25/1000000000*Constants!$C$24*IF(ISBLANK(Design!$B$33),Design!$B$32,Design!$B$33)*1000000</f>
        <v>1.0624999999999999E-2</v>
      </c>
      <c r="J19" s="165">
        <f t="shared" ref="J19:J24" ca="1" si="61">SUM(F19:I19)</f>
        <v>0.35983488787260198</v>
      </c>
      <c r="K19" s="165">
        <f t="shared" ref="K19:K24" ca="1" si="62">B19*C19*(1-D19/100)</f>
        <v>0.16875479645104585</v>
      </c>
      <c r="L19" s="165">
        <f ca="1">B19^2*IF(ISBLANK(Design!$B$43),Constants!$C$6,Design!$B$43)/1000*(1+(O19-25)*(Constants!$C$36/100))</f>
        <v>0.11097355001975301</v>
      </c>
      <c r="M19" s="165">
        <f>0.5*Snubber!$B$16/1000000000000*$C$2^2*Design!$B$33*1000000</f>
        <v>4.4879999999999998E-3</v>
      </c>
      <c r="N19" s="166">
        <f ca="1">$A19+K19*Design!$B$19</f>
        <v>94.619023397709611</v>
      </c>
      <c r="O19" s="166">
        <f ca="1">J19*Design!$C$12+A19</f>
        <v>97.234386187668463</v>
      </c>
      <c r="P19" s="166">
        <f ca="1">Constants!$D$22+Constants!$D$22*Constants!$C$23/100*(O19-25)</f>
        <v>182.78750895013476</v>
      </c>
      <c r="Q19" s="165">
        <f ca="1">(1-Constants!$C$20/1000000000*Design!$B$33*1000000) * ($C$2+C19-B19*P19/1000) - (C19+B19*Design!$B$43/1000)</f>
        <v>7.3462537442757831</v>
      </c>
      <c r="R19" s="165">
        <f ca="1">IF(Q19&gt;Design!$C$29,Design!$C$29,Q19)</f>
        <v>4.9990521327014221</v>
      </c>
      <c r="S19" s="165">
        <f t="shared" ref="S19:S24" ca="1" si="63">SUM(J19:M19)</f>
        <v>0.64405123434340084</v>
      </c>
      <c r="T19" s="165">
        <f t="shared" ref="T19:T24" ca="1" si="64">R19*B19</f>
        <v>7.3486066350710892</v>
      </c>
      <c r="U19" s="349">
        <f t="shared" ref="U19:U24" ca="1" si="65">100*T19/(T19+S19)</f>
        <v>91.94196417679791</v>
      </c>
      <c r="V19" s="355">
        <f t="shared" si="58"/>
        <v>1.4699999999999998</v>
      </c>
      <c r="W19" s="356">
        <f ca="1">FORECAST(V19, OFFSET(Design!$C$15:$C$17,MATCH(V19,Design!$B$15:$B$17,1)-1,0,2), OFFSET(Design!$B$15:$B$17,MATCH(V19,Design!$B$15:$B$17,1)-1,0,2))+(AH19-25)*Design!$B$18/1000</f>
        <v>0.34293593732708622</v>
      </c>
      <c r="X19" s="184">
        <f ca="1">IF(100*(Design!$C$29+W19+V19*IF(ISBLANK(Design!$B$43),Constants!$C$6,Design!$B$43)/1000*(1+Constants!$C$36/100*(AI19-25)))/($W$2+W19-V19*AJ19/1000)&gt;Design!$C$36,Design!$C$36,100*(Design!$C$29+W19+V19*IF(ISBLANK(Design!$B$43),Constants!$C$6,Design!$B$43)/1000*(1+Constants!$C$36/100*(AI19-25)))/($W$2+W19-V19*AJ19/1000))</f>
        <v>44.868419104279653</v>
      </c>
      <c r="Y19" s="183">
        <f ca="1">($W$2-V19*IF(ISBLANK(Design!$B$43),Constants!$C$6,Design!$B$43)/1000*(1+Constants!$C$36/100*(AI19-25))-Design!$C$29) / (IF(ISBLANK(Design!$B$42),Design!$B$40,Design!$B$42)/1000000) * X19/100/(IF(ISBLANK(Design!$B$33),Design!$B$32,Design!$B$33)*1000000)</f>
        <v>0.73113813233292213</v>
      </c>
      <c r="Z19" s="183">
        <f>$W$2*Constants!$C$21/1000+IF(ISBLANK(Design!$B$33),Design!$B$32,Design!$B$33)*1000000*Constants!$D$25/1000000000*($W$2-Constants!$C$24)</f>
        <v>4.4874999999999998E-2</v>
      </c>
      <c r="AA19" s="183">
        <f>$W$2*V19*($W$2/(Constants!$C$26*1000000000)*IF(ISBLANK(Design!$B$33),Design!$B$32,Design!$B$33)*1000000/2+$W$2/(Constants!$C$27*1000000000)*IF(ISBLANK(Design!$B$33),Design!$B$32,Design!$B$33)*1000000/2)</f>
        <v>0.12494999999999998</v>
      </c>
      <c r="AB19" s="183">
        <f t="shared" ref="AB19:AB24" ca="1" si="66">IF($D$78,1,X19/100*(V19^2+Y19^2/12)*AJ19/1000)</f>
        <v>0.18091850520691488</v>
      </c>
      <c r="AC19" s="183">
        <f>Constants!$D$25/1000000000*Constants!$C$24*IF(ISBLANK(Design!$B$33),Design!$B$32,Design!$B$33)*1000000</f>
        <v>1.0624999999999999E-2</v>
      </c>
      <c r="AD19" s="183">
        <f t="shared" ref="AD19:AD24" ca="1" si="67">SUM(Z19:AC19)</f>
        <v>0.36136850520691488</v>
      </c>
      <c r="AE19" s="183">
        <f t="shared" ref="AE19:AE24" ca="1" si="68">V19*W19*(1-X19/100)</f>
        <v>0.27792702545072961</v>
      </c>
      <c r="AF19" s="183">
        <f ca="1">V19^2*IF(ISBLANK(Design!$B$43),Constants!$C$6,Design!$B$43)/1000*(1+(AI19-25)*(Constants!$C$36/100))</f>
        <v>0.11099126265326857</v>
      </c>
      <c r="AG19" s="183">
        <f>0.5*Snubber!$B$16/1000000000000*$W$2^2*Design!$B$33*1000000</f>
        <v>1.0097999999999999E-2</v>
      </c>
      <c r="AH19" s="184">
        <f ca="1">$A19+AE19*Design!$B$19</f>
        <v>100.84184045069159</v>
      </c>
      <c r="AI19" s="184">
        <f ca="1">AD19*Design!$C$12+$A19</f>
        <v>97.286529177035106</v>
      </c>
      <c r="AJ19" s="184">
        <f ca="1">Constants!$D$22+Constants!$D$22*Constants!$C$23/100*(AI19-25)</f>
        <v>182.82922334162808</v>
      </c>
      <c r="AK19" s="183">
        <f ca="1">(1-Constants!$C$20/1000000000*Design!$B$33*1000000) * ($W$2+W19-V19*AJ19/1000) - (W19+V19*Design!$B$43/1000)</f>
        <v>11.184946146160081</v>
      </c>
      <c r="AL19" s="183">
        <f ca="1">IF(AK19&gt;Design!$C$29,Design!$C$29,AK19)</f>
        <v>4.9990521327014221</v>
      </c>
      <c r="AM19" s="183">
        <f t="shared" ref="AM19:AM24" ca="1" si="69">SUM(AD19:AG19)</f>
        <v>0.76038479331091302</v>
      </c>
      <c r="AN19" s="183">
        <f t="shared" ref="AN19:AN24" ca="1" si="70">AL19*V19</f>
        <v>7.3486066350710892</v>
      </c>
      <c r="AO19" s="357">
        <f t="shared" ref="AO19:AO24" ca="1" si="71">100*AN19/(AN19+AM19)</f>
        <v>90.622942445721236</v>
      </c>
      <c r="AP19" s="363">
        <f t="shared" si="59"/>
        <v>1.4699999999999998</v>
      </c>
      <c r="AQ19" s="364">
        <f ca="1">FORECAST(AP19, OFFSET(Design!$C$15:$C$17,MATCH(AP19,Design!$B$15:$B$17,1)-1,0,2), OFFSET(Design!$B$15:$B$17,MATCH(AP19,Design!$B$15:$B$17,1)-1,0,2))+(BB19-25)*Design!$B$18/1000</f>
        <v>0.33989570365542721</v>
      </c>
      <c r="AR19" s="196">
        <f ca="1">IF(100*(Design!$C$29+AQ19+AP19*IF(ISBLANK(Design!$B$43),Constants!$C$6,Design!$B$43)/1000*(1+Constants!$C$36/100*(BC19-25)))/($AQ$2+AQ19-AP19*BD19/1000)&gt;Design!$C$36,Design!$C$36,100*(Design!$C$29+AQ19+AP19*IF(ISBLANK(Design!$B$43),Constants!$C$6,Design!$B$43)/1000*(1+Constants!$C$36/100*(BC19-25)))/($AQ$2+AQ19-AP19*BD19/1000))</f>
        <v>33.700258873480685</v>
      </c>
      <c r="AS19" s="195">
        <f ca="1">($AQ$2-AP19*IF(ISBLANK(Design!$B$43),Constants!$C$6,Design!$B$43)/1000*(1+Constants!$C$36/100*(BC19-25))-Design!$C$29) / (IF(ISBLANK(Design!$B$42),Design!$B$40,Design!$B$42)/1000000) * AR19/100/(IF(ISBLANK(Design!$B$33),Design!$B$32,Design!$B$33)*1000000)</f>
        <v>0.86628442872836908</v>
      </c>
      <c r="AT19" s="195">
        <f>$AQ$2*Constants!$C$21/1000+IF(ISBLANK(Design!$B$33),Design!$B$32,Design!$B$33)*1000000*Constants!$D$25/1000000000*($AQ$2-Constants!$C$24)</f>
        <v>6.3375000000000001E-2</v>
      </c>
      <c r="AU19" s="195">
        <f>$AQ$2*AP19*($AQ$2/(Constants!$C$26*1000000000)*IF(ISBLANK(Design!$B$33),Design!$B$32,Design!$B$33)*1000000/2+$AQ$2/(Constants!$C$27*1000000000)*IF(ISBLANK(Design!$B$33),Design!$B$32,Design!$B$33)*1000000/2)</f>
        <v>0.22213333333333329</v>
      </c>
      <c r="AV19" s="195">
        <f t="shared" ref="AV19:AV24" ca="1" si="72">IF($D$78,1,AR19/100*(AP19^2+AS19^2/12)*BD19/1000)</f>
        <v>0.13848766145118777</v>
      </c>
      <c r="AW19" s="195">
        <f>Constants!$D$25/1000000000*Constants!$C$24*IF(ISBLANK(Design!$B$33),Design!$B$32,Design!$B$33)*1000000</f>
        <v>1.0624999999999999E-2</v>
      </c>
      <c r="AX19" s="195">
        <f t="shared" ref="AX19:AX24" ca="1" si="73">SUM(AT19:AW19)</f>
        <v>0.4346209947845211</v>
      </c>
      <c r="AY19" s="195">
        <f t="shared" ref="AY19:AY24" ca="1" si="74">AP19*AQ19*(1-AR19/100)</f>
        <v>0.33126445828685286</v>
      </c>
      <c r="AZ19" s="195">
        <f ca="1">AP19^2*IF(ISBLANK(Design!$B$43),Constants!$C$6,Design!$B$43)/1000*(1+(BC19-25)*(Constants!$C$36/100))</f>
        <v>0.11183729801878013</v>
      </c>
      <c r="BA19" s="195">
        <f>0.5*Snubber!$B$16/1000000000000*$AQ$2^2*Design!$B$33*1000000</f>
        <v>1.7951999999999999E-2</v>
      </c>
      <c r="BB19" s="196">
        <f ca="1">$A19+AY19*Design!$B$19</f>
        <v>103.88207412235062</v>
      </c>
      <c r="BC19" s="196">
        <f ca="1">AX19*Design!$C$12+$A19</f>
        <v>99.777113822673712</v>
      </c>
      <c r="BD19" s="196">
        <f ca="1">Constants!$D$22+Constants!$D$22*Constants!$C$23/100*(BC19-25)</f>
        <v>184.82169105813898</v>
      </c>
      <c r="BE19" s="195">
        <f ca="1">(1-Constants!$C$20/1000000000*Design!$B$33*1000000) * ($AQ$2+AQ19-AP19*BD19/1000) - (AQ19+AP19*Design!$B$43/1000)</f>
        <v>15.020758223500861</v>
      </c>
      <c r="BF19" s="195">
        <f ca="1">IF(BE19&gt;Design!$C$29,Design!$C$29,BE19)</f>
        <v>4.9990521327014221</v>
      </c>
      <c r="BG19" s="195">
        <f t="shared" ref="BG19:BG24" ca="1" si="75">SUM(AX19:BA19)</f>
        <v>0.89567475109015404</v>
      </c>
      <c r="BH19" s="195">
        <f t="shared" ref="BH19:BH24" ca="1" si="76">BF19*AP19</f>
        <v>7.3486066350710892</v>
      </c>
      <c r="BI19" s="365">
        <f t="shared" ref="BI19:BI24" ca="1" si="77">100*BH19/(BH19+BG19)</f>
        <v>89.135805667749011</v>
      </c>
    </row>
    <row r="20" spans="1:61" ht="12.75" customHeight="1" x14ac:dyDescent="0.25">
      <c r="A20" s="112">
        <f>Design!$D$13</f>
        <v>85</v>
      </c>
      <c r="B20" s="347">
        <f t="shared" si="57"/>
        <v>1.7749999999999997</v>
      </c>
      <c r="C20" s="348">
        <f ca="1">FORECAST(B20, OFFSET(Design!$C$15:$C$17,MATCH(B20,Design!$B$15:$B$17,1)-1,0,2), OFFSET(Design!$B$15:$B$17,MATCH(B20,Design!$B$15:$B$17,1)-1,0,2))+(N20-25)*Design!$B$18/1000</f>
        <v>0.37048457772305271</v>
      </c>
      <c r="D20" s="166">
        <f ca="1">IF(100*(Design!$C$29+C20+B20*IF(ISBLANK(Design!$B$43),Constants!$C$6,Design!$B$43)/1000*(1+Constants!$C$36/100*(O20-25)))/($C$2+C20-B20*P20/1000)&gt;Design!$C$36,Design!$C$36,100*(Design!$C$29+C20+B20*IF(ISBLANK(Design!$B$43),Constants!$C$6,Design!$B$43)/1000*(1+Constants!$C$36/100*(O20-25)))/($C$2+C20-B20*P20/1000))</f>
        <v>67.945006639798848</v>
      </c>
      <c r="E20" s="165">
        <f ca="1">IF(($C$2-B20*IF(ISBLANK(Design!$B$43),Constants!$C$6,Design!$B$43)/1000*(1+Constants!$C$36/100*(O20-25))-Design!$C$29) / (IF(ISBLANK(Design!$B$42),Design!$B$40,Design!$B$42)/1000000) * D20/100/(IF(ISBLANK(Design!$B$33),Design!$B$32,Design!$B$33)*1000000)&lt;0,0,($C$2-B20*IF(ISBLANK(Design!$B$43),Constants!$C$6,Design!$B$43)/1000*(1+Constants!$C$36/100*(O20-25))-Design!$C$29) / (IF(ISBLANK(Design!$B$42),Design!$B$40,Design!$B$42)/1000000) * D20/100/(IF(ISBLANK(Design!$B$33),Design!$B$32,Design!$B$33)*1000000))</f>
        <v>0.46496833266789694</v>
      </c>
      <c r="F20" s="165">
        <f>$C$2*Constants!$C$21/1000+IF(ISBLANK(Design!$B$33),Design!$B$32,Design!$B$33)*1000000*Constants!$D$25/1000000000*($C$2-Constants!$C$24)</f>
        <v>2.6375000000000003E-2</v>
      </c>
      <c r="G20" s="165">
        <f>$C$2*B20*($C$2/(Constants!$C$26*1000000000)*IF(ISBLANK(Design!$B$33),Design!$B$32,Design!$B$33)*1000000/2+$C$2/(Constants!$C$27*1000000000)*IF(ISBLANK(Design!$B$33),Design!$B$32,Design!$B$33)*1000000/2)</f>
        <v>6.7055555555555549E-2</v>
      </c>
      <c r="H20" s="165">
        <f t="shared" ca="1" si="60"/>
        <v>0.40209773369267687</v>
      </c>
      <c r="I20" s="165">
        <f>Constants!$D$25/1000000000*Constants!$C$24*IF(ISBLANK(Design!$B$33),Design!$B$32,Design!$B$33)*1000000</f>
        <v>1.0624999999999999E-2</v>
      </c>
      <c r="J20" s="165">
        <f t="shared" ca="1" si="61"/>
        <v>0.50615328924823244</v>
      </c>
      <c r="K20" s="165">
        <f t="shared" ca="1" si="62"/>
        <v>0.21079688205170652</v>
      </c>
      <c r="L20" s="165">
        <f ca="1">B20^2*IF(ISBLANK(Design!$B$43),Constants!$C$6,Design!$B$43)/1000*(1+(O20-25)*(Constants!$C$36/100))</f>
        <v>0.16426504332124062</v>
      </c>
      <c r="M20" s="165">
        <f>0.5*Snubber!$B$16/1000000000000*$C$2^2*Design!$B$33*1000000</f>
        <v>4.4879999999999998E-3</v>
      </c>
      <c r="N20" s="166">
        <f ca="1">$A20+K20*Design!$B$19</f>
        <v>97.015422276947277</v>
      </c>
      <c r="O20" s="166">
        <f ca="1">J20*Design!$C$12+A20</f>
        <v>102.2092118344399</v>
      </c>
      <c r="P20" s="166">
        <f ca="1">Constants!$D$22+Constants!$D$22*Constants!$C$23/100*(O20-25)</f>
        <v>186.76736946755193</v>
      </c>
      <c r="Q20" s="165">
        <f ca="1">(1-Constants!$C$20/1000000000*Design!$B$33*1000000) * ($C$2+C20-B20*P20/1000) - (C20+B20*Design!$B$43/1000)</f>
        <v>7.2729144046320258</v>
      </c>
      <c r="R20" s="165">
        <f ca="1">IF(Q20&gt;Design!$C$29,Design!$C$29,Q20)</f>
        <v>4.9990521327014221</v>
      </c>
      <c r="S20" s="165">
        <f t="shared" ca="1" si="63"/>
        <v>0.88570321462117962</v>
      </c>
      <c r="T20" s="165">
        <f t="shared" ca="1" si="64"/>
        <v>8.8733175355450236</v>
      </c>
      <c r="U20" s="349">
        <f t="shared" ca="1" si="65"/>
        <v>90.924261385486915</v>
      </c>
      <c r="V20" s="355">
        <f t="shared" si="58"/>
        <v>1.7749999999999997</v>
      </c>
      <c r="W20" s="356">
        <f ca="1">FORECAST(V20, OFFSET(Design!$C$15:$C$17,MATCH(V20,Design!$B$15:$B$17,1)-1,0,2), OFFSET(Design!$B$15:$B$17,MATCH(V20,Design!$B$15:$B$17,1)-1,0,2))+(AH20-25)*Design!$B$18/1000</f>
        <v>0.36245038487845022</v>
      </c>
      <c r="X20" s="184">
        <f ca="1">IF(100*(Design!$C$29+W20+V20*IF(ISBLANK(Design!$B$43),Constants!$C$6,Design!$B$43)/1000*(1+Constants!$C$36/100*(AI20-25)))/($W$2+W20-V20*AJ20/1000)&gt;Design!$C$36,Design!$C$36,100*(Design!$C$29+W20+V20*IF(ISBLANK(Design!$B$43),Constants!$C$6,Design!$B$43)/1000*(1+Constants!$C$36/100*(AI20-25)))/($W$2+W20-V20*AJ20/1000))</f>
        <v>45.325570276156355</v>
      </c>
      <c r="Y20" s="183">
        <f ca="1">($W$2-V20*IF(ISBLANK(Design!$B$43),Constants!$C$6,Design!$B$43)/1000*(1+Constants!$C$36/100*(AI20-25))-Design!$C$29) / (IF(ISBLANK(Design!$B$42),Design!$B$40,Design!$B$42)/1000000) * X20/100/(IF(ISBLANK(Design!$B$33),Design!$B$32,Design!$B$33)*1000000)</f>
        <v>0.73680105212685709</v>
      </c>
      <c r="Z20" s="183">
        <f>$W$2*Constants!$C$21/1000+IF(ISBLANK(Design!$B$33),Design!$B$32,Design!$B$33)*1000000*Constants!$D$25/1000000000*($W$2-Constants!$C$24)</f>
        <v>4.4874999999999998E-2</v>
      </c>
      <c r="AA20" s="183">
        <f>$W$2*V20*($W$2/(Constants!$C$26*1000000000)*IF(ISBLANK(Design!$B$33),Design!$B$32,Design!$B$33)*1000000/2+$W$2/(Constants!$C$27*1000000000)*IF(ISBLANK(Design!$B$33),Design!$B$32,Design!$B$33)*1000000/2)</f>
        <v>0.15087499999999998</v>
      </c>
      <c r="AB20" s="183">
        <f t="shared" ca="1" si="66"/>
        <v>0.26934150841929083</v>
      </c>
      <c r="AC20" s="183">
        <f>Constants!$D$25/1000000000*Constants!$C$24*IF(ISBLANK(Design!$B$33),Design!$B$32,Design!$B$33)*1000000</f>
        <v>1.0624999999999999E-2</v>
      </c>
      <c r="AD20" s="183">
        <f t="shared" ca="1" si="67"/>
        <v>0.47571650841929081</v>
      </c>
      <c r="AE20" s="183">
        <f t="shared" ca="1" si="68"/>
        <v>0.3517476337114</v>
      </c>
      <c r="AF20" s="183">
        <f ca="1">V20^2*IF(ISBLANK(Design!$B$43),Constants!$C$6,Design!$B$43)/1000*(1+(AI20-25)*(Constants!$C$36/100))</f>
        <v>0.16375250435272448</v>
      </c>
      <c r="AG20" s="183">
        <f>0.5*Snubber!$B$16/1000000000000*$W$2^2*Design!$B$33*1000000</f>
        <v>1.0097999999999999E-2</v>
      </c>
      <c r="AH20" s="184">
        <f ca="1">$A20+AE20*Design!$B$19</f>
        <v>105.04961512154981</v>
      </c>
      <c r="AI20" s="184">
        <f ca="1">AD20*Design!$C$12+$A20</f>
        <v>101.17436128625589</v>
      </c>
      <c r="AJ20" s="184">
        <f ca="1">Constants!$D$22+Constants!$D$22*Constants!$C$23/100*(AI20-25)</f>
        <v>185.9394890290047</v>
      </c>
      <c r="AK20" s="183">
        <f ca="1">(1-Constants!$C$20/1000000000*Design!$B$33*1000000) * ($W$2+W20-V20*AJ20/1000) - (W20+V20*Design!$B$43/1000)</f>
        <v>11.113148942377492</v>
      </c>
      <c r="AL20" s="183">
        <f ca="1">IF(AK20&gt;Design!$C$29,Design!$C$29,AK20)</f>
        <v>4.9990521327014221</v>
      </c>
      <c r="AM20" s="183">
        <f t="shared" ca="1" si="69"/>
        <v>1.0013146464834153</v>
      </c>
      <c r="AN20" s="183">
        <f t="shared" ca="1" si="70"/>
        <v>8.8733175355450236</v>
      </c>
      <c r="AO20" s="357">
        <f t="shared" ca="1" si="71"/>
        <v>89.859727147044723</v>
      </c>
      <c r="AP20" s="363">
        <f t="shared" si="59"/>
        <v>1.7749999999999997</v>
      </c>
      <c r="AQ20" s="364">
        <f ca="1">FORECAST(AP20, OFFSET(Design!$C$15:$C$17,MATCH(AP20,Design!$B$15:$B$17,1)-1,0,2), OFFSET(Design!$B$15:$B$17,MATCH(AP20,Design!$B$15:$B$17,1)-1,0,2))+(BB20-25)*Design!$B$18/1000</f>
        <v>0.35856148420873513</v>
      </c>
      <c r="AR20" s="196">
        <f ca="1">IF(100*(Design!$C$29+AQ20+AP20*IF(ISBLANK(Design!$B$43),Constants!$C$6,Design!$B$43)/1000*(1+Constants!$C$36/100*(BC20-25)))/($AQ$2+AQ20-AP20*BD20/1000)&gt;Design!$C$36,Design!$C$36,100*(Design!$C$29+AQ20+AP20*IF(ISBLANK(Design!$B$43),Constants!$C$6,Design!$B$43)/1000*(1+Constants!$C$36/100*(BC20-25)))/($AQ$2+AQ20-AP20*BD20/1000))</f>
        <v>34.012698236724852</v>
      </c>
      <c r="AS20" s="195">
        <f ca="1">($AQ$2-AP20*IF(ISBLANK(Design!$B$43),Constants!$C$6,Design!$B$43)/1000*(1+Constants!$C$36/100*(BC20-25))-Design!$C$29) / (IF(ISBLANK(Design!$B$42),Design!$B$40,Design!$B$42)/1000000) * AR20/100/(IF(ISBLANK(Design!$B$33),Design!$B$32,Design!$B$33)*1000000)</f>
        <v>0.87296676544804019</v>
      </c>
      <c r="AT20" s="195">
        <f>$AQ$2*Constants!$C$21/1000+IF(ISBLANK(Design!$B$33),Design!$B$32,Design!$B$33)*1000000*Constants!$D$25/1000000000*($AQ$2-Constants!$C$24)</f>
        <v>6.3375000000000001E-2</v>
      </c>
      <c r="AU20" s="195">
        <f>$AQ$2*AP20*($AQ$2/(Constants!$C$26*1000000000)*IF(ISBLANK(Design!$B$33),Design!$B$32,Design!$B$33)*1000000/2+$AQ$2/(Constants!$C$27*1000000000)*IF(ISBLANK(Design!$B$33),Design!$B$32,Design!$B$33)*1000000/2)</f>
        <v>0.2682222222222222</v>
      </c>
      <c r="AV20" s="195">
        <f t="shared" ca="1" si="72"/>
        <v>0.2054098378793528</v>
      </c>
      <c r="AW20" s="195">
        <f>Constants!$D$25/1000000000*Constants!$C$24*IF(ISBLANK(Design!$B$33),Design!$B$32,Design!$B$33)*1000000</f>
        <v>1.0624999999999999E-2</v>
      </c>
      <c r="AX20" s="195">
        <f t="shared" ca="1" si="73"/>
        <v>0.54763206010157506</v>
      </c>
      <c r="AY20" s="195">
        <f t="shared" ca="1" si="74"/>
        <v>0.41997396125026065</v>
      </c>
      <c r="AZ20" s="195">
        <f ca="1">AP20^2*IF(ISBLANK(Design!$B$43),Constants!$C$6,Design!$B$43)/1000*(1+(BC20-25)*(Constants!$C$36/100))</f>
        <v>0.16496352344461401</v>
      </c>
      <c r="BA20" s="195">
        <f>0.5*Snubber!$B$16/1000000000000*$AQ$2^2*Design!$B$33*1000000</f>
        <v>1.7951999999999999E-2</v>
      </c>
      <c r="BB20" s="196">
        <f ca="1">$A20+AY20*Design!$B$19</f>
        <v>108.93851579126486</v>
      </c>
      <c r="BC20" s="196">
        <f ca="1">AX20*Design!$C$12+$A20</f>
        <v>103.61949004345355</v>
      </c>
      <c r="BD20" s="196">
        <f ca="1">Constants!$D$22+Constants!$D$22*Constants!$C$23/100*(BC20-25)</f>
        <v>187.89559203476284</v>
      </c>
      <c r="BE20" s="195">
        <f ca="1">(1-Constants!$C$20/1000000000*Design!$B$33*1000000) * ($AQ$2+AQ20-AP20*BD20/1000) - (AQ20+AP20*Design!$B$43/1000)</f>
        <v>14.948474059251284</v>
      </c>
      <c r="BF20" s="195">
        <f ca="1">IF(BE20&gt;Design!$C$29,Design!$C$29,BE20)</f>
        <v>4.9990521327014221</v>
      </c>
      <c r="BG20" s="195">
        <f t="shared" ca="1" si="75"/>
        <v>1.1505215447964496</v>
      </c>
      <c r="BH20" s="195">
        <f t="shared" ca="1" si="76"/>
        <v>8.8733175355450236</v>
      </c>
      <c r="BI20" s="365">
        <f t="shared" ca="1" si="77"/>
        <v>88.522146698735156</v>
      </c>
    </row>
    <row r="21" spans="1:61" ht="12.75" customHeight="1" x14ac:dyDescent="0.25">
      <c r="A21" s="112">
        <f>Design!$D$13</f>
        <v>85</v>
      </c>
      <c r="B21" s="347">
        <f t="shared" si="57"/>
        <v>2.0799999999999996</v>
      </c>
      <c r="C21" s="348">
        <f ca="1">FORECAST(B21, OFFSET(Design!$C$15:$C$17,MATCH(B21,Design!$B$15:$B$17,1)-1,0,2), OFFSET(Design!$B$15:$B$17,MATCH(B21,Design!$B$15:$B$17,1)-1,0,2))+(N21-25)*Design!$B$18/1000</f>
        <v>0.38766494218201603</v>
      </c>
      <c r="D21" s="166">
        <f ca="1">IF(100*(Design!$C$29+C21+B21*IF(ISBLANK(Design!$B$43),Constants!$C$6,Design!$B$43)/1000*(1+Constants!$C$36/100*(O21-25)))/($C$2+C21-B21*P21/1000)&gt;Design!$C$36,Design!$C$36,100*(Design!$C$29+C21+B21*IF(ISBLANK(Design!$B$43),Constants!$C$6,Design!$B$43)/1000*(1+Constants!$C$36/100*(O21-25)))/($C$2+C21-B21*P21/1000))</f>
        <v>68.810764457443724</v>
      </c>
      <c r="E21" s="165">
        <f ca="1">IF(($C$2-B21*IF(ISBLANK(Design!$B$43),Constants!$C$6,Design!$B$43)/1000*(1+Constants!$C$36/100*(O21-25))-Design!$C$29) / (IF(ISBLANK(Design!$B$42),Design!$B$40,Design!$B$42)/1000000) * D21/100/(IF(ISBLANK(Design!$B$33),Design!$B$32,Design!$B$33)*1000000)&lt;0,0,($C$2-B21*IF(ISBLANK(Design!$B$43),Constants!$C$6,Design!$B$43)/1000*(1+Constants!$C$36/100*(O21-25))-Design!$C$29) / (IF(ISBLANK(Design!$B$42),Design!$B$40,Design!$B$42)/1000000) * D21/100/(IF(ISBLANK(Design!$B$33),Design!$B$32,Design!$B$33)*1000000))</f>
        <v>0.46798960947775636</v>
      </c>
      <c r="F21" s="165">
        <f>$C$2*Constants!$C$21/1000+IF(ISBLANK(Design!$B$33),Design!$B$32,Design!$B$33)*1000000*Constants!$D$25/1000000000*($C$2-Constants!$C$24)</f>
        <v>2.6375000000000003E-2</v>
      </c>
      <c r="G21" s="165">
        <f>$C$2*B21*($C$2/(Constants!$C$26*1000000000)*IF(ISBLANK(Design!$B$33),Design!$B$32,Design!$B$33)*1000000/2+$C$2/(Constants!$C$27*1000000000)*IF(ISBLANK(Design!$B$33),Design!$B$32,Design!$B$33)*1000000/2)</f>
        <v>7.857777777777776E-2</v>
      </c>
      <c r="H21" s="165">
        <f t="shared" ca="1" si="60"/>
        <v>0.57320856248095542</v>
      </c>
      <c r="I21" s="165">
        <f>Constants!$D$25/1000000000*Constants!$C$24*IF(ISBLANK(Design!$B$33),Design!$B$32,Design!$B$33)*1000000</f>
        <v>1.0624999999999999E-2</v>
      </c>
      <c r="J21" s="165">
        <f t="shared" ca="1" si="61"/>
        <v>0.6887863402587332</v>
      </c>
      <c r="K21" s="165">
        <f t="shared" ca="1" si="62"/>
        <v>0.25149224242077217</v>
      </c>
      <c r="L21" s="165">
        <f ca="1">B21^2*IF(ISBLANK(Design!$B$43),Constants!$C$6,Design!$B$43)/1000*(1+(O21-25)*(Constants!$C$36/100))</f>
        <v>0.2297899229211933</v>
      </c>
      <c r="M21" s="165">
        <f>0.5*Snubber!$B$16/1000000000000*$C$2^2*Design!$B$33*1000000</f>
        <v>4.4879999999999998E-3</v>
      </c>
      <c r="N21" s="166">
        <f ca="1">$A21+K21*Design!$B$19</f>
        <v>99.335057817984008</v>
      </c>
      <c r="O21" s="166">
        <f ca="1">J21*Design!$C$12+A21</f>
        <v>108.41873556879693</v>
      </c>
      <c r="P21" s="166">
        <f ca="1">Constants!$D$22+Constants!$D$22*Constants!$C$23/100*(O21-25)</f>
        <v>191.73498845503755</v>
      </c>
      <c r="Q21" s="165">
        <f ca="1">(1-Constants!$C$20/1000000000*Design!$B$33*1000000) * ($C$2+C21-B21*P21/1000) - (C21+B21*Design!$B$43/1000)</f>
        <v>7.1954411563033771</v>
      </c>
      <c r="R21" s="165">
        <f ca="1">IF(Q21&gt;Design!$C$29,Design!$C$29,Q21)</f>
        <v>4.9990521327014221</v>
      </c>
      <c r="S21" s="165">
        <f t="shared" ca="1" si="63"/>
        <v>1.1745565056006988</v>
      </c>
      <c r="T21" s="165">
        <f t="shared" ca="1" si="64"/>
        <v>10.398028436018956</v>
      </c>
      <c r="U21" s="349">
        <f t="shared" ca="1" si="65"/>
        <v>89.850525949681966</v>
      </c>
      <c r="V21" s="355">
        <f t="shared" si="58"/>
        <v>2.0799999999999996</v>
      </c>
      <c r="W21" s="356">
        <f ca="1">FORECAST(V21, OFFSET(Design!$C$15:$C$17,MATCH(V21,Design!$B$15:$B$17,1)-1,0,2), OFFSET(Design!$B$15:$B$17,MATCH(V21,Design!$B$15:$B$17,1)-1,0,2))+(AH21-25)*Design!$B$18/1000</f>
        <v>0.37772060976618826</v>
      </c>
      <c r="X21" s="184">
        <f ca="1">IF(100*(Design!$C$29+W21+V21*IF(ISBLANK(Design!$B$43),Constants!$C$6,Design!$B$43)/1000*(1+Constants!$C$36/100*(AI21-25)))/($W$2+W21-V21*AJ21/1000)&gt;Design!$C$36,Design!$C$36,100*(Design!$C$29+W21+V21*IF(ISBLANK(Design!$B$43),Constants!$C$6,Design!$B$43)/1000*(1+Constants!$C$36/100*(AI21-25)))/($W$2+W21-V21*AJ21/1000))</f>
        <v>45.783821476802174</v>
      </c>
      <c r="Y21" s="183">
        <f ca="1">($W$2-V21*IF(ISBLANK(Design!$B$43),Constants!$C$6,Design!$B$43)/1000*(1+Constants!$C$36/100*(AI21-25))-Design!$C$29) / (IF(ISBLANK(Design!$B$42),Design!$B$40,Design!$B$42)/1000000) * X21/100/(IF(ISBLANK(Design!$B$33),Design!$B$32,Design!$B$33)*1000000)</f>
        <v>0.74237942148855296</v>
      </c>
      <c r="Z21" s="183">
        <f>$W$2*Constants!$C$21/1000+IF(ISBLANK(Design!$B$33),Design!$B$32,Design!$B$33)*1000000*Constants!$D$25/1000000000*($W$2-Constants!$C$24)</f>
        <v>4.4874999999999998E-2</v>
      </c>
      <c r="AA21" s="183">
        <f>$W$2*V21*($W$2/(Constants!$C$26*1000000000)*IF(ISBLANK(Design!$B$33),Design!$B$32,Design!$B$33)*1000000/2+$W$2/(Constants!$C$27*1000000000)*IF(ISBLANK(Design!$B$33),Design!$B$32,Design!$B$33)*1000000/2)</f>
        <v>0.17679999999999996</v>
      </c>
      <c r="AB21" s="183">
        <f t="shared" ca="1" si="66"/>
        <v>0.37963408490140821</v>
      </c>
      <c r="AC21" s="183">
        <f>Constants!$D$25/1000000000*Constants!$C$24*IF(ISBLANK(Design!$B$33),Design!$B$32,Design!$B$33)*1000000</f>
        <v>1.0624999999999999E-2</v>
      </c>
      <c r="AD21" s="183">
        <f t="shared" ca="1" si="67"/>
        <v>0.61193408490140822</v>
      </c>
      <c r="AE21" s="183">
        <f t="shared" ca="1" si="68"/>
        <v>0.42595421462827582</v>
      </c>
      <c r="AF21" s="183">
        <f ca="1">V21^2*IF(ISBLANK(Design!$B$43),Constants!$C$6,Design!$B$43)/1000*(1+(AI21-25)*(Constants!$C$36/100))</f>
        <v>0.22801281114085878</v>
      </c>
      <c r="AG21" s="183">
        <f>0.5*Snubber!$B$16/1000000000000*$W$2^2*Design!$B$33*1000000</f>
        <v>1.0097999999999999E-2</v>
      </c>
      <c r="AH21" s="184">
        <f ca="1">$A21+AE21*Design!$B$19</f>
        <v>109.27939023381172</v>
      </c>
      <c r="AI21" s="184">
        <f ca="1">AD21*Design!$C$12+$A21</f>
        <v>105.80575888664788</v>
      </c>
      <c r="AJ21" s="184">
        <f ca="1">Constants!$D$22+Constants!$D$22*Constants!$C$23/100*(AI21-25)</f>
        <v>189.64460710931831</v>
      </c>
      <c r="AK21" s="183">
        <f ca="1">(1-Constants!$C$20/1000000000*Design!$B$33*1000000) * ($W$2+W21-V21*AJ21/1000) - (W21+V21*Design!$B$43/1000)</f>
        <v>11.038515101698348</v>
      </c>
      <c r="AL21" s="183">
        <f ca="1">IF(AK21&gt;Design!$C$29,Design!$C$29,AK21)</f>
        <v>4.9990521327014221</v>
      </c>
      <c r="AM21" s="183">
        <f t="shared" ca="1" si="69"/>
        <v>1.2759991106705428</v>
      </c>
      <c r="AN21" s="183">
        <f t="shared" ca="1" si="70"/>
        <v>10.398028436018956</v>
      </c>
      <c r="AO21" s="357">
        <f t="shared" ca="1" si="71"/>
        <v>89.069761009495053</v>
      </c>
      <c r="AP21" s="363">
        <f t="shared" si="59"/>
        <v>2.0799999999999996</v>
      </c>
      <c r="AQ21" s="364">
        <f ca="1">FORECAST(AP21, OFFSET(Design!$C$15:$C$17,MATCH(AP21,Design!$B$15:$B$17,1)-1,0,2), OFFSET(Design!$B$15:$B$17,MATCH(AP21,Design!$B$15:$B$17,1)-1,0,2))+(BB21-25)*Design!$B$18/1000</f>
        <v>0.37295716568009346</v>
      </c>
      <c r="AR21" s="196">
        <f ca="1">IF(100*(Design!$C$29+AQ21+AP21*IF(ISBLANK(Design!$B$43),Constants!$C$6,Design!$B$43)/1000*(1+Constants!$C$36/100*(BC21-25)))/($AQ$2+AQ21-AP21*BD21/1000)&gt;Design!$C$36,Design!$C$36,100*(Design!$C$29+AQ21+AP21*IF(ISBLANK(Design!$B$43),Constants!$C$6,Design!$B$43)/1000*(1+Constants!$C$36/100*(BC21-25)))/($AQ$2+AQ21-AP21*BD21/1000))</f>
        <v>34.318683215160782</v>
      </c>
      <c r="AS21" s="195">
        <f ca="1">($AQ$2-AP21*IF(ISBLANK(Design!$B$43),Constants!$C$6,Design!$B$43)/1000*(1+Constants!$C$36/100*(BC21-25))-Design!$C$29) / (IF(ISBLANK(Design!$B$42),Design!$B$40,Design!$B$42)/1000000) * AR21/100/(IF(ISBLANK(Design!$B$33),Design!$B$32,Design!$B$33)*1000000)</f>
        <v>0.87941471293688012</v>
      </c>
      <c r="AT21" s="195">
        <f>$AQ$2*Constants!$C$21/1000+IF(ISBLANK(Design!$B$33),Design!$B$32,Design!$B$33)*1000000*Constants!$D$25/1000000000*($AQ$2-Constants!$C$24)</f>
        <v>6.3375000000000001E-2</v>
      </c>
      <c r="AU21" s="195">
        <f>$AQ$2*AP21*($AQ$2/(Constants!$C$26*1000000000)*IF(ISBLANK(Design!$B$33),Design!$B$32,Design!$B$33)*1000000/2+$AQ$2/(Constants!$C$27*1000000000)*IF(ISBLANK(Design!$B$33),Design!$B$32,Design!$B$33)*1000000/2)</f>
        <v>0.31431111111111104</v>
      </c>
      <c r="AV21" s="195">
        <f t="shared" ca="1" si="72"/>
        <v>0.2884280407807801</v>
      </c>
      <c r="AW21" s="195">
        <f>Constants!$D$25/1000000000*Constants!$C$24*IF(ISBLANK(Design!$B$33),Design!$B$32,Design!$B$33)*1000000</f>
        <v>1.0624999999999999E-2</v>
      </c>
      <c r="AX21" s="195">
        <f t="shared" ca="1" si="73"/>
        <v>0.67673915189189116</v>
      </c>
      <c r="AY21" s="195">
        <f t="shared" ca="1" si="74"/>
        <v>0.50952340912116756</v>
      </c>
      <c r="AZ21" s="195">
        <f ca="1">AP21^2*IF(ISBLANK(Design!$B$43),Constants!$C$6,Design!$B$43)/1000*(1+(BC21-25)*(Constants!$C$36/100))</f>
        <v>0.22951134683689903</v>
      </c>
      <c r="BA21" s="195">
        <f>0.5*Snubber!$B$16/1000000000000*$AQ$2^2*Design!$B$33*1000000</f>
        <v>1.7951999999999999E-2</v>
      </c>
      <c r="BB21" s="196">
        <f ca="1">$A21+AY21*Design!$B$19</f>
        <v>114.04283431990655</v>
      </c>
      <c r="BC21" s="196">
        <f ca="1">AX21*Design!$C$12+$A21</f>
        <v>108.0091311643243</v>
      </c>
      <c r="BD21" s="196">
        <f ca="1">Constants!$D$22+Constants!$D$22*Constants!$C$23/100*(BC21-25)</f>
        <v>191.40730493145946</v>
      </c>
      <c r="BE21" s="195">
        <f ca="1">(1-Constants!$C$20/1000000000*Design!$B$33*1000000) * ($AQ$2+AQ21-AP21*BD21/1000) - (AQ21+AP21*Design!$B$43/1000)</f>
        <v>14.873689045646376</v>
      </c>
      <c r="BF21" s="195">
        <f ca="1">IF(BE21&gt;Design!$C$29,Design!$C$29,BE21)</f>
        <v>4.9990521327014221</v>
      </c>
      <c r="BG21" s="195">
        <f t="shared" ca="1" si="75"/>
        <v>1.4337259078499578</v>
      </c>
      <c r="BH21" s="195">
        <f t="shared" ca="1" si="76"/>
        <v>10.398028436018956</v>
      </c>
      <c r="BI21" s="365">
        <f t="shared" ca="1" si="77"/>
        <v>87.882389490338781</v>
      </c>
    </row>
    <row r="22" spans="1:61" ht="12.75" customHeight="1" x14ac:dyDescent="0.25">
      <c r="A22" s="112">
        <f>Design!$D$13</f>
        <v>85</v>
      </c>
      <c r="B22" s="347">
        <f t="shared" si="57"/>
        <v>2.3849999999999998</v>
      </c>
      <c r="C22" s="348">
        <f ca="1">FORECAST(B22, OFFSET(Design!$C$15:$C$17,MATCH(B22,Design!$B$15:$B$17,1)-1,0,2), OFFSET(Design!$B$15:$B$17,MATCH(B22,Design!$B$15:$B$17,1)-1,0,2))+(N22-25)*Design!$B$18/1000</f>
        <v>0.39342427589408563</v>
      </c>
      <c r="D22" s="166">
        <f ca="1">IF(100*(Design!$C$29+C22+B22*IF(ISBLANK(Design!$B$43),Constants!$C$6,Design!$B$43)/1000*(1+Constants!$C$36/100*(O22-25)))/($C$2+C22-B22*P22/1000)&gt;Design!$C$36,Design!$C$36,100*(Design!$C$29+C22+B22*IF(ISBLANK(Design!$B$43),Constants!$C$6,Design!$B$43)/1000*(1+Constants!$C$36/100*(O22-25)))/($C$2+C22-B22*P22/1000))</f>
        <v>69.70924955823584</v>
      </c>
      <c r="E22" s="165">
        <f ca="1">IF(($C$2-B22*IF(ISBLANK(Design!$B$43),Constants!$C$6,Design!$B$43)/1000*(1+Constants!$C$36/100*(O22-25))-Design!$C$29) / (IF(ISBLANK(Design!$B$42),Design!$B$40,Design!$B$42)/1000000) * D22/100/(IF(ISBLANK(Design!$B$33),Design!$B$32,Design!$B$33)*1000000)&lt;0,0,($C$2-B22*IF(ISBLANK(Design!$B$43),Constants!$C$6,Design!$B$43)/1000*(1+Constants!$C$36/100*(O22-25))-Design!$C$29) / (IF(ISBLANK(Design!$B$42),Design!$B$40,Design!$B$42)/1000000) * D22/100/(IF(ISBLANK(Design!$B$33),Design!$B$32,Design!$B$33)*1000000))</f>
        <v>0.47097183900125111</v>
      </c>
      <c r="F22" s="165">
        <f>$C$2*Constants!$C$21/1000+IF(ISBLANK(Design!$B$33),Design!$B$32,Design!$B$33)*1000000*Constants!$D$25/1000000000*($C$2-Constants!$C$24)</f>
        <v>2.6375000000000003E-2</v>
      </c>
      <c r="G22" s="165">
        <f>$C$2*B22*($C$2/(Constants!$C$26*1000000000)*IF(ISBLANK(Design!$B$33),Design!$B$32,Design!$B$33)*1000000/2+$C$2/(Constants!$C$27*1000000000)*IF(ISBLANK(Design!$B$33),Design!$B$32,Design!$B$33)*1000000/2)</f>
        <v>9.01E-2</v>
      </c>
      <c r="H22" s="165">
        <f t="shared" ca="1" si="60"/>
        <v>0.7871365093183913</v>
      </c>
      <c r="I22" s="165">
        <f>Constants!$D$25/1000000000*Constants!$C$24*IF(ISBLANK(Design!$B$33),Design!$B$32,Design!$B$33)*1000000</f>
        <v>1.0624999999999999E-2</v>
      </c>
      <c r="J22" s="165">
        <f t="shared" ca="1" si="61"/>
        <v>0.91423650931839129</v>
      </c>
      <c r="K22" s="165">
        <f t="shared" ca="1" si="62"/>
        <v>0.2842232299283225</v>
      </c>
      <c r="L22" s="165">
        <f ca="1">B22^2*IF(ISBLANK(Design!$B$43),Constants!$C$6,Design!$B$43)/1000*(1+(O22-25)*(Constants!$C$36/100))</f>
        <v>0.30897534508852947</v>
      </c>
      <c r="M22" s="165">
        <f>0.5*Snubber!$B$16/1000000000000*$C$2^2*Design!$B$33*1000000</f>
        <v>4.4879999999999998E-3</v>
      </c>
      <c r="N22" s="166">
        <f ca="1">$A22+K22*Design!$B$19</f>
        <v>101.20072410591439</v>
      </c>
      <c r="O22" s="166">
        <f ca="1">J22*Design!$C$12+A22</f>
        <v>116.08404131682531</v>
      </c>
      <c r="P22" s="166">
        <f ca="1">Constants!$D$22+Constants!$D$22*Constants!$C$23/100*(O22-25)</f>
        <v>197.86723305346027</v>
      </c>
      <c r="Q22" s="165">
        <f ca="1">(1-Constants!$C$20/1000000000*Design!$B$33*1000000) * ($C$2+C22-B22*P22/1000) - (C22+B22*Design!$B$43/1000)</f>
        <v>7.1128556455681364</v>
      </c>
      <c r="R22" s="165">
        <f ca="1">IF(Q22&gt;Design!$C$29,Design!$C$29,Q22)</f>
        <v>4.9990521327014221</v>
      </c>
      <c r="S22" s="165">
        <f t="shared" ca="1" si="63"/>
        <v>1.5119230843352434</v>
      </c>
      <c r="T22" s="165">
        <f t="shared" ca="1" si="64"/>
        <v>11.92273933649289</v>
      </c>
      <c r="U22" s="349">
        <f t="shared" ca="1" si="65"/>
        <v>88.746102901765013</v>
      </c>
      <c r="V22" s="355">
        <f t="shared" si="58"/>
        <v>2.3849999999999998</v>
      </c>
      <c r="W22" s="356">
        <f ca="1">FORECAST(V22, OFFSET(Design!$C$15:$C$17,MATCH(V22,Design!$B$15:$B$17,1)-1,0,2), OFFSET(Design!$B$15:$B$17,MATCH(V22,Design!$B$15:$B$17,1)-1,0,2))+(AH22-25)*Design!$B$18/1000</f>
        <v>0.38171535141351204</v>
      </c>
      <c r="X22" s="184">
        <f ca="1">IF(100*(Design!$C$29+W22+V22*IF(ISBLANK(Design!$B$43),Constants!$C$6,Design!$B$43)/1000*(1+Constants!$C$36/100*(AI22-25)))/($W$2+W22-V22*AJ22/1000)&gt;Design!$C$36,Design!$C$36,100*(Design!$C$29+W22+V22*IF(ISBLANK(Design!$B$43),Constants!$C$6,Design!$B$43)/1000*(1+Constants!$C$36/100*(AI22-25)))/($W$2+W22-V22*AJ22/1000))</f>
        <v>46.216197566014301</v>
      </c>
      <c r="Y22" s="183">
        <f ca="1">($W$2-V22*IF(ISBLANK(Design!$B$43),Constants!$C$6,Design!$B$43)/1000*(1+Constants!$C$36/100*(AI22-25))-Design!$C$29) / (IF(ISBLANK(Design!$B$42),Design!$B$40,Design!$B$42)/1000000) * X22/100/(IF(ISBLANK(Design!$B$33),Design!$B$32,Design!$B$33)*1000000)</f>
        <v>0.74741988823632433</v>
      </c>
      <c r="Z22" s="183">
        <f>$W$2*Constants!$C$21/1000+IF(ISBLANK(Design!$B$33),Design!$B$32,Design!$B$33)*1000000*Constants!$D$25/1000000000*($W$2-Constants!$C$24)</f>
        <v>4.4874999999999998E-2</v>
      </c>
      <c r="AA22" s="183">
        <f>$W$2*V22*($W$2/(Constants!$C$26*1000000000)*IF(ISBLANK(Design!$B$33),Design!$B$32,Design!$B$33)*1000000/2+$W$2/(Constants!$C$27*1000000000)*IF(ISBLANK(Design!$B$33),Design!$B$32,Design!$B$33)*1000000/2)</f>
        <v>0.20272499999999996</v>
      </c>
      <c r="AB22" s="183">
        <f t="shared" ca="1" si="66"/>
        <v>0.51420354529453682</v>
      </c>
      <c r="AC22" s="183">
        <f>Constants!$D$25/1000000000*Constants!$C$24*IF(ISBLANK(Design!$B$33),Design!$B$32,Design!$B$33)*1000000</f>
        <v>1.0624999999999999E-2</v>
      </c>
      <c r="AD22" s="183">
        <f t="shared" ca="1" si="67"/>
        <v>0.77242854529453675</v>
      </c>
      <c r="AE22" s="183">
        <f t="shared" ca="1" si="68"/>
        <v>0.48964295765768356</v>
      </c>
      <c r="AF22" s="183">
        <f ca="1">V22^2*IF(ISBLANK(Design!$B$43),Constants!$C$6,Design!$B$43)/1000*(1+(AI22-25)*(Constants!$C$36/100))</f>
        <v>0.30466403910072765</v>
      </c>
      <c r="AG22" s="183">
        <f>0.5*Snubber!$B$16/1000000000000*$W$2^2*Design!$B$33*1000000</f>
        <v>1.0097999999999999E-2</v>
      </c>
      <c r="AH22" s="184">
        <f ca="1">$A22+AE22*Design!$B$19</f>
        <v>112.90964858648796</v>
      </c>
      <c r="AI22" s="184">
        <f ca="1">AD22*Design!$C$12+$A22</f>
        <v>111.26257054001425</v>
      </c>
      <c r="AJ22" s="184">
        <f ca="1">Constants!$D$22+Constants!$D$22*Constants!$C$23/100*(AI22-25)</f>
        <v>194.01005643201142</v>
      </c>
      <c r="AK22" s="183">
        <f ca="1">(1-Constants!$C$20/1000000000*Design!$B$33*1000000) * ($W$2+W22-V22*AJ22/1000) - (W22+V22*Design!$B$43/1000)</f>
        <v>10.960656335224165</v>
      </c>
      <c r="AL22" s="183">
        <f ca="1">IF(AK22&gt;Design!$C$29,Design!$C$29,AK22)</f>
        <v>4.9990521327014221</v>
      </c>
      <c r="AM22" s="183">
        <f t="shared" ca="1" si="69"/>
        <v>1.5768335420529478</v>
      </c>
      <c r="AN22" s="183">
        <f t="shared" ca="1" si="70"/>
        <v>11.92273933649289</v>
      </c>
      <c r="AO22" s="357">
        <f t="shared" ca="1" si="71"/>
        <v>88.319381981640873</v>
      </c>
      <c r="AP22" s="363">
        <f t="shared" si="59"/>
        <v>2.3849999999999998</v>
      </c>
      <c r="AQ22" s="364">
        <f ca="1">FORECAST(AP22, OFFSET(Design!$C$15:$C$17,MATCH(AP22,Design!$B$15:$B$17,1)-1,0,2), OFFSET(Design!$B$15:$B$17,MATCH(AP22,Design!$B$15:$B$17,1)-1,0,2))+(BB22-25)*Design!$B$18/1000</f>
        <v>0.37617577867712543</v>
      </c>
      <c r="AR22" s="196">
        <f ca="1">IF(100*(Design!$C$29+AQ22+AP22*IF(ISBLANK(Design!$B$43),Constants!$C$6,Design!$B$43)/1000*(1+Constants!$C$36/100*(BC22-25)))/($AQ$2+AQ22-AP22*BD22/1000)&gt;Design!$C$36,Design!$C$36,100*(Design!$C$29+AQ22+AP22*IF(ISBLANK(Design!$B$43),Constants!$C$6,Design!$B$43)/1000*(1+Constants!$C$36/100*(BC22-25)))/($AQ$2+AQ22-AP22*BD22/1000))</f>
        <v>34.591838148327476</v>
      </c>
      <c r="AS22" s="195">
        <f ca="1">($AQ$2-AP22*IF(ISBLANK(Design!$B$43),Constants!$C$6,Design!$B$43)/1000*(1+Constants!$C$36/100*(BC22-25))-Design!$C$29) / (IF(ISBLANK(Design!$B$42),Design!$B$40,Design!$B$42)/1000000) * AR22/100/(IF(ISBLANK(Design!$B$33),Design!$B$32,Design!$B$33)*1000000)</f>
        <v>0.88494532731359854</v>
      </c>
      <c r="AT22" s="195">
        <f>$AQ$2*Constants!$C$21/1000+IF(ISBLANK(Design!$B$33),Design!$B$32,Design!$B$33)*1000000*Constants!$D$25/1000000000*($AQ$2-Constants!$C$24)</f>
        <v>6.3375000000000001E-2</v>
      </c>
      <c r="AU22" s="195">
        <f>$AQ$2*AP22*($AQ$2/(Constants!$C$26*1000000000)*IF(ISBLANK(Design!$B$33),Design!$B$32,Design!$B$33)*1000000/2+$AQ$2/(Constants!$C$27*1000000000)*IF(ISBLANK(Design!$B$33),Design!$B$32,Design!$B$33)*1000000/2)</f>
        <v>0.3604</v>
      </c>
      <c r="AV22" s="195">
        <f t="shared" ca="1" si="72"/>
        <v>0.38887862751747615</v>
      </c>
      <c r="AW22" s="195">
        <f>Constants!$D$25/1000000000*Constants!$C$24*IF(ISBLANK(Design!$B$33),Design!$B$32,Design!$B$33)*1000000</f>
        <v>1.0624999999999999E-2</v>
      </c>
      <c r="AX22" s="195">
        <f t="shared" ca="1" si="73"/>
        <v>0.82327862751747616</v>
      </c>
      <c r="AY22" s="195">
        <f t="shared" ca="1" si="74"/>
        <v>0.58682844426095782</v>
      </c>
      <c r="AZ22" s="195">
        <f ca="1">AP22^2*IF(ISBLANK(Design!$B$43),Constants!$C$6,Design!$B$43)/1000*(1+(BC22-25)*(Constants!$C$36/100))</f>
        <v>0.30621000491073741</v>
      </c>
      <c r="BA22" s="195">
        <f>0.5*Snubber!$B$16/1000000000000*$AQ$2^2*Design!$B$33*1000000</f>
        <v>1.7951999999999999E-2</v>
      </c>
      <c r="BB22" s="196">
        <f ca="1">$A22+AY22*Design!$B$19</f>
        <v>118.44922132287459</v>
      </c>
      <c r="BC22" s="196">
        <f ca="1">AX22*Design!$C$12+$A22</f>
        <v>112.99147333559419</v>
      </c>
      <c r="BD22" s="196">
        <f ca="1">Constants!$D$22+Constants!$D$22*Constants!$C$23/100*(BC22-25)</f>
        <v>195.39317866847534</v>
      </c>
      <c r="BE22" s="195">
        <f ca="1">(1-Constants!$C$20/1000000000*Design!$B$33*1000000) * ($AQ$2+AQ22-AP22*BD22/1000) - (AQ22+AP22*Design!$B$43/1000)</f>
        <v>14.796214435830741</v>
      </c>
      <c r="BF22" s="195">
        <f ca="1">IF(BE22&gt;Design!$C$29,Design!$C$29,BE22)</f>
        <v>4.9990521327014221</v>
      </c>
      <c r="BG22" s="195">
        <f t="shared" ca="1" si="75"/>
        <v>1.7342690766891713</v>
      </c>
      <c r="BH22" s="195">
        <f t="shared" ca="1" si="76"/>
        <v>11.92273933649289</v>
      </c>
      <c r="BI22" s="365">
        <f t="shared" ca="1" si="77"/>
        <v>87.301252044223574</v>
      </c>
    </row>
    <row r="23" spans="1:61" ht="12.75" customHeight="1" x14ac:dyDescent="0.25">
      <c r="A23" s="112">
        <f>Design!$D$13</f>
        <v>85</v>
      </c>
      <c r="B23" s="347">
        <f t="shared" si="57"/>
        <v>2.69</v>
      </c>
      <c r="C23" s="348">
        <f ca="1">FORECAST(B23, OFFSET(Design!$C$15:$C$17,MATCH(B23,Design!$B$15:$B$17,1)-1,0,2), OFFSET(Design!$B$15:$B$17,MATCH(B23,Design!$B$15:$B$17,1)-1,0,2))+(N23-25)*Design!$B$18/1000</f>
        <v>0.39931721933632225</v>
      </c>
      <c r="D23" s="166">
        <f ca="1">IF(100*(Design!$C$29+C23+B23*IF(ISBLANK(Design!$B$43),Constants!$C$6,Design!$B$43)/1000*(1+Constants!$C$36/100*(O23-25)))/($C$2+C23-B23*P23/1000)&gt;Design!$C$36,Design!$C$36,100*(Design!$C$29+C23+B23*IF(ISBLANK(Design!$B$43),Constants!$C$6,Design!$B$43)/1000*(1+Constants!$C$36/100*(O23-25)))/($C$2+C23-B23*P23/1000))</f>
        <v>70.711140361992747</v>
      </c>
      <c r="E23" s="165">
        <f ca="1">IF(($C$2-B23*IF(ISBLANK(Design!$B$43),Constants!$C$6,Design!$B$43)/1000*(1+Constants!$C$36/100*(O23-25))-Design!$C$29) / (IF(ISBLANK(Design!$B$42),Design!$B$40,Design!$B$42)/1000000) * D23/100/(IF(ISBLANK(Design!$B$33),Design!$B$32,Design!$B$33)*1000000)&lt;0,0,($C$2-B23*IF(ISBLANK(Design!$B$43),Constants!$C$6,Design!$B$43)/1000*(1+Constants!$C$36/100*(O23-25))-Design!$C$29) / (IF(ISBLANK(Design!$B$42),Design!$B$40,Design!$B$42)/1000000) * D23/100/(IF(ISBLANK(Design!$B$33),Design!$B$32,Design!$B$33)*1000000))</f>
        <v>0.47431876685168051</v>
      </c>
      <c r="F23" s="165">
        <f>$C$2*Constants!$C$21/1000+IF(ISBLANK(Design!$B$33),Design!$B$32,Design!$B$33)*1000000*Constants!$D$25/1000000000*($C$2-Constants!$C$24)</f>
        <v>2.6375000000000003E-2</v>
      </c>
      <c r="G23" s="165">
        <f>$C$2*B23*($C$2/(Constants!$C$26*1000000000)*IF(ISBLANK(Design!$B$33),Design!$B$32,Design!$B$33)*1000000/2+$C$2/(Constants!$C$27*1000000000)*IF(ISBLANK(Design!$B$33),Design!$B$32,Design!$B$33)*1000000/2)</f>
        <v>0.10162222222222222</v>
      </c>
      <c r="H23" s="165">
        <f t="shared" ca="1" si="60"/>
        <v>1.0538847542323388</v>
      </c>
      <c r="I23" s="165">
        <f>Constants!$D$25/1000000000*Constants!$C$24*IF(ISBLANK(Design!$B$33),Design!$B$32,Design!$B$33)*1000000</f>
        <v>1.0624999999999999E-2</v>
      </c>
      <c r="J23" s="165">
        <f t="shared" ca="1" si="61"/>
        <v>1.1925069764545613</v>
      </c>
      <c r="K23" s="165">
        <f t="shared" ca="1" si="62"/>
        <v>0.31461018708206612</v>
      </c>
      <c r="L23" s="165">
        <f ca="1">B23^2*IF(ISBLANK(Design!$B$43),Constants!$C$6,Design!$B$43)/1000*(1+(O23-25)*(Constants!$C$36/100))</f>
        <v>0.40381570744931916</v>
      </c>
      <c r="M23" s="165">
        <f>0.5*Snubber!$B$16/1000000000000*$C$2^2*Design!$B$33*1000000</f>
        <v>4.4879999999999998E-3</v>
      </c>
      <c r="N23" s="166">
        <f ca="1">$A23+K23*Design!$B$19</f>
        <v>102.93278066367776</v>
      </c>
      <c r="O23" s="166">
        <f ca="1">J23*Design!$C$12+A23</f>
        <v>125.54523719945507</v>
      </c>
      <c r="P23" s="166">
        <f ca="1">Constants!$D$22+Constants!$D$22*Constants!$C$23/100*(O23-25)</f>
        <v>205.43618975956406</v>
      </c>
      <c r="Q23" s="165">
        <f ca="1">(1-Constants!$C$20/1000000000*Design!$B$33*1000000) * ($C$2+C23-B23*P23/1000) - (C23+B23*Design!$B$43/1000)</f>
        <v>7.0229663845906174</v>
      </c>
      <c r="R23" s="165">
        <f ca="1">IF(Q23&gt;Design!$C$29,Design!$C$29,Q23)</f>
        <v>4.9990521327014221</v>
      </c>
      <c r="S23" s="165">
        <f t="shared" ca="1" si="63"/>
        <v>1.9154208709859466</v>
      </c>
      <c r="T23" s="165">
        <f t="shared" ca="1" si="64"/>
        <v>13.447450236966825</v>
      </c>
      <c r="U23" s="349">
        <f t="shared" ca="1" si="65"/>
        <v>87.532142543366092</v>
      </c>
      <c r="V23" s="355">
        <f t="shared" si="58"/>
        <v>2.69</v>
      </c>
      <c r="W23" s="356">
        <f ca="1">FORECAST(V23, OFFSET(Design!$C$15:$C$17,MATCH(V23,Design!$B$15:$B$17,1)-1,0,2), OFFSET(Design!$B$15:$B$17,MATCH(V23,Design!$B$15:$B$17,1)-1,0,2))+(AH23-25)*Design!$B$18/1000</f>
        <v>0.38571547808475048</v>
      </c>
      <c r="X23" s="184">
        <f ca="1">IF(100*(Design!$C$29+W23+V23*IF(ISBLANK(Design!$B$43),Constants!$C$6,Design!$B$43)/1000*(1+Constants!$C$36/100*(AI23-25)))/($W$2+W23-V23*AJ23/1000)&gt;Design!$C$36,Design!$C$36,100*(Design!$C$29+W23+V23*IF(ISBLANK(Design!$B$43),Constants!$C$6,Design!$B$43)/1000*(1+Constants!$C$36/100*(AI23-25)))/($W$2+W23-V23*AJ23/1000))</f>
        <v>46.679765738053156</v>
      </c>
      <c r="Y23" s="183">
        <f ca="1">($W$2-V23*IF(ISBLANK(Design!$B$43),Constants!$C$6,Design!$B$43)/1000*(1+Constants!$C$36/100*(AI23-25))-Design!$C$29) / (IF(ISBLANK(Design!$B$42),Design!$B$40,Design!$B$42)/1000000) * X23/100/(IF(ISBLANK(Design!$B$33),Design!$B$32,Design!$B$33)*1000000)</f>
        <v>0.75282445810865983</v>
      </c>
      <c r="Z23" s="183">
        <f>$W$2*Constants!$C$21/1000+IF(ISBLANK(Design!$B$33),Design!$B$32,Design!$B$33)*1000000*Constants!$D$25/1000000000*($W$2-Constants!$C$24)</f>
        <v>4.4874999999999998E-2</v>
      </c>
      <c r="AA23" s="183">
        <f>$W$2*V23*($W$2/(Constants!$C$26*1000000000)*IF(ISBLANK(Design!$B$33),Design!$B$32,Design!$B$33)*1000000/2+$W$2/(Constants!$C$27*1000000000)*IF(ISBLANK(Design!$B$33),Design!$B$32,Design!$B$33)*1000000/2)</f>
        <v>0.22864999999999999</v>
      </c>
      <c r="AB23" s="183">
        <f t="shared" ca="1" si="66"/>
        <v>0.67706109531007563</v>
      </c>
      <c r="AC23" s="183">
        <f>Constants!$D$25/1000000000*Constants!$C$24*IF(ISBLANK(Design!$B$33),Design!$B$32,Design!$B$33)*1000000</f>
        <v>1.0624999999999999E-2</v>
      </c>
      <c r="AD23" s="183">
        <f t="shared" ca="1" si="67"/>
        <v>0.96121109531007565</v>
      </c>
      <c r="AE23" s="183">
        <f t="shared" ca="1" si="68"/>
        <v>0.55323722658332464</v>
      </c>
      <c r="AF23" s="183">
        <f ca="1">V23^2*IF(ISBLANK(Design!$B$43),Constants!$C$6,Design!$B$43)/1000*(1+(AI23-25)*(Constants!$C$36/100))</f>
        <v>0.39487022191428156</v>
      </c>
      <c r="AG23" s="183">
        <f>0.5*Snubber!$B$16/1000000000000*$W$2^2*Design!$B$33*1000000</f>
        <v>1.0097999999999999E-2</v>
      </c>
      <c r="AH23" s="184">
        <f ca="1">$A23+AE23*Design!$B$19</f>
        <v>116.5345219152495</v>
      </c>
      <c r="AI23" s="184">
        <f ca="1">AD23*Design!$C$12+$A23</f>
        <v>117.68117724054258</v>
      </c>
      <c r="AJ23" s="184">
        <f ca="1">Constants!$D$22+Constants!$D$22*Constants!$C$23/100*(AI23-25)</f>
        <v>199.14494179243405</v>
      </c>
      <c r="AK23" s="183">
        <f ca="1">(1-Constants!$C$20/1000000000*Design!$B$33*1000000) * ($W$2+W23-V23*AJ23/1000) - (W23+V23*Design!$B$43/1000)</f>
        <v>10.878255727347579</v>
      </c>
      <c r="AL23" s="183">
        <f ca="1">IF(AK23&gt;Design!$C$29,Design!$C$29,AK23)</f>
        <v>4.9990521327014221</v>
      </c>
      <c r="AM23" s="183">
        <f t="shared" ca="1" si="69"/>
        <v>1.9194165438076818</v>
      </c>
      <c r="AN23" s="183">
        <f t="shared" ca="1" si="70"/>
        <v>13.447450236966825</v>
      </c>
      <c r="AO23" s="357">
        <f t="shared" ca="1" si="71"/>
        <v>87.509382548893669</v>
      </c>
      <c r="AP23" s="363">
        <f t="shared" si="59"/>
        <v>2.69</v>
      </c>
      <c r="AQ23" s="364">
        <f ca="1">FORECAST(AP23, OFFSET(Design!$C$15:$C$17,MATCH(AP23,Design!$B$15:$B$17,1)-1,0,2), OFFSET(Design!$B$15:$B$17,MATCH(AP23,Design!$B$15:$B$17,1)-1,0,2))+(BB23-25)*Design!$B$18/1000</f>
        <v>0.37937069598423834</v>
      </c>
      <c r="AR23" s="196">
        <f ca="1">IF(100*(Design!$C$29+AQ23+AP23*IF(ISBLANK(Design!$B$43),Constants!$C$6,Design!$B$43)/1000*(1+Constants!$C$36/100*(BC23-25)))/($AQ$2+AQ23-AP23*BD23/1000)&gt;Design!$C$36,Design!$C$36,100*(Design!$C$29+AQ23+AP23*IF(ISBLANK(Design!$B$43),Constants!$C$6,Design!$B$43)/1000*(1+Constants!$C$36/100*(BC23-25)))/($AQ$2+AQ23-AP23*BD23/1000))</f>
        <v>34.880497524783635</v>
      </c>
      <c r="AS23" s="195">
        <f ca="1">($AQ$2-AP23*IF(ISBLANK(Design!$B$43),Constants!$C$6,Design!$B$43)/1000*(1+Constants!$C$36/100*(BC23-25))-Design!$C$29) / (IF(ISBLANK(Design!$B$42),Design!$B$40,Design!$B$42)/1000000) * AR23/100/(IF(ISBLANK(Design!$B$33),Design!$B$32,Design!$B$33)*1000000)</f>
        <v>0.89078606061192889</v>
      </c>
      <c r="AT23" s="195">
        <f>$AQ$2*Constants!$C$21/1000+IF(ISBLANK(Design!$B$33),Design!$B$32,Design!$B$33)*1000000*Constants!$D$25/1000000000*($AQ$2-Constants!$C$24)</f>
        <v>6.3375000000000001E-2</v>
      </c>
      <c r="AU23" s="195">
        <f>$AQ$2*AP23*($AQ$2/(Constants!$C$26*1000000000)*IF(ISBLANK(Design!$B$33),Design!$B$32,Design!$B$33)*1000000/2+$AQ$2/(Constants!$C$27*1000000000)*IF(ISBLANK(Design!$B$33),Design!$B$32,Design!$B$33)*1000000/2)</f>
        <v>0.4064888888888889</v>
      </c>
      <c r="AV23" s="195">
        <f t="shared" ca="1" si="72"/>
        <v>0.50920595178905281</v>
      </c>
      <c r="AW23" s="195">
        <f>Constants!$D$25/1000000000*Constants!$C$24*IF(ISBLANK(Design!$B$33),Design!$B$32,Design!$B$33)*1000000</f>
        <v>1.0624999999999999E-2</v>
      </c>
      <c r="AX23" s="195">
        <f t="shared" ca="1" si="73"/>
        <v>0.98969484067794167</v>
      </c>
      <c r="AY23" s="195">
        <f t="shared" ca="1" si="74"/>
        <v>0.66454919325897732</v>
      </c>
      <c r="AZ23" s="195">
        <f ca="1">AP23^2*IF(ISBLANK(Design!$B$43),Constants!$C$6,Design!$B$43)/1000*(1+(BC23-25)*(Constants!$C$36/100))</f>
        <v>0.39597184521561818</v>
      </c>
      <c r="BA23" s="195">
        <f>0.5*Snubber!$B$16/1000000000000*$AQ$2^2*Design!$B$33*1000000</f>
        <v>1.7951999999999999E-2</v>
      </c>
      <c r="BB23" s="196">
        <f ca="1">$A23+AY23*Design!$B$19</f>
        <v>122.8793040157617</v>
      </c>
      <c r="BC23" s="196">
        <f ca="1">AX23*Design!$C$12+$A23</f>
        <v>118.64962458305001</v>
      </c>
      <c r="BD23" s="196">
        <f ca="1">Constants!$D$22+Constants!$D$22*Constants!$C$23/100*(BC23-25)</f>
        <v>199.91969966644001</v>
      </c>
      <c r="BE23" s="195">
        <f ca="1">(1-Constants!$C$20/1000000000*Design!$B$33*1000000) * ($AQ$2+AQ23-AP23*BD23/1000) - (AQ23+AP23*Design!$B$43/1000)</f>
        <v>14.71501194472806</v>
      </c>
      <c r="BF23" s="195">
        <f ca="1">IF(BE23&gt;Design!$C$29,Design!$C$29,BE23)</f>
        <v>4.9990521327014221</v>
      </c>
      <c r="BG23" s="195">
        <f t="shared" ca="1" si="75"/>
        <v>2.0681678791525373</v>
      </c>
      <c r="BH23" s="195">
        <f t="shared" ca="1" si="76"/>
        <v>13.447450236966825</v>
      </c>
      <c r="BI23" s="365">
        <f t="shared" ca="1" si="77"/>
        <v>86.670412588951947</v>
      </c>
    </row>
    <row r="24" spans="1:61" ht="12.75" customHeight="1" thickBot="1" x14ac:dyDescent="0.3">
      <c r="A24" s="121">
        <f>Design!$D$13</f>
        <v>85</v>
      </c>
      <c r="B24" s="347">
        <f t="shared" si="57"/>
        <v>2.9950000000000001</v>
      </c>
      <c r="C24" s="350">
        <f ca="1">FORECAST(B24, OFFSET(Design!$C$15:$C$17,MATCH(B24,Design!$B$15:$B$17,1)-1,0,2), OFFSET(Design!$B$15:$B$17,MATCH(B24,Design!$B$15:$B$17,1)-1,0,2))+(N24-25)*Design!$B$18/1000</f>
        <v>0.40539428663738697</v>
      </c>
      <c r="D24" s="168">
        <f ca="1">IF(100*(Design!$C$29+C24+B24*IF(ISBLANK(Design!$B$43),Constants!$C$6,Design!$B$43)/1000*(1+Constants!$C$36/100*(O24-25)))/($C$2+C24-B24*P24/1000)&gt;Design!$C$36,Design!$C$36,100*(Design!$C$29+C24+B24*IF(ISBLANK(Design!$B$43),Constants!$C$6,Design!$B$43)/1000*(1+Constants!$C$36/100*(O24-25)))/($C$2+C24-B24*P24/1000))</f>
        <v>71.851480988440429</v>
      </c>
      <c r="E24" s="167">
        <f ca="1">IF(($C$2-B24*IF(ISBLANK(Design!$B$43),Constants!$C$6,Design!$B$43)/1000*(1+Constants!$C$36/100*(O24-25))-Design!$C$29) / (IF(ISBLANK(Design!$B$42),Design!$B$40,Design!$B$42)/1000000) * D24/100/(IF(ISBLANK(Design!$B$33),Design!$B$32,Design!$B$33)*1000000)&lt;0,0,($C$2-B24*IF(ISBLANK(Design!$B$43),Constants!$C$6,Design!$B$43)/1000*(1+Constants!$C$36/100*(O24-25))-Design!$C$29) / (IF(ISBLANK(Design!$B$42),Design!$B$40,Design!$B$42)/1000000) * D24/100/(IF(ISBLANK(Design!$B$33),Design!$B$32,Design!$B$33)*1000000))</f>
        <v>0.47815637017994234</v>
      </c>
      <c r="F24" s="167">
        <f>$C$2*Constants!$C$21/1000+IF(ISBLANK(Design!$B$33),Design!$B$32,Design!$B$33)*1000000*Constants!$D$25/1000000000*($C$2-Constants!$C$24)</f>
        <v>2.6375000000000003E-2</v>
      </c>
      <c r="G24" s="167">
        <f>$C$2*B24*($C$2/(Constants!$C$26*1000000000)*IF(ISBLANK(Design!$B$33),Design!$B$32,Design!$B$33)*1000000/2+$C$2/(Constants!$C$27*1000000000)*IF(ISBLANK(Design!$B$33),Design!$B$32,Design!$B$33)*1000000/2)</f>
        <v>0.11314444444444445</v>
      </c>
      <c r="H24" s="167">
        <f t="shared" ca="1" si="60"/>
        <v>1.3875020399240561</v>
      </c>
      <c r="I24" s="167">
        <f>Constants!$D$25/1000000000*Constants!$C$24*IF(ISBLANK(Design!$B$33),Design!$B$32,Design!$B$33)*1000000</f>
        <v>1.0624999999999999E-2</v>
      </c>
      <c r="J24" s="167">
        <f t="shared" ca="1" si="61"/>
        <v>1.5376464843685007</v>
      </c>
      <c r="K24" s="167">
        <f t="shared" ca="1" si="62"/>
        <v>0.34176690109847402</v>
      </c>
      <c r="L24" s="167">
        <f ca="1">B24^2*IF(ISBLANK(Design!$B$43),Constants!$C$6,Design!$B$43)/1000*(1+(O24-25)*(Constants!$C$36/100))</f>
        <v>0.5171256452393086</v>
      </c>
      <c r="M24" s="167">
        <f>0.5*Snubber!$B$16/1000000000000*$C$2^2*Design!$B$33*1000000</f>
        <v>4.4879999999999998E-3</v>
      </c>
      <c r="N24" s="168">
        <f ca="1">$A24+K24*Design!$B$19</f>
        <v>104.48071336261302</v>
      </c>
      <c r="O24" s="168">
        <f ca="1">J24*Design!$C$12+A24</f>
        <v>137.27998046852903</v>
      </c>
      <c r="P24" s="168">
        <f ca="1">Constants!$D$22+Constants!$D$22*Constants!$C$23/100*(O24-25)</f>
        <v>214.82398437482323</v>
      </c>
      <c r="Q24" s="167">
        <f ca="1">(1-Constants!$C$20/1000000000*Design!$B$33*1000000) * ($C$2+C24-B24*P24/1000) - (C24+B24*Design!$B$43/1000)</f>
        <v>6.923411559989975</v>
      </c>
      <c r="R24" s="167">
        <f ca="1">IF(Q24&gt;Design!$C$29,Design!$C$29,Q24)</f>
        <v>4.9990521327014221</v>
      </c>
      <c r="S24" s="167">
        <f t="shared" ca="1" si="63"/>
        <v>2.4010270307062833</v>
      </c>
      <c r="T24" s="167">
        <f t="shared" ca="1" si="64"/>
        <v>14.972161137440759</v>
      </c>
      <c r="U24" s="351">
        <f t="shared" ca="1" si="65"/>
        <v>86.179698236916252</v>
      </c>
      <c r="V24" s="355">
        <f t="shared" si="58"/>
        <v>2.9950000000000001</v>
      </c>
      <c r="W24" s="358">
        <f ca="1">FORECAST(V24, OFFSET(Design!$C$15:$C$17,MATCH(V24,Design!$B$15:$B$17,1)-1,0,2), OFFSET(Design!$B$15:$B$17,MATCH(V24,Design!$B$15:$B$17,1)-1,0,2))+(AH24-25)*Design!$B$18/1000</f>
        <v>0.38973336206632692</v>
      </c>
      <c r="X24" s="188">
        <f ca="1">IF(100*(Design!$C$29+W24+V24*IF(ISBLANK(Design!$B$43),Constants!$C$6,Design!$B$43)/1000*(1+Constants!$C$36/100*(AI24-25)))/($W$2+W24-V24*AJ24/1000)&gt;Design!$C$36,Design!$C$36,100*(Design!$C$29+W24+V24*IF(ISBLANK(Design!$B$43),Constants!$C$6,Design!$B$43)/1000*(1+Constants!$C$36/100*(AI24-25)))/($W$2+W24-V24*AJ24/1000))</f>
        <v>47.181904985683879</v>
      </c>
      <c r="Y24" s="187">
        <f ca="1">($W$2-V24*IF(ISBLANK(Design!$B$43),Constants!$C$6,Design!$B$43)/1000*(1+Constants!$C$36/100*(AI24-25))-Design!$C$29) / (IF(ISBLANK(Design!$B$42),Design!$B$40,Design!$B$42)/1000000) * X24/100/(IF(ISBLANK(Design!$B$33),Design!$B$32,Design!$B$33)*1000000)</f>
        <v>0.7586806529026896</v>
      </c>
      <c r="Z24" s="187">
        <f>$W$2*Constants!$C$21/1000+IF(ISBLANK(Design!$B$33),Design!$B$32,Design!$B$33)*1000000*Constants!$D$25/1000000000*($W$2-Constants!$C$24)</f>
        <v>4.4874999999999998E-2</v>
      </c>
      <c r="AA24" s="187">
        <f>$W$2*V24*($W$2/(Constants!$C$26*1000000000)*IF(ISBLANK(Design!$B$33),Design!$B$32,Design!$B$33)*1000000/2+$W$2/(Constants!$C$27*1000000000)*IF(ISBLANK(Design!$B$33),Design!$B$32,Design!$B$33)*1000000/2)</f>
        <v>0.254575</v>
      </c>
      <c r="AB24" s="187">
        <f t="shared" ca="1" si="66"/>
        <v>0.87301206282819177</v>
      </c>
      <c r="AC24" s="187">
        <f>Constants!$D$25/1000000000*Constants!$C$24*IF(ISBLANK(Design!$B$33),Design!$B$32,Design!$B$33)*1000000</f>
        <v>1.0624999999999999E-2</v>
      </c>
      <c r="AD24" s="187">
        <f t="shared" ca="1" si="67"/>
        <v>1.183087062828192</v>
      </c>
      <c r="AE24" s="187">
        <f t="shared" ca="1" si="68"/>
        <v>0.61651996374865015</v>
      </c>
      <c r="AF24" s="187">
        <f ca="1">V24^2*IF(ISBLANK(Design!$B$43),Constants!$C$6,Design!$B$43)/1000*(1+(AI24-25)*(Constants!$C$36/100))</f>
        <v>0.50012700657272835</v>
      </c>
      <c r="AG24" s="187">
        <f>0.5*Snubber!$B$16/1000000000000*$W$2^2*Design!$B$33*1000000</f>
        <v>1.0097999999999999E-2</v>
      </c>
      <c r="AH24" s="188">
        <f ca="1">$A24+AE24*Design!$B$19</f>
        <v>120.14163793367305</v>
      </c>
      <c r="AI24" s="188">
        <f ca="1">AD24*Design!$C$12+$A24</f>
        <v>125.22496013615853</v>
      </c>
      <c r="AJ24" s="188">
        <f ca="1">Constants!$D$22+Constants!$D$22*Constants!$C$23/100*(AI24-25)</f>
        <v>205.17996810892683</v>
      </c>
      <c r="AK24" s="187">
        <f ca="1">(1-Constants!$C$20/1000000000*Design!$B$33*1000000) * ($W$2+W24-V24*AJ24/1000) - (W24+V24*Design!$B$43/1000)</f>
        <v>10.790261513951469</v>
      </c>
      <c r="AL24" s="187">
        <f ca="1">IF(AK24&gt;Design!$C$29,Design!$C$29,AK24)</f>
        <v>4.9990521327014221</v>
      </c>
      <c r="AM24" s="187">
        <f t="shared" ca="1" si="69"/>
        <v>2.3098320331495703</v>
      </c>
      <c r="AN24" s="187">
        <f t="shared" ca="1" si="70"/>
        <v>14.972161137440759</v>
      </c>
      <c r="AO24" s="359">
        <f t="shared" ca="1" si="71"/>
        <v>86.634458130209595</v>
      </c>
      <c r="AP24" s="363">
        <f t="shared" si="59"/>
        <v>2.9950000000000001</v>
      </c>
      <c r="AQ24" s="366">
        <f ca="1">FORECAST(AP24, OFFSET(Design!$C$15:$C$17,MATCH(AP24,Design!$B$15:$B$17,1)-1,0,2), OFFSET(Design!$B$15:$B$17,MATCH(AP24,Design!$B$15:$B$17,1)-1,0,2))+(BB24-25)*Design!$B$18/1000</f>
        <v>0.38254814257253522</v>
      </c>
      <c r="AR24" s="199">
        <f ca="1">IF(100*(Design!$C$29+AQ24+AP24*IF(ISBLANK(Design!$B$43),Constants!$C$6,Design!$B$43)/1000*(1+Constants!$C$36/100*(BC24-25)))/($AQ$2+AQ24-AP24*BD24/1000)&gt;Design!$C$36,Design!$C$36,100*(Design!$C$29+AQ24+AP24*IF(ISBLANK(Design!$B$43),Constants!$C$6,Design!$B$43)/1000*(1+Constants!$C$36/100*(BC24-25)))/($AQ$2+AQ24-AP24*BD24/1000))</f>
        <v>35.187578861751504</v>
      </c>
      <c r="AS24" s="198">
        <f ca="1">($AQ$2-AP24*IF(ISBLANK(Design!$B$43),Constants!$C$6,Design!$B$43)/1000*(1+Constants!$C$36/100*(BC24-25))-Design!$C$29) / (IF(ISBLANK(Design!$B$42),Design!$B$40,Design!$B$42)/1000000) * AR24/100/(IF(ISBLANK(Design!$B$33),Design!$B$32,Design!$B$33)*1000000)</f>
        <v>0.89699609335967978</v>
      </c>
      <c r="AT24" s="198">
        <f>$AQ$2*Constants!$C$21/1000+IF(ISBLANK(Design!$B$33),Design!$B$32,Design!$B$33)*1000000*Constants!$D$25/1000000000*($AQ$2-Constants!$C$24)</f>
        <v>6.3375000000000001E-2</v>
      </c>
      <c r="AU24" s="198">
        <f>$AQ$2*AP24*($AQ$2/(Constants!$C$26*1000000000)*IF(ISBLANK(Design!$B$33),Design!$B$32,Design!$B$33)*1000000/2+$AQ$2/(Constants!$C$27*1000000000)*IF(ISBLANK(Design!$B$33),Design!$B$32,Design!$B$33)*1000000/2)</f>
        <v>0.4525777777777778</v>
      </c>
      <c r="AV24" s="198">
        <f t="shared" ca="1" si="72"/>
        <v>0.65207387938084072</v>
      </c>
      <c r="AW24" s="198">
        <f>Constants!$D$25/1000000000*Constants!$C$24*IF(ISBLANK(Design!$B$33),Design!$B$32,Design!$B$33)*1000000</f>
        <v>1.0624999999999999E-2</v>
      </c>
      <c r="AX24" s="198">
        <f t="shared" ca="1" si="73"/>
        <v>1.1786516571586185</v>
      </c>
      <c r="AY24" s="198">
        <f t="shared" ca="1" si="74"/>
        <v>0.74257644609587314</v>
      </c>
      <c r="AZ24" s="198">
        <f ca="1">AP24^2*IF(ISBLANK(Design!$B$43),Constants!$C$6,Design!$B$43)/1000*(1+(BC24-25)*(Constants!$C$36/100))</f>
        <v>0.49991435996475153</v>
      </c>
      <c r="BA24" s="198">
        <f>0.5*Snubber!$B$16/1000000000000*$AQ$2^2*Design!$B$33*1000000</f>
        <v>1.7951999999999999E-2</v>
      </c>
      <c r="BB24" s="199">
        <f ca="1">$A24+AY24*Design!$B$19</f>
        <v>127.32685742746477</v>
      </c>
      <c r="BC24" s="199">
        <f ca="1">AX24*Design!$C$12+$A24</f>
        <v>125.07415634339303</v>
      </c>
      <c r="BD24" s="199">
        <f ca="1">Constants!$D$22+Constants!$D$22*Constants!$C$23/100*(BC24-25)</f>
        <v>205.05932507471442</v>
      </c>
      <c r="BE24" s="198">
        <f ca="1">(1-Constants!$C$20/1000000000*Design!$B$33*1000000) * ($AQ$2+AQ24-AP24*BD24/1000) - (AQ24+AP24*Design!$B$43/1000)</f>
        <v>14.629398354543289</v>
      </c>
      <c r="BF24" s="198">
        <f ca="1">IF(BE24&gt;Design!$C$29,Design!$C$29,BE24)</f>
        <v>4.9990521327014221</v>
      </c>
      <c r="BG24" s="198">
        <f t="shared" ca="1" si="75"/>
        <v>2.4390944632192433</v>
      </c>
      <c r="BH24" s="198">
        <f t="shared" ca="1" si="76"/>
        <v>14.972161137440759</v>
      </c>
      <c r="BI24" s="367">
        <f t="shared" ca="1" si="77"/>
        <v>85.99127760133058</v>
      </c>
    </row>
    <row r="25" spans="1:61" x14ac:dyDescent="0.25">
      <c r="A25" s="130"/>
      <c r="G25" s="151"/>
    </row>
    <row r="27" spans="1:61" x14ac:dyDescent="0.25">
      <c r="G27" s="11"/>
    </row>
    <row r="75" spans="2:9" ht="15.75" thickBot="1" x14ac:dyDescent="0.3"/>
    <row r="76" spans="2:9" x14ac:dyDescent="0.25">
      <c r="B76" s="203" t="s">
        <v>195</v>
      </c>
      <c r="C76" s="148"/>
      <c r="D76" s="148"/>
      <c r="E76" s="148"/>
      <c r="F76" s="148"/>
      <c r="H76" s="239">
        <v>0</v>
      </c>
      <c r="I76" s="240">
        <v>155</v>
      </c>
    </row>
    <row r="77" spans="2:9" ht="15.75" thickBot="1" x14ac:dyDescent="0.3">
      <c r="B77" s="201" t="s">
        <v>220</v>
      </c>
      <c r="C77" s="149"/>
      <c r="D77" s="149"/>
      <c r="E77" s="149"/>
      <c r="F77" s="152"/>
      <c r="H77" s="241">
        <v>3.5</v>
      </c>
      <c r="I77" s="242">
        <v>155</v>
      </c>
    </row>
    <row r="78" spans="2:9" x14ac:dyDescent="0.25">
      <c r="B78" s="202" t="s">
        <v>196</v>
      </c>
      <c r="C78" s="150"/>
      <c r="D78" s="129">
        <v>0</v>
      </c>
      <c r="F78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115"/>
  <sheetViews>
    <sheetView showGridLines="0" topLeftCell="A85" zoomScaleNormal="100" workbookViewId="0">
      <selection activeCell="E44" sqref="E44"/>
    </sheetView>
  </sheetViews>
  <sheetFormatPr defaultRowHeight="15" x14ac:dyDescent="0.25"/>
  <cols>
    <col min="1" max="6" width="6.7109375" style="1" customWidth="1"/>
    <col min="7" max="16" width="6.7109375" style="155" customWidth="1"/>
    <col min="17" max="47" width="6.7109375" customWidth="1"/>
  </cols>
  <sheetData>
    <row r="1" spans="1:47" ht="24" customHeight="1" thickBot="1" x14ac:dyDescent="0.3">
      <c r="A1" s="450" t="s">
        <v>167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</row>
    <row r="2" spans="1:47" s="228" customFormat="1" ht="18" customHeight="1" x14ac:dyDescent="0.25">
      <c r="A2" s="238" t="s">
        <v>262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</row>
    <row r="3" spans="1:47" s="158" customFormat="1" thickBot="1" x14ac:dyDescent="0.3">
      <c r="A3" s="210" t="s">
        <v>194</v>
      </c>
      <c r="B3" s="235" t="s">
        <v>106</v>
      </c>
      <c r="C3" s="208" t="s">
        <v>92</v>
      </c>
      <c r="D3" s="208" t="s">
        <v>219</v>
      </c>
      <c r="E3" s="200" t="s">
        <v>217</v>
      </c>
      <c r="F3" s="200" t="s">
        <v>218</v>
      </c>
      <c r="G3" s="200" t="s">
        <v>93</v>
      </c>
      <c r="H3" s="200" t="s">
        <v>94</v>
      </c>
      <c r="I3" s="200" t="s">
        <v>95</v>
      </c>
      <c r="J3" s="200" t="s">
        <v>182</v>
      </c>
      <c r="K3" s="200" t="s">
        <v>235</v>
      </c>
      <c r="L3" s="200" t="s">
        <v>237</v>
      </c>
      <c r="M3" s="200" t="s">
        <v>264</v>
      </c>
      <c r="N3" s="200" t="s">
        <v>265</v>
      </c>
      <c r="O3" s="200" t="s">
        <v>111</v>
      </c>
      <c r="P3" s="200" t="s">
        <v>231</v>
      </c>
      <c r="Q3" s="211" t="s">
        <v>230</v>
      </c>
      <c r="R3" s="208" t="s">
        <v>92</v>
      </c>
      <c r="S3" s="208" t="s">
        <v>219</v>
      </c>
      <c r="T3" s="200" t="s">
        <v>217</v>
      </c>
      <c r="U3" s="200" t="s">
        <v>218</v>
      </c>
      <c r="V3" s="200" t="s">
        <v>93</v>
      </c>
      <c r="W3" s="200" t="s">
        <v>94</v>
      </c>
      <c r="X3" s="200" t="s">
        <v>95</v>
      </c>
      <c r="Y3" s="200" t="s">
        <v>182</v>
      </c>
      <c r="Z3" s="200" t="s">
        <v>96</v>
      </c>
      <c r="AA3" s="200" t="s">
        <v>237</v>
      </c>
      <c r="AB3" s="200" t="s">
        <v>264</v>
      </c>
      <c r="AC3" s="200" t="s">
        <v>265</v>
      </c>
      <c r="AD3" s="200" t="s">
        <v>111</v>
      </c>
      <c r="AE3" s="200" t="s">
        <v>231</v>
      </c>
      <c r="AF3" s="211" t="s">
        <v>230</v>
      </c>
      <c r="AG3" s="208" t="s">
        <v>92</v>
      </c>
      <c r="AH3" s="208" t="s">
        <v>219</v>
      </c>
      <c r="AI3" s="200" t="s">
        <v>217</v>
      </c>
      <c r="AJ3" s="200" t="s">
        <v>218</v>
      </c>
      <c r="AK3" s="200" t="s">
        <v>93</v>
      </c>
      <c r="AL3" s="200" t="s">
        <v>94</v>
      </c>
      <c r="AM3" s="200" t="s">
        <v>95</v>
      </c>
      <c r="AN3" s="200" t="s">
        <v>182</v>
      </c>
      <c r="AO3" s="200" t="s">
        <v>96</v>
      </c>
      <c r="AP3" s="200" t="s">
        <v>237</v>
      </c>
      <c r="AQ3" s="200" t="s">
        <v>264</v>
      </c>
      <c r="AR3" s="200" t="s">
        <v>265</v>
      </c>
      <c r="AS3" s="200" t="s">
        <v>111</v>
      </c>
      <c r="AT3" s="200" t="s">
        <v>231</v>
      </c>
      <c r="AU3" s="211" t="s">
        <v>230</v>
      </c>
    </row>
    <row r="4" spans="1:47" s="120" customFormat="1" ht="12.75" customHeight="1" x14ac:dyDescent="0.2">
      <c r="A4" s="159">
        <f>Design!$D$13</f>
        <v>85</v>
      </c>
      <c r="B4" s="160">
        <f>$B5+$AU$88</f>
        <v>11.999999999999995</v>
      </c>
      <c r="C4" s="161">
        <f>Design!$D$7</f>
        <v>3</v>
      </c>
      <c r="D4" s="161">
        <f ca="1">FORECAST(C4, OFFSET(Design!$C$15:$C$17,MATCH(C4,Design!$B$15:$B$17,1)-1,0,2), OFFSET(Design!$B$15:$B$17,MATCH(C4,Design!$B$15:$B$17,1)-1,0,2))+(M4-25)*Design!$B$18/1000</f>
        <v>0.38979945950067352</v>
      </c>
      <c r="E4" s="172">
        <f ca="1">IF(100*(Design!$C$29+D4+C4*IF(ISBLANK(Design!$B$43),Constants!$C$6,Design!$B$43)/1000*(1+Constants!$C$36/100*(N4-25)))/($B4+D4-C4*O4/1000)&gt;Design!$C$36,Design!$C$37,100*(Design!$C$29+D4+C4*IF(ISBLANK(Design!$B$43),Constants!$C$6,Design!$B$43)/1000*(1+Constants!$C$36/100*(N4-25)))/($B4+D4-C4*O4/1000))</f>
        <v>47.190508089764748</v>
      </c>
      <c r="F4" s="162">
        <f ca="1">IF(($B4-C4*IF(ISBLANK(Design!$B$43),Constants!$C$6,Design!$B$43)/1000*(1+Constants!$C$36/100*(N4-25))-Design!$C$29)/(IF(ISBLANK(Design!$B$42),Design!$B$40,Design!$B$42)/1000000)*E4/100/(IF(ISBLANK(Design!$B$33),Design!$B$32,Design!$B$33)*1000000)&lt;0, 0, ($B4-C4*IF(ISBLANK(Design!$B$43),Constants!$C$6,Design!$B$43)/1000*(1+Constants!$C$36/100*(N4-25))-Design!$C$29)/(IF(ISBLANK(Design!$B$42),Design!$B$40,Design!$B$42)/1000000)*E4/100/(IF(ISBLANK(Design!$B$33),Design!$B$32,Design!$B$33)*1000000))</f>
        <v>0.75878101007011867</v>
      </c>
      <c r="G4" s="163">
        <f>B4*Constants!$C$21/1000+IF(ISBLANK(Design!$B$33),Design!$B$32,Design!$B$33)*1000000*Constants!$D$25/1000000000*(B4-Constants!$C$24)</f>
        <v>4.487499999999997E-2</v>
      </c>
      <c r="H4" s="163">
        <f>B4*C4*(B4/(Constants!$C$26*1000000000)*IF(ISBLANK(Design!$B$33),Design!$B$32,Design!$B$33)*1000000/2+B4/(Constants!$C$27*1000000000)*IF(ISBLANK(Design!$B$33),Design!$B$32,Design!$B$33)*1000000/2)</f>
        <v>0.25499999999999978</v>
      </c>
      <c r="I4" s="163">
        <f t="shared" ref="I4:I44" ca="1" si="0">IF($D$115,1,E4/100*(C4^2+F4^2/12)*O4/1000)</f>
        <v>0.87653310561491882</v>
      </c>
      <c r="J4" s="163">
        <f>Constants!$D$25/1000000000*Constants!$C$24*IF(ISBLANK(Design!$B$33),Design!$B$32,Design!$B$33)*1000000</f>
        <v>1.0624999999999999E-2</v>
      </c>
      <c r="K4" s="163">
        <f ca="1">SUM(G4:J4)</f>
        <v>1.1870331056149186</v>
      </c>
      <c r="L4" s="163">
        <f ca="1">C4*D4*(1-E4/100)</f>
        <v>0.6175533420934467</v>
      </c>
      <c r="M4" s="164">
        <f ca="1">$A4+L4*Design!$B$19</f>
        <v>120.20054049932646</v>
      </c>
      <c r="N4" s="164">
        <f ca="1">K4*Design!$C$12+A4</f>
        <v>125.35912559090724</v>
      </c>
      <c r="O4" s="164">
        <f ca="1">Constants!$D$22+Constants!$D$22*Constants!$C$23/100*(N4-25)</f>
        <v>205.2873004727258</v>
      </c>
      <c r="P4" s="163">
        <f ca="1">IF(100*(Design!$C$29+D4+C4*IF(ISBLANK(Design!$B$43),Constants!$C$6,Design!$B$43)/1000*(1+Constants!$C$36/100*(N4-25)))/($B4+D4-C4*O4/1000)&gt;Design!$C$36,  (1-Constants!$C$20/1000000000*IF(ISBLANK(Design!$B$33),Design!$B$32/4,Design!$B$33/4)*1000000) * ($B4+D4-C4*O4/1000) - (D4+C4*(1+($A4-25)*Constants!$C$36/100)*IF(ISBLANK(Design!$B$43),Constants!$C$6/1000,Design!$B$43/1000)),   (1-Constants!$C$20/1000000000*IF(ISBLANK(Design!$B$33),Design!$B$32,Design!$B$33)*1000000) * ($B4+D4-C4*O4/1000) - (D4+C4*(1+($A4-25)*Constants!$C$36/100)*IF(ISBLANK(Design!$B$43),Constants!$C$6/1000,Design!$B$43/1000)) )</f>
        <v>10.760469369674235</v>
      </c>
      <c r="Q4" s="170">
        <f ca="1">IF(P4&gt;Design!$C$29,Design!$C$29,P4)</f>
        <v>4.9990521327014221</v>
      </c>
      <c r="R4" s="175">
        <f>2*Design!$D$7/3</f>
        <v>2</v>
      </c>
      <c r="S4" s="176">
        <f ca="1">FORECAST(R4, OFFSET(Design!$C$15:$C$17,MATCH(R4,Design!$B$15:$B$17,1)-1,0,2), OFFSET(Design!$B$15:$B$17,MATCH(R4,Design!$B$15:$B$17,1)-1,0,2))+(AB4-25)*Design!$B$18/1000</f>
        <v>0.37667241202641488</v>
      </c>
      <c r="T4" s="177">
        <f ca="1">IF(100*(Design!$C$29+S4+R4*IF(ISBLANK(Design!$B$43),Constants!$C$6,Design!$B$43)/1000*(1+Constants!$C$36/100*(AC4-25)))/($B4+S4-R4*AD4/1000)&gt;Design!$C$36,Design!$C$37,100*(Design!$C$29+S4+R4*IF(ISBLANK(Design!$B$43),Constants!$C$6,Design!$B$43)/1000*(1+Constants!$C$36/100*(AC4-25)))/($B4+S4-R4*AD4/1000))</f>
        <v>45.674820308788313</v>
      </c>
      <c r="U4" s="178">
        <f ca="1">IF(($B4-R4*IF(ISBLANK(Design!$B$43),Constants!$C$6,Design!$B$43)/1000*(1+Constants!$C$36/100*(AC4-25))-Design!$C$29)/(Design!$B$42/1000000)*T4/100/(IF(ISBLANK(IF(ISBLANK(Design!$B$42),Design!$B$40,Design!$B$42)),Design!$B$32,Design!$B$33)*1000000)&lt;0,0,($B4-R4*IF(ISBLANK(Design!$B$43),Constants!$C$6,Design!$B$43)/1000*(1+Constants!$C$36/100*(AC4-25))-Design!$C$29)/(IF(ISBLANK(Design!$B$42),Design!$B$40,Design!$B$42)/1000000)*T4/100/(IF(ISBLANK(Design!$B$33),Design!$B$32,Design!$B$33)*1000000))</f>
        <v>0.74110863126432636</v>
      </c>
      <c r="V4" s="179">
        <f>$B4*Constants!$C$21/1000+IF(ISBLANK(Design!$B$33),Design!$B$32,Design!$B$33)*1000000*Constants!$D$25/1000000000*($B4-Constants!$C$24)</f>
        <v>4.487499999999997E-2</v>
      </c>
      <c r="W4" s="179">
        <f>$B4*R4*($B4/(Constants!$C$26*1000000000)*IF(ISBLANK(Design!$B$33),Design!$B$32,Design!$B$33)*1000000/2+$B4/(Constants!$C$27*1000000000)*IF(ISBLANK(Design!$B$33),Design!$B$32,Design!$B$33)*1000000/2)</f>
        <v>0.16999999999999985</v>
      </c>
      <c r="X4" s="179">
        <f t="shared" ref="X4:X44" ca="1" si="1">IF($D$115,1,T4/100*(R4^2+U4^2/12)*AD4/1000)</f>
        <v>0.34853923588192054</v>
      </c>
      <c r="Y4" s="179">
        <f>Constants!$D$25/1000000000*Constants!$C$24*IF(ISBLANK(Design!$B$33),Design!$B$32,Design!$B$33)*1000000</f>
        <v>1.0624999999999999E-2</v>
      </c>
      <c r="Z4" s="179">
        <f ca="1">SUM(V4:Y4)</f>
        <v>0.5740392358819203</v>
      </c>
      <c r="AA4" s="179">
        <f ca="1">R4*S4*(1-T4/100)</f>
        <v>0.4092559293611423</v>
      </c>
      <c r="AB4" s="180">
        <f ca="1">$A4+AA4*Design!$B$19</f>
        <v>108.32758797358511</v>
      </c>
      <c r="AC4" s="180">
        <f ca="1">Z4*Design!$C$12+$A4</f>
        <v>104.5173340199853</v>
      </c>
      <c r="AD4" s="180">
        <f ca="1">Constants!$D$22+Constants!$D$22*Constants!$C$23/100*(AC4-25)</f>
        <v>188.61386721598825</v>
      </c>
      <c r="AE4" s="179">
        <f ca="1">IF(100*(Design!$C$29+S4+R4*IF(ISBLANK(Design!$B$43),Constants!$C$6,Design!$B$43)/1000*(1+Constants!$C$36/100*(AC4-25)))/($B4+S4-R4*AD4/1000)&gt;Design!$C$36,  (1-Constants!$C$20/1000000000*IF(ISBLANK(Design!$B$33),Design!$B$32/4,Design!$B$33/4)*1000000) * ($B4+S4-R4*AD4/1000) - (S4+R4*(1+($A4-25)*Constants!$C$36/100)*IF(ISBLANK(Design!$B$43),Constants!$C$6/1000,Design!$B$43/1000)),   (1-Constants!$C$20/1000000000*IF(ISBLANK(Design!$B$33),Design!$B$32,Design!$B$33)*1000000) * ($B4+S4-R4*AD4/1000) - (S4+R4*(1+($A4-25)*Constants!$C$36/100)*IF(ISBLANK(Design!$B$43),Constants!$C$6/1000,Design!$B$43/1000)) )</f>
        <v>11.039430686710142</v>
      </c>
      <c r="AF4" s="178">
        <f ca="1">IF(AE4&gt;Design!$C$29,Design!$C$29,AE4)</f>
        <v>4.9990521327014221</v>
      </c>
      <c r="AG4" s="189">
        <f>Design!$D$7/3</f>
        <v>1</v>
      </c>
      <c r="AH4" s="189">
        <f ca="1">FORECAST(AG4, OFFSET(Design!$C$15:$C$17,MATCH(AG4,Design!$B$15:$B$17,1)-1,0,2), OFFSET(Design!$B$15:$B$17,MATCH(AG4,Design!$B$15:$B$17,1)-1,0,2))+(AQ4-25)*Design!$B$18/1000</f>
        <v>0.31228823470543354</v>
      </c>
      <c r="AI4" s="190">
        <f ca="1">IF(100*(Design!$C$29+AH4+AG4*IF(ISBLANK(Design!$B$43),Constants!$C$6,Design!$B$43)/1000*(1+Constants!$C$36/100*(AR4-25)))/($B4+AH4-AG4*AS4/1000)&gt;Design!$C$36,Design!$C$37,100*(Design!$C$29+AH4+AG4*IF(ISBLANK(Design!$B$43),Constants!$C$6,Design!$B$43)/1000*(1+Constants!$C$36/100*(AR4-25)))/($B4+AH4-AG4*AS4/1000))</f>
        <v>44.192427577340787</v>
      </c>
      <c r="AJ4" s="191">
        <f ca="1">IF(($B4-AG4*IF(ISBLANK(Design!$B$43),Constants!$C$6,Design!$B$43)/1000*(1+Constants!$C$36/100*(AR4-25))-Design!$C$29)/(IF(ISBLANK(Design!$B$42),Design!$B$40,Design!$B$42)/1000000)*AI4/100/(IF(ISBLANK(Design!$B$33),Design!$B$32,Design!$B$33)*1000000)&lt;0,0,($B4-AG4*IF(ISBLANK(Design!$B$43),Constants!$C$6,Design!$B$43)/1000*(1+Constants!$C$36/100*(AR4-25))-Design!$C$29)/(IF(ISBLANK(Design!$B$42),Design!$B$40,Design!$B$42)/1000000)*AI4/100/(IF(ISBLANK(Design!$B$33),Design!$B$32,Design!$B$33)*1000000))</f>
        <v>0.72270981266578294</v>
      </c>
      <c r="AK4" s="192">
        <f>$B4*Constants!$C$21/1000+IF(ISBLANK(Design!$B$33),Design!$B$32,Design!$B$33)*1000000*Constants!$D$25/1000000000*($B4-Constants!$C$24)</f>
        <v>4.487499999999997E-2</v>
      </c>
      <c r="AL4" s="192">
        <f>$B4*AG4*($B4/(Constants!$C$26*1000000000)*IF(ISBLANK(Design!$B$33),Design!$B$32,Design!$B$33)*1000000/2+$B4/(Constants!$C$27*1000000000)*IF(ISBLANK(Design!$B$33),Design!$B$32,Design!$B$33)*1000000/2)</f>
        <v>8.4999999999999923E-2</v>
      </c>
      <c r="AM4" s="192">
        <f t="shared" ref="AM4:AM44" ca="1" si="2">IF($D$115,1,AI4/100*(AG4^2+AJ4^2/12)*AS4/1000)</f>
        <v>8.2578768891990936E-2</v>
      </c>
      <c r="AN4" s="192">
        <f>Constants!$D$25/1000000000*Constants!$C$24*IF(ISBLANK(Design!$B$33),Design!$B$32,Design!$B$33)*1000000</f>
        <v>1.0624999999999999E-2</v>
      </c>
      <c r="AO4" s="192">
        <f ca="1">SUM(AK4:AN4)</f>
        <v>0.22307876889199085</v>
      </c>
      <c r="AP4" s="192">
        <f ca="1">AG4*AH4*(1-AI4/100)</f>
        <v>0.17428048275067881</v>
      </c>
      <c r="AQ4" s="193">
        <f ca="1">$A4+AP4*Design!$B$19</f>
        <v>94.93398751678869</v>
      </c>
      <c r="AR4" s="193">
        <f ca="1">AO4*Design!$C$12+$A4</f>
        <v>92.584678142327689</v>
      </c>
      <c r="AS4" s="193">
        <f ca="1">Constants!$D$22+Constants!$D$22*Constants!$C$23/100*(AR4-25)</f>
        <v>179.06774251386216</v>
      </c>
      <c r="AT4" s="192">
        <f ca="1">IF(100*(Design!$C$29+AH4+AG4*IF(ISBLANK(Design!$B$43),Constants!$C$6,Design!$B$43)/1000*(1+Constants!$C$36/100*(AR4-25)))/($B4+AH4-AG4*AS4/1000)&gt;Design!$C$36,  (1-Constants!$C$20/1000000000*IF(ISBLANK(Design!$B$33),Design!$B$32/4,Design!$B$33/4)*1000000) * ($B4+AH4-AG4*AS4/1000) - (AH4+AG4*(1+($A4-25)*Constants!$C$36/100)*IF(ISBLANK(Design!$B$43),Constants!$C$6/1000,Design!$B$43/1000)),   (1-Constants!$C$20/1000000000*IF(ISBLANK(Design!$B$33),Design!$B$32,Design!$B$33)*1000000) * ($B4+AH4-AG4*AS4/1000) - (AH4+AG4*(1+($A4-25)*Constants!$C$36/100)*IF(ISBLANK(Design!$B$43),Constants!$C$6/1000,Design!$B$43/1000)) )</f>
        <v>11.281621480113898</v>
      </c>
      <c r="AU4" s="191">
        <f ca="1">IF(AT4&gt;Design!$C$29,Design!$C$29,AT4)</f>
        <v>4.9990521327014221</v>
      </c>
    </row>
    <row r="5" spans="1:47" s="120" customFormat="1" ht="12.75" customHeight="1" x14ac:dyDescent="0.2">
      <c r="A5" s="112">
        <f>Design!$D$13</f>
        <v>85</v>
      </c>
      <c r="B5" s="113">
        <f t="shared" ref="B5:B43" si="3">$B6+$AU$88</f>
        <v>11.784999999999995</v>
      </c>
      <c r="C5" s="114">
        <f>Design!$D$7</f>
        <v>3</v>
      </c>
      <c r="D5" s="114">
        <f ca="1">FORECAST(C5, OFFSET(Design!$C$15:$C$17,MATCH(C5,Design!$B$15:$B$17,1)-1,0,2), OFFSET(Design!$B$15:$B$17,MATCH(C5,Design!$B$15:$B$17,1)-1,0,2))+(M5-25)*Design!$B$18/1000</f>
        <v>0.39034037944848865</v>
      </c>
      <c r="E5" s="173">
        <f ca="1">IF(100*(Design!$C$29+D5+C5*IF(ISBLANK(Design!$B$43),Constants!$C$6,Design!$B$43)/1000*(1+Constants!$C$36/100*(N5-25)))/($B5+D5-C5*O5/1000)&gt;Design!$C$36,Design!$C$37,100*(Design!$C$29+D5+C5*IF(ISBLANK(Design!$B$43),Constants!$C$6,Design!$B$43)/1000*(1+Constants!$C$36/100*(N5-25)))/($B5+D5-C5*O5/1000))</f>
        <v>48.07407838028449</v>
      </c>
      <c r="F5" s="115">
        <f ca="1">IF(($B5-C5*IF(ISBLANK(Design!$B$43),Constants!$C$6,Design!$B$43)/1000*(1+Constants!$C$36/100*(N5-25))-Design!$C$29)/(IF(ISBLANK(Design!$B$42),Design!$B$40,Design!$B$42)/1000000)*E5/100/(IF(ISBLANK(Design!$B$33),Design!$B$32,Design!$B$33)*1000000)&lt;0, 0, ($B5-C5*IF(ISBLANK(Design!$B$43),Constants!$C$6,Design!$B$43)/1000*(1+Constants!$C$36/100*(N5-25))-Design!$C$29)/(IF(ISBLANK(Design!$B$42),Design!$B$40,Design!$B$42)/1000000)*E5/100/(IF(ISBLANK(Design!$B$33),Design!$B$32,Design!$B$33)*1000000))</f>
        <v>0.74865537095143442</v>
      </c>
      <c r="G5" s="165">
        <f>B5*Constants!$C$21/1000+IF(ISBLANK(Design!$B$33),Design!$B$32,Design!$B$33)*1000000*Constants!$D$25/1000000000*(B5-Constants!$C$24)</f>
        <v>4.3880624999999979E-2</v>
      </c>
      <c r="H5" s="165">
        <f>B5*C5*(B5/(Constants!$C$26*1000000000)*IF(ISBLANK(Design!$B$33),Design!$B$32,Design!$B$33)*1000000/2+B5/(Constants!$C$27*1000000000)*IF(ISBLANK(Design!$B$33),Design!$B$32,Design!$B$33)*1000000/2)</f>
        <v>0.24594435677083312</v>
      </c>
      <c r="I5" s="165">
        <f t="shared" ca="1" si="0"/>
        <v>0.89365601487782786</v>
      </c>
      <c r="J5" s="165">
        <f>Constants!$D$25/1000000000*Constants!$C$24*IF(ISBLANK(Design!$B$33),Design!$B$32,Design!$B$33)*1000000</f>
        <v>1.0624999999999999E-2</v>
      </c>
      <c r="K5" s="165">
        <f t="shared" ref="K5:K44" ca="1" si="4">SUM(G5:J5)</f>
        <v>1.1941059966486611</v>
      </c>
      <c r="L5" s="165">
        <f t="shared" ref="L5:L44" ca="1" si="5">C5*D5*(1-E5/100)</f>
        <v>0.6080635184475669</v>
      </c>
      <c r="M5" s="166">
        <f ca="1">A5+L5*Design!$B$19</f>
        <v>119.65962055151131</v>
      </c>
      <c r="N5" s="166">
        <f ca="1">K5*Design!$C$12+A5</f>
        <v>125.59960388605448</v>
      </c>
      <c r="O5" s="166">
        <f ca="1">Constants!$D$22+Constants!$D$22*Constants!$C$23/100*(N5-25)</f>
        <v>205.47968310884357</v>
      </c>
      <c r="P5" s="165">
        <f ca="1">IF(100*(Design!$C$29+D5+C5*IF(ISBLANK(Design!$B$43),Constants!$C$6,Design!$B$43)/1000*(1+Constants!$C$36/100*(N5-25)))/($B5+D5-C5*O5/1000)&gt;Design!$C$36,  (1-Constants!$C$20/1000000000*IF(ISBLANK(Design!$B$33),Design!$B$32/4,Design!$B$33/4)*1000000) * ($B5+D5-C5*O5/1000) - (D5+C5*(1+($A5-25)*Constants!$C$36/100)*IF(ISBLANK(Design!$B$43),Constants!$C$6/1000,Design!$B$43/1000)),   (1-Constants!$C$20/1000000000*IF(ISBLANK(Design!$B$33),Design!$B$32,Design!$B$33)*1000000) * ($B5+D5-C5*O5/1000) - (D5+C5*(1+($A5-25)*Constants!$C$36/100)*IF(ISBLANK(Design!$B$43),Constants!$C$6/1000,Design!$B$43/1000)) )</f>
        <v>10.55357430946979</v>
      </c>
      <c r="Q5" s="171">
        <f ca="1">IF(P5&gt;Design!$C$29,Design!$C$29,P5)</f>
        <v>4.9990521327014221</v>
      </c>
      <c r="R5" s="181">
        <f>2*Design!$D$7/3</f>
        <v>2</v>
      </c>
      <c r="S5" s="116">
        <f ca="1">FORECAST(R5, OFFSET(Design!$C$15:$C$17,MATCH(R5,Design!$B$15:$B$17,1)-1,0,2), OFFSET(Design!$B$15:$B$17,MATCH(R5,Design!$B$15:$B$17,1)-1,0,2))+(AB5-25)*Design!$B$18/1000</f>
        <v>0.37701019464168561</v>
      </c>
      <c r="T5" s="182">
        <f ca="1">IF(100*(Design!$C$29+S5+R5*IF(ISBLANK(Design!$B$43),Constants!$C$6,Design!$B$43)/1000*(1+Constants!$C$36/100*(AC5-25)))/($B5+S5-R5*AD5/1000)&gt;Design!$C$36,Design!$C$37,100*(Design!$C$29+S5+R5*IF(ISBLANK(Design!$B$43),Constants!$C$6,Design!$B$43)/1000*(1+Constants!$C$36/100*(AC5-25)))/($B5+S5-R5*AD5/1000))</f>
        <v>46.509414824942866</v>
      </c>
      <c r="U5" s="117">
        <f ca="1">IF(($B5-R5*IF(ISBLANK(Design!$B$43),Constants!$C$6,Design!$B$43)/1000*(1+Constants!$C$36/100*(AC5-25))-Design!$C$29)/(Design!$B$42/1000000)*T5/100/(IF(ISBLANK(IF(ISBLANK(Design!$B$42),Design!$B$40,Design!$B$42)),Design!$B$32,Design!$B$33)*1000000)&lt;0,0,($B5-R5*IF(ISBLANK(Design!$B$43),Constants!$C$6,Design!$B$43)/1000*(1+Constants!$C$36/100*(AC5-25))-Design!$C$29)/(IF(ISBLANK(Design!$B$42),Design!$B$40,Design!$B$42)/1000000)*T5/100/(IF(ISBLANK(Design!$B$33),Design!$B$32,Design!$B$33)*1000000))</f>
        <v>0.73112321824736459</v>
      </c>
      <c r="V5" s="183">
        <f>$B5*Constants!$C$21/1000+IF(ISBLANK(Design!$B$33),Design!$B$32,Design!$B$33)*1000000*Constants!$D$25/1000000000*($B5-Constants!$C$24)</f>
        <v>4.3880624999999979E-2</v>
      </c>
      <c r="W5" s="183">
        <f>$B5*R5*($B5/(Constants!$C$26*1000000000)*IF(ISBLANK(Design!$B$33),Design!$B$32,Design!$B$33)*1000000/2+$B5/(Constants!$C$27*1000000000)*IF(ISBLANK(Design!$B$33),Design!$B$32,Design!$B$33)*1000000/2)</f>
        <v>0.16396290451388876</v>
      </c>
      <c r="X5" s="183">
        <f t="shared" ca="1" si="1"/>
        <v>0.35475892706489115</v>
      </c>
      <c r="Y5" s="183">
        <f>Constants!$D$25/1000000000*Constants!$C$24*IF(ISBLANK(Design!$B$33),Design!$B$32,Design!$B$33)*1000000</f>
        <v>1.0624999999999999E-2</v>
      </c>
      <c r="Z5" s="183">
        <f t="shared" ref="Z5" ca="1" si="6">SUM(V5:Y5)</f>
        <v>0.57322745657877994</v>
      </c>
      <c r="AA5" s="183">
        <f t="shared" ref="AA5:AA44" ca="1" si="7">R5*S5*(1-T5/100)</f>
        <v>0.40332991856691908</v>
      </c>
      <c r="AB5" s="184">
        <f ca="1">$A5+AA5*Design!$B$19</f>
        <v>107.98980535831438</v>
      </c>
      <c r="AC5" s="184">
        <f ca="1">Z5*Design!$C$12+$A5</f>
        <v>104.48973352367852</v>
      </c>
      <c r="AD5" s="184">
        <f ca="1">Constants!$D$22+Constants!$D$22*Constants!$C$23/100*(AC5-25)</f>
        <v>188.59178681894281</v>
      </c>
      <c r="AE5" s="183">
        <f ca="1">IF(100*(Design!$C$29+S5+R5*IF(ISBLANK(Design!$B$43),Constants!$C$6,Design!$B$43)/1000*(1+Constants!$C$36/100*(AC5-25)))/($B5+S5-R5*AD5/1000)&gt;Design!$C$36,  (1-Constants!$C$20/1000000000*IF(ISBLANK(Design!$B$33),Design!$B$32/4,Design!$B$33/4)*1000000) * ($B5+S5-R5*AD5/1000) - (S5+R5*(1+($A5-25)*Constants!$C$36/100)*IF(ISBLANK(Design!$B$43),Constants!$C$6/1000,Design!$B$43/1000)),   (1-Constants!$C$20/1000000000*IF(ISBLANK(Design!$B$33),Design!$B$32,Design!$B$33)*1000000) * ($B5+S5-R5*AD5/1000) - (S5+R5*(1+($A5-25)*Constants!$C$36/100)*IF(ISBLANK(Design!$B$43),Constants!$C$6/1000,Design!$B$43/1000)) )</f>
        <v>10.833140051539081</v>
      </c>
      <c r="AF5" s="117">
        <f ca="1">IF(AE5&gt;Design!$C$29,Design!$C$29,AE5)</f>
        <v>4.9990521327014221</v>
      </c>
      <c r="AG5" s="118">
        <f>Design!$D$7/3</f>
        <v>1</v>
      </c>
      <c r="AH5" s="118">
        <f ca="1">FORECAST(AG5, OFFSET(Design!$C$15:$C$17,MATCH(AG5,Design!$B$15:$B$17,1)-1,0,2), OFFSET(Design!$B$15:$B$17,MATCH(AG5,Design!$B$15:$B$17,1)-1,0,2))+(AQ5-25)*Design!$B$18/1000</f>
        <v>0.31242587004191824</v>
      </c>
      <c r="AI5" s="194">
        <f ca="1">IF(100*(Design!$C$29+AH5+AG5*IF(ISBLANK(Design!$B$43),Constants!$C$6,Design!$B$43)/1000*(1+Constants!$C$36/100*(AR5-25)))/($B5+AH5-AG5*AS5/1000)&gt;Design!$C$36,Design!$C$37,100*(Design!$C$29+AH5+AG5*IF(ISBLANK(Design!$B$43),Constants!$C$6,Design!$B$43)/1000*(1+Constants!$C$36/100*(AR5-25)))/($B5+AH5-AG5*AS5/1000))</f>
        <v>44.989885856260138</v>
      </c>
      <c r="AJ5" s="119">
        <f ca="1">IF(($B5-AG5*IF(ISBLANK(Design!$B$43),Constants!$C$6,Design!$B$43)/1000*(1+Constants!$C$36/100*(AR5-25))-Design!$C$29)/(IF(ISBLANK(Design!$B$42),Design!$B$40,Design!$B$42)/1000000)*AI5/100/(IF(ISBLANK(Design!$B$33),Design!$B$32,Design!$B$33)*1000000)&lt;0,0,($B5-AG5*IF(ISBLANK(Design!$B$43),Constants!$C$6,Design!$B$43)/1000*(1+Constants!$C$36/100*(AR5-25))-Design!$C$29)/(IF(ISBLANK(Design!$B$42),Design!$B$40,Design!$B$42)/1000000)*AI5/100/(IF(ISBLANK(Design!$B$33),Design!$B$32,Design!$B$33)*1000000))</f>
        <v>0.71299311827364431</v>
      </c>
      <c r="AK5" s="195">
        <f>$B5*Constants!$C$21/1000+IF(ISBLANK(Design!$B$33),Design!$B$32,Design!$B$33)*1000000*Constants!$D$25/1000000000*($B5-Constants!$C$24)</f>
        <v>4.3880624999999979E-2</v>
      </c>
      <c r="AL5" s="195">
        <f>$B5*AG5*($B5/(Constants!$C$26*1000000000)*IF(ISBLANK(Design!$B$33),Design!$B$32,Design!$B$33)*1000000/2+$B5/(Constants!$C$27*1000000000)*IF(ISBLANK(Design!$B$33),Design!$B$32,Design!$B$33)*1000000/2)</f>
        <v>8.1981452256944379E-2</v>
      </c>
      <c r="AM5" s="195">
        <f t="shared" ca="1" si="2"/>
        <v>8.394145261762849E-2</v>
      </c>
      <c r="AN5" s="195">
        <f>Constants!$D$25/1000000000*Constants!$C$24*IF(ISBLANK(Design!$B$33),Design!$B$32,Design!$B$33)*1000000</f>
        <v>1.0624999999999999E-2</v>
      </c>
      <c r="AO5" s="195">
        <f t="shared" ref="AO5" ca="1" si="8">SUM(AK5:AN5)</f>
        <v>0.22042852987457284</v>
      </c>
      <c r="AP5" s="195">
        <f t="shared" ref="AP5:AP44" ca="1" si="9">AG5*AH5*(1-AI5/100)</f>
        <v>0.1718658277246316</v>
      </c>
      <c r="AQ5" s="196">
        <f ca="1">$A5+AP5*Design!$B$19</f>
        <v>94.796352180303998</v>
      </c>
      <c r="AR5" s="196">
        <f ca="1">AO5*Design!$C$12+$A5</f>
        <v>92.494570015735476</v>
      </c>
      <c r="AS5" s="196">
        <f ca="1">Constants!$D$22+Constants!$D$22*Constants!$C$23/100*(AR5-25)</f>
        <v>178.99565601258837</v>
      </c>
      <c r="AT5" s="195">
        <f ca="1">IF(100*(Design!$C$29+AH5+AG5*IF(ISBLANK(Design!$B$43),Constants!$C$6,Design!$B$43)/1000*(1+Constants!$C$36/100*(AR5-25)))/($B5+AH5-AG5*AS5/1000)&gt;Design!$C$36,  (1-Constants!$C$20/1000000000*IF(ISBLANK(Design!$B$33),Design!$B$32/4,Design!$B$33/4)*1000000) * ($B5+AH5-AG5*AS5/1000) - (AH5+AG5*(1+($A5-25)*Constants!$C$36/100)*IF(ISBLANK(Design!$B$43),Constants!$C$6/1000,Design!$B$43/1000)),   (1-Constants!$C$20/1000000000*IF(ISBLANK(Design!$B$33),Design!$B$32,Design!$B$33)*1000000) * ($B5+AH5-AG5*AS5/1000) - (AH5+AG5*(1+($A5-25)*Constants!$C$36/100)*IF(ISBLANK(Design!$B$43),Constants!$C$6/1000,Design!$B$43/1000)) )</f>
        <v>11.075365724095972</v>
      </c>
      <c r="AU5" s="119">
        <f ca="1">IF(AT5&gt;Design!$C$29,Design!$C$29,AT5)</f>
        <v>4.9990521327014221</v>
      </c>
    </row>
    <row r="6" spans="1:47" s="120" customFormat="1" ht="12.75" customHeight="1" x14ac:dyDescent="0.2">
      <c r="A6" s="112">
        <f>Design!$D$13</f>
        <v>85</v>
      </c>
      <c r="B6" s="113">
        <f t="shared" si="3"/>
        <v>11.569999999999995</v>
      </c>
      <c r="C6" s="114">
        <f>Design!$D$7</f>
        <v>3</v>
      </c>
      <c r="D6" s="114">
        <f ca="1">FORECAST(C6, OFFSET(Design!$C$15:$C$17,MATCH(C6,Design!$B$15:$B$17,1)-1,0,2), OFFSET(Design!$B$15:$B$17,MATCH(C6,Design!$B$15:$B$17,1)-1,0,2))+(M6-25)*Design!$B$18/1000</f>
        <v>0.39090374210774859</v>
      </c>
      <c r="E6" s="173">
        <f ca="1">IF(100*(Design!$C$29+D6+C6*IF(ISBLANK(Design!$B$43),Constants!$C$6,Design!$B$43)/1000*(1+Constants!$C$36/100*(N6-25)))/($B6+D6-C6*O6/1000)&gt;Design!$C$36,Design!$C$37,100*(Design!$C$29+D6+C6*IF(ISBLANK(Design!$B$43),Constants!$C$6,Design!$B$43)/1000*(1+Constants!$C$36/100*(N6-25)))/($B6+D6-C6*O6/1000))</f>
        <v>48.991708308497749</v>
      </c>
      <c r="F6" s="115">
        <f ca="1">IF(($B6-C6*IF(ISBLANK(Design!$B$43),Constants!$C$6,Design!$B$43)/1000*(1+Constants!$C$36/100*(N6-25))-Design!$C$29)/(IF(ISBLANK(Design!$B$42),Design!$B$40,Design!$B$42)/1000000)*E6/100/(IF(ISBLANK(Design!$B$33),Design!$B$32,Design!$B$33)*1000000)&lt;0, 0, ($B6-C6*IF(ISBLANK(Design!$B$43),Constants!$C$6,Design!$B$43)/1000*(1+Constants!$C$36/100*(N6-25))-Design!$C$29)/(IF(ISBLANK(Design!$B$42),Design!$B$40,Design!$B$42)/1000000)*E6/100/(IF(ISBLANK(Design!$B$33),Design!$B$32,Design!$B$33)*1000000))</f>
        <v>0.73814674105481026</v>
      </c>
      <c r="G6" s="165">
        <f>B6*Constants!$C$21/1000+IF(ISBLANK(Design!$B$33),Design!$B$32,Design!$B$33)*1000000*Constants!$D$25/1000000000*(B6-Constants!$C$24)</f>
        <v>4.2886249999999973E-2</v>
      </c>
      <c r="H6" s="165">
        <f>B6*C6*(B6/(Constants!$C$26*1000000000)*IF(ISBLANK(Design!$B$33),Design!$B$32,Design!$B$33)*1000000/2+B6/(Constants!$C$27*1000000000)*IF(ISBLANK(Design!$B$33),Design!$B$32,Design!$B$33)*1000000/2)</f>
        <v>0.2370524270833331</v>
      </c>
      <c r="I6" s="165">
        <f t="shared" ca="1" si="0"/>
        <v>0.91154786081085792</v>
      </c>
      <c r="J6" s="165">
        <f>Constants!$D$25/1000000000*Constants!$C$24*IF(ISBLANK(Design!$B$33),Design!$B$32,Design!$B$33)*1000000</f>
        <v>1.0624999999999999E-2</v>
      </c>
      <c r="K6" s="165">
        <f ca="1">SUM(G6:J6)</f>
        <v>1.2021115378941911</v>
      </c>
      <c r="L6" s="165">
        <f t="shared" ca="1" si="5"/>
        <v>0.59817996302195431</v>
      </c>
      <c r="M6" s="166">
        <f ca="1">A6+L6*Design!$B$19</f>
        <v>119.0962578922514</v>
      </c>
      <c r="N6" s="166">
        <f ca="1">K6*Design!$C$12+A6</f>
        <v>125.8717922884025</v>
      </c>
      <c r="O6" s="166">
        <f ca="1">Constants!$D$22+Constants!$D$22*Constants!$C$23/100*(N6-25)</f>
        <v>205.69743383072199</v>
      </c>
      <c r="P6" s="165">
        <f ca="1">IF(100*(Design!$C$29+D6+C6*IF(ISBLANK(Design!$B$43),Constants!$C$6,Design!$B$43)/1000*(1+Constants!$C$36/100*(N6-25)))/($B6+D6-C6*O6/1000)&gt;Design!$C$36,  (1-Constants!$C$20/1000000000*IF(ISBLANK(Design!$B$33),Design!$B$32/4,Design!$B$33/4)*1000000) * ($B6+D6-C6*O6/1000) - (D6+C6*(1+($A6-25)*Constants!$C$36/100)*IF(ISBLANK(Design!$B$43),Constants!$C$6/1000,Design!$B$43/1000)),   (1-Constants!$C$20/1000000000*IF(ISBLANK(Design!$B$33),Design!$B$32,Design!$B$33)*1000000) * ($B6+D6-C6*O6/1000) - (D6+C6*(1+($A6-25)*Constants!$C$36/100)*IF(ISBLANK(Design!$B$43),Constants!$C$6/1000,Design!$B$43/1000)) )</f>
        <v>10.346605311592974</v>
      </c>
      <c r="Q6" s="171">
        <f ca="1">IF(P6&gt;Design!$C$29,Design!$C$29,P6)</f>
        <v>4.9990521327014221</v>
      </c>
      <c r="R6" s="181">
        <f>2*Design!$D$7/3</f>
        <v>2</v>
      </c>
      <c r="S6" s="116">
        <f ca="1">FORECAST(R6, OFFSET(Design!$C$15:$C$17,MATCH(R6,Design!$B$15:$B$17,1)-1,0,2), OFFSET(Design!$B$15:$B$17,MATCH(R6,Design!$B$15:$B$17,1)-1,0,2))+(AB6-25)*Design!$B$18/1000</f>
        <v>0.37736121913271414</v>
      </c>
      <c r="T6" s="182">
        <f ca="1">IF(100*(Design!$C$29+S6+R6*IF(ISBLANK(Design!$B$43),Constants!$C$6,Design!$B$43)/1000*(1+Constants!$C$36/100*(AC6-25)))/($B6+S6-R6*AD6/1000)&gt;Design!$C$36,Design!$C$37,100*(Design!$C$29+S6+R6*IF(ISBLANK(Design!$B$43),Constants!$C$6,Design!$B$43)/1000*(1+Constants!$C$36/100*(AC6-25)))/($B6+S6-R6*AD6/1000))</f>
        <v>47.375144288047601</v>
      </c>
      <c r="U6" s="117">
        <f ca="1">IF(($B6-R6*IF(ISBLANK(Design!$B$43),Constants!$C$6,Design!$B$43)/1000*(1+Constants!$C$36/100*(AC6-25))-Design!$C$29)/(Design!$B$42/1000000)*T6/100/(IF(ISBLANK(IF(ISBLANK(Design!$B$42),Design!$B$40,Design!$B$42)),Design!$B$32,Design!$B$33)*1000000)&lt;0,0,($B6-R6*IF(ISBLANK(Design!$B$43),Constants!$C$6,Design!$B$43)/1000*(1+Constants!$C$36/100*(AC6-25))-Design!$C$29)/(IF(ISBLANK(Design!$B$42),Design!$B$40,Design!$B$42)/1000000)*T6/100/(IF(ISBLANK(Design!$B$33),Design!$B$32,Design!$B$33)*1000000))</f>
        <v>0.72076668843350067</v>
      </c>
      <c r="V6" s="183">
        <f>$B6*Constants!$C$21/1000+IF(ISBLANK(Design!$B$33),Design!$B$32,Design!$B$33)*1000000*Constants!$D$25/1000000000*($B6-Constants!$C$24)</f>
        <v>4.2886249999999973E-2</v>
      </c>
      <c r="W6" s="183">
        <f>$B6*R6*($B6/(Constants!$C$26*1000000000)*IF(ISBLANK(Design!$B$33),Design!$B$32,Design!$B$33)*1000000/2+$B6/(Constants!$C$27*1000000000)*IF(ISBLANK(Design!$B$33),Design!$B$32,Design!$B$33)*1000000/2)</f>
        <v>0.15803495138888873</v>
      </c>
      <c r="X6" s="183">
        <f t="shared" ca="1" si="1"/>
        <v>0.36122680223915671</v>
      </c>
      <c r="Y6" s="183">
        <f>Constants!$D$25/1000000000*Constants!$C$24*IF(ISBLANK(Design!$B$33),Design!$B$32,Design!$B$33)*1000000</f>
        <v>1.0624999999999999E-2</v>
      </c>
      <c r="Z6" s="183">
        <f ca="1">SUM(V6:Y6)</f>
        <v>0.5727730036280454</v>
      </c>
      <c r="AA6" s="183">
        <f t="shared" ca="1" si="7"/>
        <v>0.39717159416291065</v>
      </c>
      <c r="AB6" s="184">
        <f ca="1">$A6+AA6*Design!$B$19</f>
        <v>107.6387808672859</v>
      </c>
      <c r="AC6" s="184">
        <f ca="1">Z6*Design!$C$12+$A6</f>
        <v>104.47428212335355</v>
      </c>
      <c r="AD6" s="184">
        <f ca="1">Constants!$D$22+Constants!$D$22*Constants!$C$23/100*(AC6-25)</f>
        <v>188.57942569868283</v>
      </c>
      <c r="AE6" s="183">
        <f ca="1">IF(100*(Design!$C$29+S6+R6*IF(ISBLANK(Design!$B$43),Constants!$C$6,Design!$B$43)/1000*(1+Constants!$C$36/100*(AC6-25)))/($B6+S6-R6*AD6/1000)&gt;Design!$C$36,  (1-Constants!$C$20/1000000000*IF(ISBLANK(Design!$B$33),Design!$B$32/4,Design!$B$33/4)*1000000) * ($B6+S6-R6*AD6/1000) - (S6+R6*(1+($A6-25)*Constants!$C$36/100)*IF(ISBLANK(Design!$B$43),Constants!$C$6/1000,Design!$B$43/1000)),   (1-Constants!$C$20/1000000000*IF(ISBLANK(Design!$B$33),Design!$B$32,Design!$B$33)*1000000) * ($B6+S6-R6*AD6/1000) - (S6+R6*(1+($A6-25)*Constants!$C$36/100)*IF(ISBLANK(Design!$B$43),Constants!$C$6/1000,Design!$B$43/1000)) )</f>
        <v>10.626830228005312</v>
      </c>
      <c r="AF6" s="117">
        <f ca="1">IF(AE6&gt;Design!$C$29,Design!$C$29,AE6)</f>
        <v>4.9990521327014221</v>
      </c>
      <c r="AG6" s="118">
        <f>Design!$D$7/3</f>
        <v>1</v>
      </c>
      <c r="AH6" s="118">
        <f ca="1">FORECAST(AG6, OFFSET(Design!$C$15:$C$17,MATCH(AG6,Design!$B$15:$B$17,1)-1,0,2), OFFSET(Design!$B$15:$B$17,MATCH(AG6,Design!$B$15:$B$17,1)-1,0,2))+(AQ6-25)*Design!$B$18/1000</f>
        <v>0.31256869228891543</v>
      </c>
      <c r="AI6" s="194">
        <f ca="1">IF(100*(Design!$C$29+AH6+AG6*IF(ISBLANK(Design!$B$43),Constants!$C$6,Design!$B$43)/1000*(1+Constants!$C$36/100*(AR6-25)))/($B6+AH6-AG6*AS6/1000)&gt;Design!$C$36,Design!$C$37,100*(Design!$C$29+AH6+AG6*IF(ISBLANK(Design!$B$43),Constants!$C$6,Design!$B$43)/1000*(1+Constants!$C$36/100*(AR6-25)))/($B6+AH6-AG6*AS6/1000))</f>
        <v>45.816654563728072</v>
      </c>
      <c r="AJ6" s="119">
        <f ca="1">IF(($B6-AG6*IF(ISBLANK(Design!$B$43),Constants!$C$6,Design!$B$43)/1000*(1+Constants!$C$36/100*(AR6-25))-Design!$C$29)/(IF(ISBLANK(Design!$B$42),Design!$B$40,Design!$B$42)/1000000)*AI6/100/(IF(ISBLANK(Design!$B$33),Design!$B$32,Design!$B$33)*1000000)&lt;0,0,($B6-AG6*IF(ISBLANK(Design!$B$43),Constants!$C$6,Design!$B$43)/1000*(1+Constants!$C$36/100*(AR6-25))-Design!$C$29)/(IF(ISBLANK(Design!$B$42),Design!$B$40,Design!$B$42)/1000000)*AI6/100/(IF(ISBLANK(Design!$B$33),Design!$B$32,Design!$B$33)*1000000))</f>
        <v>0.70291925773322472</v>
      </c>
      <c r="AK6" s="195">
        <f>$B6*Constants!$C$21/1000+IF(ISBLANK(Design!$B$33),Design!$B$32,Design!$B$33)*1000000*Constants!$D$25/1000000000*($B6-Constants!$C$24)</f>
        <v>4.2886249999999973E-2</v>
      </c>
      <c r="AL6" s="195">
        <f>$B6*AG6*($B6/(Constants!$C$26*1000000000)*IF(ISBLANK(Design!$B$33),Design!$B$32,Design!$B$33)*1000000/2+$B6/(Constants!$C$27*1000000000)*IF(ISBLANK(Design!$B$33),Design!$B$32,Design!$B$33)*1000000/2)</f>
        <v>7.9017475694444367E-2</v>
      </c>
      <c r="AM6" s="195">
        <f t="shared" ca="1" si="2"/>
        <v>8.5353506061165901E-2</v>
      </c>
      <c r="AN6" s="195">
        <f>Constants!$D$25/1000000000*Constants!$C$24*IF(ISBLANK(Design!$B$33),Design!$B$32,Design!$B$33)*1000000</f>
        <v>1.0624999999999999E-2</v>
      </c>
      <c r="AO6" s="195">
        <f ca="1">SUM(AK6:AN6)</f>
        <v>0.21788223175561022</v>
      </c>
      <c r="AP6" s="195">
        <f t="shared" ca="1" si="9"/>
        <v>0.16936017426854089</v>
      </c>
      <c r="AQ6" s="196">
        <f ca="1">$A6+AP6*Design!$B$19</f>
        <v>94.653529933306828</v>
      </c>
      <c r="AR6" s="196">
        <f ca="1">AO6*Design!$C$12+$A6</f>
        <v>92.407995879690745</v>
      </c>
      <c r="AS6" s="196">
        <f ca="1">Constants!$D$22+Constants!$D$22*Constants!$C$23/100*(AR6-25)</f>
        <v>178.9263967037526</v>
      </c>
      <c r="AT6" s="195">
        <f ca="1">IF(100*(Design!$C$29+AH6+AG6*IF(ISBLANK(Design!$B$43),Constants!$C$6,Design!$B$43)/1000*(1+Constants!$C$36/100*(AR6-25)))/($B6+AH6-AG6*AS6/1000)&gt;Design!$C$36,  (1-Constants!$C$20/1000000000*IF(ISBLANK(Design!$B$33),Design!$B$32/4,Design!$B$33/4)*1000000) * ($B6+AH6-AG6*AS6/1000) - (AH6+AG6*(1+($A6-25)*Constants!$C$36/100)*IF(ISBLANK(Design!$B$43),Constants!$C$6/1000,Design!$B$43/1000)),   (1-Constants!$C$20/1000000000*IF(ISBLANK(Design!$B$33),Design!$B$32,Design!$B$33)*1000000) * ($B6+AH6-AG6*AS6/1000) - (AH6+AG6*(1+($A6-25)*Constants!$C$36/100)*IF(ISBLANK(Design!$B$43),Constants!$C$6/1000,Design!$B$43/1000)) )</f>
        <v>10.869107045611988</v>
      </c>
      <c r="AU6" s="119">
        <f ca="1">IF(AT6&gt;Design!$C$29,Design!$C$29,AT6)</f>
        <v>4.9990521327014221</v>
      </c>
    </row>
    <row r="7" spans="1:47" s="120" customFormat="1" ht="12.75" customHeight="1" x14ac:dyDescent="0.2">
      <c r="A7" s="112">
        <f>Design!$D$13</f>
        <v>85</v>
      </c>
      <c r="B7" s="113">
        <f t="shared" si="3"/>
        <v>11.354999999999995</v>
      </c>
      <c r="C7" s="114">
        <f>Design!$D$7</f>
        <v>3</v>
      </c>
      <c r="D7" s="114">
        <f ca="1">FORECAST(C7, OFFSET(Design!$C$15:$C$17,MATCH(C7,Design!$B$15:$B$17,1)-1,0,2), OFFSET(Design!$B$15:$B$17,MATCH(C7,Design!$B$15:$B$17,1)-1,0,2))+(M7-25)*Design!$B$18/1000</f>
        <v>0.39149098174627678</v>
      </c>
      <c r="E7" s="173">
        <f ca="1">IF(100*(Design!$C$29+D7+C7*IF(ISBLANK(Design!$B$43),Constants!$C$6,Design!$B$43)/1000*(1+Constants!$C$36/100*(N7-25)))/($B7+D7-C7*O7/1000)&gt;Design!$C$36,Design!$C$37,100*(Design!$C$29+D7+C7*IF(ISBLANK(Design!$B$43),Constants!$C$6,Design!$B$43)/1000*(1+Constants!$C$36/100*(N7-25)))/($B7+D7-C7*O7/1000))</f>
        <v>49.945418870106963</v>
      </c>
      <c r="F7" s="115">
        <f ca="1">IF(($B7-C7*IF(ISBLANK(Design!$B$43),Constants!$C$6,Design!$B$43)/1000*(1+Constants!$C$36/100*(N7-25))-Design!$C$29)/(IF(ISBLANK(Design!$B$42),Design!$B$40,Design!$B$42)/1000000)*E7/100/(IF(ISBLANK(Design!$B$33),Design!$B$32,Design!$B$33)*1000000)&lt;0, 0, ($B7-C7*IF(ISBLANK(Design!$B$43),Constants!$C$6,Design!$B$43)/1000*(1+Constants!$C$36/100*(N7-25))-Design!$C$29)/(IF(ISBLANK(Design!$B$42),Design!$B$40,Design!$B$42)/1000000)*E7/100/(IF(ISBLANK(Design!$B$33),Design!$B$32,Design!$B$33)*1000000))</f>
        <v>0.7272326314580505</v>
      </c>
      <c r="G7" s="165">
        <f>B7*Constants!$C$21/1000+IF(ISBLANK(Design!$B$33),Design!$B$32,Design!$B$33)*1000000*Constants!$D$25/1000000000*(B7-Constants!$C$24)</f>
        <v>4.1891874999999981E-2</v>
      </c>
      <c r="H7" s="165">
        <f>B7*C7*(B7/(Constants!$C$26*1000000000)*IF(ISBLANK(Design!$B$33),Design!$B$32,Design!$B$33)*1000000/2+B7/(Constants!$C$27*1000000000)*IF(ISBLANK(Design!$B$33),Design!$B$32,Design!$B$33)*1000000/2)</f>
        <v>0.22832421093749983</v>
      </c>
      <c r="I7" s="165">
        <f t="shared" ca="1" si="0"/>
        <v>0.93026038202511596</v>
      </c>
      <c r="J7" s="165">
        <f>Constants!$D$25/1000000000*Constants!$C$24*IF(ISBLANK(Design!$B$33),Design!$B$32,Design!$B$33)*1000000</f>
        <v>1.0624999999999999E-2</v>
      </c>
      <c r="K7" s="165">
        <f t="shared" ca="1" si="4"/>
        <v>1.211101467962616</v>
      </c>
      <c r="L7" s="165">
        <f t="shared" ca="1" si="5"/>
        <v>0.58787751322321458</v>
      </c>
      <c r="M7" s="166">
        <f ca="1">A7+L7*Design!$B$19</f>
        <v>118.50901825372324</v>
      </c>
      <c r="N7" s="166">
        <f ca="1">K7*Design!$C$12+A7</f>
        <v>126.17744991072894</v>
      </c>
      <c r="O7" s="166">
        <f ca="1">Constants!$D$22+Constants!$D$22*Constants!$C$23/100*(N7-25)</f>
        <v>205.94195992858317</v>
      </c>
      <c r="P7" s="165">
        <f ca="1">IF(100*(Design!$C$29+D7+C7*IF(ISBLANK(Design!$B$43),Constants!$C$6,Design!$B$43)/1000*(1+Constants!$C$36/100*(N7-25)))/($B7+D7-C7*O7/1000)&gt;Design!$C$36,  (1-Constants!$C$20/1000000000*IF(ISBLANK(Design!$B$33),Design!$B$32/4,Design!$B$33/4)*1000000) * ($B7+D7-C7*O7/1000) - (D7+C7*(1+($A7-25)*Constants!$C$36/100)*IF(ISBLANK(Design!$B$43),Constants!$C$6/1000,Design!$B$43/1000)),   (1-Constants!$C$20/1000000000*IF(ISBLANK(Design!$B$33),Design!$B$32,Design!$B$33)*1000000) * ($B7+D7-C7*O7/1000) - (D7+C7*(1+($A7-25)*Constants!$C$36/100)*IF(ISBLANK(Design!$B$43),Constants!$C$6/1000,Design!$B$43/1000)) )</f>
        <v>10.139558266722588</v>
      </c>
      <c r="Q7" s="171">
        <f ca="1">IF(P7&gt;Design!$C$29,Design!$C$29,P7)</f>
        <v>4.9990521327014221</v>
      </c>
      <c r="R7" s="181">
        <f>2*Design!$D$7/3</f>
        <v>2</v>
      </c>
      <c r="S7" s="116">
        <f ca="1">FORECAST(R7, OFFSET(Design!$C$15:$C$17,MATCH(R7,Design!$B$15:$B$17,1)-1,0,2), OFFSET(Design!$B$15:$B$17,MATCH(R7,Design!$B$15:$B$17,1)-1,0,2))+(AB7-25)*Design!$B$18/1000</f>
        <v>0.37772627968996242</v>
      </c>
      <c r="T7" s="182">
        <f ca="1">IF(100*(Design!$C$29+S7+R7*IF(ISBLANK(Design!$B$43),Constants!$C$6,Design!$B$43)/1000*(1+Constants!$C$36/100*(AC7-25)))/($B7+S7-R7*AD7/1000)&gt;Design!$C$36,Design!$C$37,100*(Design!$C$29+S7+R7*IF(ISBLANK(Design!$B$43),Constants!$C$6,Design!$B$43)/1000*(1+Constants!$C$36/100*(AC7-25)))/($B7+S7-R7*AD7/1000))</f>
        <v>48.273783954897567</v>
      </c>
      <c r="U7" s="117">
        <f ca="1">IF(($B7-R7*IF(ISBLANK(Design!$B$43),Constants!$C$6,Design!$B$43)/1000*(1+Constants!$C$36/100*(AC7-25))-Design!$C$29)/(Design!$B$42/1000000)*T7/100/(IF(ISBLANK(IF(ISBLANK(Design!$B$42),Design!$B$40,Design!$B$42)),Design!$B$32,Design!$B$33)*1000000)&lt;0,0,($B7-R7*IF(ISBLANK(Design!$B$43),Constants!$C$6,Design!$B$43)/1000*(1+Constants!$C$36/100*(AC7-25))-Design!$C$29)/(IF(ISBLANK(Design!$B$42),Design!$B$40,Design!$B$42)/1000000)*T7/100/(IF(ISBLANK(Design!$B$33),Design!$B$32,Design!$B$33)*1000000))</f>
        <v>0.71001786037197978</v>
      </c>
      <c r="V7" s="183">
        <f>$B7*Constants!$C$21/1000+IF(ISBLANK(Design!$B$33),Design!$B$32,Design!$B$33)*1000000*Constants!$D$25/1000000000*($B7-Constants!$C$24)</f>
        <v>4.1891874999999981E-2</v>
      </c>
      <c r="W7" s="183">
        <f>$B7*R7*($B7/(Constants!$C$26*1000000000)*IF(ISBLANK(Design!$B$33),Design!$B$32,Design!$B$33)*1000000/2+$B7/(Constants!$C$27*1000000000)*IF(ISBLANK(Design!$B$33),Design!$B$32,Design!$B$33)*1000000/2)</f>
        <v>0.15221614062499988</v>
      </c>
      <c r="X7" s="183">
        <f t="shared" ca="1" si="1"/>
        <v>0.36795772927531278</v>
      </c>
      <c r="Y7" s="183">
        <f>Constants!$D$25/1000000000*Constants!$C$24*IF(ISBLANK(Design!$B$33),Design!$B$32,Design!$B$33)*1000000</f>
        <v>1.0624999999999999E-2</v>
      </c>
      <c r="Z7" s="183">
        <f t="shared" ref="Z7:Z44" ca="1" si="10">SUM(V7:Y7)</f>
        <v>0.57269074490031258</v>
      </c>
      <c r="AA7" s="183">
        <f t="shared" ca="1" si="7"/>
        <v>0.39076702298311566</v>
      </c>
      <c r="AB7" s="184">
        <f ca="1">$A7+AA7*Design!$B$19</f>
        <v>107.27372031003759</v>
      </c>
      <c r="AC7" s="184">
        <f ca="1">Z7*Design!$C$12+$A7</f>
        <v>104.47148532661063</v>
      </c>
      <c r="AD7" s="184">
        <f ca="1">Constants!$D$22+Constants!$D$22*Constants!$C$23/100*(AC7-25)</f>
        <v>188.57718826128851</v>
      </c>
      <c r="AE7" s="183">
        <f ca="1">IF(100*(Design!$C$29+S7+R7*IF(ISBLANK(Design!$B$43),Constants!$C$6,Design!$B$43)/1000*(1+Constants!$C$36/100*(AC7-25)))/($B7+S7-R7*AD7/1000)&gt;Design!$C$36,  (1-Constants!$C$20/1000000000*IF(ISBLANK(Design!$B$33),Design!$B$32/4,Design!$B$33/4)*1000000) * ($B7+S7-R7*AD7/1000) - (S7+R7*(1+($A7-25)*Constants!$C$36/100)*IF(ISBLANK(Design!$B$43),Constants!$C$6/1000,Design!$B$43/1000)),   (1-Constants!$C$20/1000000000*IF(ISBLANK(Design!$B$33),Design!$B$32,Design!$B$33)*1000000) * ($B7+S7-R7*AD7/1000) - (S7+R7*(1+($A7-25)*Constants!$C$36/100)*IF(ISBLANK(Design!$B$43),Constants!$C$6/1000,Design!$B$43/1000)) )</f>
        <v>10.420500407887035</v>
      </c>
      <c r="AF7" s="117">
        <f ca="1">IF(AE7&gt;Design!$C$29,Design!$C$29,AE7)</f>
        <v>4.9990521327014221</v>
      </c>
      <c r="AG7" s="118">
        <f>Design!$D$7/3</f>
        <v>1</v>
      </c>
      <c r="AH7" s="118">
        <f ca="1">FORECAST(AG7, OFFSET(Design!$C$15:$C$17,MATCH(AG7,Design!$B$15:$B$17,1)-1,0,2), OFFSET(Design!$B$15:$B$17,MATCH(AG7,Design!$B$15:$B$17,1)-1,0,2))+(AQ7-25)*Design!$B$18/1000</f>
        <v>0.31271700011671538</v>
      </c>
      <c r="AI7" s="194">
        <f ca="1">IF(100*(Design!$C$29+AH7+AG7*IF(ISBLANK(Design!$B$43),Constants!$C$6,Design!$B$43)/1000*(1+Constants!$C$36/100*(AR7-25)))/($B7+AH7-AG7*AS7/1000)&gt;Design!$C$36,Design!$C$37,100*(Design!$C$29+AH7+AG7*IF(ISBLANK(Design!$B$43),Constants!$C$6,Design!$B$43)/1000*(1+Constants!$C$36/100*(AR7-25)))/($B7+AH7-AG7*AS7/1000))</f>
        <v>46.674378914317778</v>
      </c>
      <c r="AJ7" s="119">
        <f ca="1">IF(($B7-AG7*IF(ISBLANK(Design!$B$43),Constants!$C$6,Design!$B$43)/1000*(1+Constants!$C$36/100*(AR7-25))-Design!$C$29)/(IF(ISBLANK(Design!$B$42),Design!$B$40,Design!$B$42)/1000000)*AI7/100/(IF(ISBLANK(Design!$B$33),Design!$B$32,Design!$B$33)*1000000)&lt;0,0,($B7-AG7*IF(ISBLANK(Design!$B$43),Constants!$C$6,Design!$B$43)/1000*(1+Constants!$C$36/100*(AR7-25))-Design!$C$29)/(IF(ISBLANK(Design!$B$42),Design!$B$40,Design!$B$42)/1000000)*AI7/100/(IF(ISBLANK(Design!$B$33),Design!$B$32,Design!$B$33)*1000000))</f>
        <v>0.69246815476383983</v>
      </c>
      <c r="AK7" s="195">
        <f>$B7*Constants!$C$21/1000+IF(ISBLANK(Design!$B$33),Design!$B$32,Design!$B$33)*1000000*Constants!$D$25/1000000000*($B7-Constants!$C$24)</f>
        <v>4.1891874999999981E-2</v>
      </c>
      <c r="AL7" s="195">
        <f>$B7*AG7*($B7/(Constants!$C$26*1000000000)*IF(ISBLANK(Design!$B$33),Design!$B$32,Design!$B$33)*1000000/2+$B7/(Constants!$C$27*1000000000)*IF(ISBLANK(Design!$B$33),Design!$B$32,Design!$B$33)*1000000/2)</f>
        <v>7.6108070312499942E-2</v>
      </c>
      <c r="AM7" s="195">
        <f t="shared" ca="1" si="2"/>
        <v>8.6817691253404661E-2</v>
      </c>
      <c r="AN7" s="195">
        <f>Constants!$D$25/1000000000*Constants!$C$24*IF(ISBLANK(Design!$B$33),Design!$B$32,Design!$B$33)*1000000</f>
        <v>1.0624999999999999E-2</v>
      </c>
      <c r="AO7" s="195">
        <f t="shared" ref="AO7:AO44" ca="1" si="11">SUM(AK7:AN7)</f>
        <v>0.21544263656590457</v>
      </c>
      <c r="AP7" s="195">
        <f t="shared" ca="1" si="9"/>
        <v>0.16675828255275207</v>
      </c>
      <c r="AQ7" s="196">
        <f ca="1">$A7+AP7*Design!$B$19</f>
        <v>94.505222105506874</v>
      </c>
      <c r="AR7" s="196">
        <f ca="1">AO7*Design!$C$12+$A7</f>
        <v>92.32504964324076</v>
      </c>
      <c r="AS7" s="196">
        <f ca="1">Constants!$D$22+Constants!$D$22*Constants!$C$23/100*(AR7-25)</f>
        <v>178.8600397145926</v>
      </c>
      <c r="AT7" s="195">
        <f ca="1">IF(100*(Design!$C$29+AH7+AG7*IF(ISBLANK(Design!$B$43),Constants!$C$6,Design!$B$43)/1000*(1+Constants!$C$36/100*(AR7-25)))/($B7+AH7-AG7*AS7/1000)&gt;Design!$C$36,  (1-Constants!$C$20/1000000000*IF(ISBLANK(Design!$B$33),Design!$B$32/4,Design!$B$33/4)*1000000) * ($B7+AH7-AG7*AS7/1000) - (AH7+AG7*(1+($A7-25)*Constants!$C$36/100)*IF(ISBLANK(Design!$B$43),Constants!$C$6/1000,Design!$B$43/1000)),   (1-Constants!$C$20/1000000000*IF(ISBLANK(Design!$B$33),Design!$B$32,Design!$B$33)*1000000) * ($B7+AH7-AG7*AS7/1000) - (AH7+AG7*(1+($A7-25)*Constants!$C$36/100)*IF(ISBLANK(Design!$B$43),Constants!$C$6/1000,Design!$B$43/1000)) )</f>
        <v>10.662845360509165</v>
      </c>
      <c r="AU7" s="119">
        <f ca="1">IF(AT7&gt;Design!$C$29,Design!$C$29,AT7)</f>
        <v>4.9990521327014221</v>
      </c>
    </row>
    <row r="8" spans="1:47" s="120" customFormat="1" ht="12.75" customHeight="1" x14ac:dyDescent="0.2">
      <c r="A8" s="112">
        <f>Design!$D$13</f>
        <v>85</v>
      </c>
      <c r="B8" s="113">
        <f t="shared" si="3"/>
        <v>11.139999999999995</v>
      </c>
      <c r="C8" s="114">
        <f>Design!$D$7</f>
        <v>3</v>
      </c>
      <c r="D8" s="114">
        <f ca="1">FORECAST(C8, OFFSET(Design!$C$15:$C$17,MATCH(C8,Design!$B$15:$B$17,1)-1,0,2), OFFSET(Design!$B$15:$B$17,MATCH(C8,Design!$B$15:$B$17,1)-1,0,2))+(M8-25)*Design!$B$18/1000</f>
        <v>0.3921036583699759</v>
      </c>
      <c r="E8" s="173">
        <f ca="1">IF(100*(Design!$C$29+D8+C8*IF(ISBLANK(Design!$B$43),Constants!$C$6,Design!$B$43)/1000*(1+Constants!$C$36/100*(N8-25)))/($B8+D8-C8*O8/1000)&gt;Design!$C$36,Design!$C$37,100*(Design!$C$29+D8+C8*IF(ISBLANK(Design!$B$43),Constants!$C$6,Design!$B$43)/1000*(1+Constants!$C$36/100*(N8-25)))/($B8+D8-C8*O8/1000))</f>
        <v>50.937395574941014</v>
      </c>
      <c r="F8" s="115">
        <f ca="1">IF(($B8-C8*IF(ISBLANK(Design!$B$43),Constants!$C$6,Design!$B$43)/1000*(1+Constants!$C$36/100*(N8-25))-Design!$C$29)/(IF(ISBLANK(Design!$B$42),Design!$B$40,Design!$B$42)/1000000)*E8/100/(IF(ISBLANK(Design!$B$33),Design!$B$32,Design!$B$33)*1000000)&lt;0, 0, ($B8-C8*IF(ISBLANK(Design!$B$43),Constants!$C$6,Design!$B$43)/1000*(1+Constants!$C$36/100*(N8-25))-Design!$C$29)/(IF(ISBLANK(Design!$B$42),Design!$B$40,Design!$B$42)/1000000)*E8/100/(IF(ISBLANK(Design!$B$33),Design!$B$32,Design!$B$33)*1000000))</f>
        <v>0.71588874867838648</v>
      </c>
      <c r="G8" s="165">
        <f>B8*Constants!$C$21/1000+IF(ISBLANK(Design!$B$33),Design!$B$32,Design!$B$33)*1000000*Constants!$D$25/1000000000*(B8-Constants!$C$24)</f>
        <v>4.0897499999999976E-2</v>
      </c>
      <c r="H8" s="165">
        <f>B8*C8*(B8/(Constants!$C$26*1000000000)*IF(ISBLANK(Design!$B$33),Design!$B$32,Design!$B$33)*1000000/2+B8/(Constants!$C$27*1000000000)*IF(ISBLANK(Design!$B$33),Design!$B$32,Design!$B$33)*1000000/2)</f>
        <v>0.21975970833333314</v>
      </c>
      <c r="I8" s="165">
        <f t="shared" ca="1" si="0"/>
        <v>0.94985010423475613</v>
      </c>
      <c r="J8" s="165">
        <f>Constants!$D$25/1000000000*Constants!$C$24*IF(ISBLANK(Design!$B$33),Design!$B$32,Design!$B$33)*1000000</f>
        <v>1.0624999999999999E-2</v>
      </c>
      <c r="K8" s="165">
        <f t="shared" ca="1" si="4"/>
        <v>1.2211323125680893</v>
      </c>
      <c r="L8" s="165">
        <f t="shared" ca="1" si="5"/>
        <v>0.57712880052673787</v>
      </c>
      <c r="M8" s="166">
        <f ca="1">A8+L8*Design!$B$19</f>
        <v>117.89634163002407</v>
      </c>
      <c r="N8" s="166">
        <f ca="1">K8*Design!$C$12+A8</f>
        <v>126.51849862731504</v>
      </c>
      <c r="O8" s="166">
        <f ca="1">Constants!$D$22+Constants!$D$22*Constants!$C$23/100*(N8-25)</f>
        <v>206.21479890185202</v>
      </c>
      <c r="P8" s="165">
        <f ca="1">IF(100*(Design!$C$29+D8+C8*IF(ISBLANK(Design!$B$43),Constants!$C$6,Design!$B$43)/1000*(1+Constants!$C$36/100*(N8-25)))/($B8+D8-C8*O8/1000)&gt;Design!$C$36,  (1-Constants!$C$20/1000000000*IF(ISBLANK(Design!$B$33),Design!$B$32/4,Design!$B$33/4)*1000000) * ($B8+D8-C8*O8/1000) - (D8+C8*(1+($A8-25)*Constants!$C$36/100)*IF(ISBLANK(Design!$B$43),Constants!$C$6/1000,Design!$B$43/1000)),   (1-Constants!$C$20/1000000000*IF(ISBLANK(Design!$B$33),Design!$B$32,Design!$B$33)*1000000) * ($B8+D8-C8*O8/1000) - (D8+C8*(1+($A8-25)*Constants!$C$36/100)*IF(ISBLANK(Design!$B$43),Constants!$C$6/1000,Design!$B$43/1000)) )</f>
        <v>9.9324286856047372</v>
      </c>
      <c r="Q8" s="171">
        <f ca="1">IF(P8&gt;Design!$C$29,Design!$C$29,P8)</f>
        <v>4.9990521327014221</v>
      </c>
      <c r="R8" s="181">
        <f>2*Design!$D$7/3</f>
        <v>2</v>
      </c>
      <c r="S8" s="116">
        <f ca="1">FORECAST(R8, OFFSET(Design!$C$15:$C$17,MATCH(R8,Design!$B$15:$B$17,1)-1,0,2), OFFSET(Design!$B$15:$B$17,MATCH(R8,Design!$B$15:$B$17,1)-1,0,2))+(AB8-25)*Design!$B$18/1000</f>
        <v>0.37810623532632598</v>
      </c>
      <c r="T8" s="182">
        <f ca="1">IF(100*(Design!$C$29+S8+R8*IF(ISBLANK(Design!$B$43),Constants!$C$6,Design!$B$43)/1000*(1+Constants!$C$36/100*(AC8-25)))/($B8+S8-R8*AD8/1000)&gt;Design!$C$36,Design!$C$37,100*(Design!$C$29+S8+R8*IF(ISBLANK(Design!$B$43),Constants!$C$6,Design!$B$43)/1000*(1+Constants!$C$36/100*(AC8-25)))/($B8+S8-R8*AD8/1000))</f>
        <v>49.207246702192002</v>
      </c>
      <c r="U8" s="117">
        <f ca="1">IF(($B8-R8*IF(ISBLANK(Design!$B$43),Constants!$C$6,Design!$B$43)/1000*(1+Constants!$C$36/100*(AC8-25))-Design!$C$29)/(Design!$B$42/1000000)*T8/100/(IF(ISBLANK(IF(ISBLANK(Design!$B$42),Design!$B$40,Design!$B$42)),Design!$B$32,Design!$B$33)*1000000)&lt;0,0,($B8-R8*IF(ISBLANK(Design!$B$43),Constants!$C$6,Design!$B$43)/1000*(1+Constants!$C$36/100*(AC8-25))-Design!$C$29)/(IF(ISBLANK(Design!$B$42),Design!$B$40,Design!$B$42)/1000000)*T8/100/(IF(ISBLANK(Design!$B$33),Design!$B$32,Design!$B$33)*1000000))</f>
        <v>0.69885391020962928</v>
      </c>
      <c r="V8" s="183">
        <f>$B8*Constants!$C$21/1000+IF(ISBLANK(Design!$B$33),Design!$B$32,Design!$B$33)*1000000*Constants!$D$25/1000000000*($B8-Constants!$C$24)</f>
        <v>4.0897499999999976E-2</v>
      </c>
      <c r="W8" s="183">
        <f>$B8*R8*($B8/(Constants!$C$26*1000000000)*IF(ISBLANK(Design!$B$33),Design!$B$32,Design!$B$33)*1000000/2+$B8/(Constants!$C$27*1000000000)*IF(ISBLANK(Design!$B$33),Design!$B$32,Design!$B$33)*1000000/2)</f>
        <v>0.1465064722222221</v>
      </c>
      <c r="X8" s="183">
        <f t="shared" ca="1" si="1"/>
        <v>0.37496779581994294</v>
      </c>
      <c r="Y8" s="183">
        <f>Constants!$D$25/1000000000*Constants!$C$24*IF(ISBLANK(Design!$B$33),Design!$B$32,Design!$B$33)*1000000</f>
        <v>1.0624999999999999E-2</v>
      </c>
      <c r="Z8" s="183">
        <f t="shared" ca="1" si="10"/>
        <v>0.57299676804216504</v>
      </c>
      <c r="AA8" s="183">
        <f t="shared" ca="1" si="7"/>
        <v>0.38410113462586015</v>
      </c>
      <c r="AB8" s="184">
        <f ca="1">$A8+AA8*Design!$B$19</f>
        <v>106.89376467367403</v>
      </c>
      <c r="AC8" s="184">
        <f ca="1">Z8*Design!$C$12+$A8</f>
        <v>104.48189011343361</v>
      </c>
      <c r="AD8" s="184">
        <f ca="1">Constants!$D$22+Constants!$D$22*Constants!$C$23/100*(AC8-25)</f>
        <v>188.58551209074687</v>
      </c>
      <c r="AE8" s="183">
        <f ca="1">IF(100*(Design!$C$29+S8+R8*IF(ISBLANK(Design!$B$43),Constants!$C$6,Design!$B$43)/1000*(1+Constants!$C$36/100*(AC8-25)))/($B8+S8-R8*AD8/1000)&gt;Design!$C$36,  (1-Constants!$C$20/1000000000*IF(ISBLANK(Design!$B$33),Design!$B$32/4,Design!$B$33/4)*1000000) * ($B8+S8-R8*AD8/1000) - (S8+R8*(1+($A8-25)*Constants!$C$36/100)*IF(ISBLANK(Design!$B$43),Constants!$C$6/1000,Design!$B$43/1000)),   (1-Constants!$C$20/1000000000*IF(ISBLANK(Design!$B$33),Design!$B$32,Design!$B$33)*1000000) * ($B8+S8-R8*AD8/1000) - (S8+R8*(1+($A8-25)*Constants!$C$36/100)*IF(ISBLANK(Design!$B$43),Constants!$C$6/1000,Design!$B$43/1000)) )</f>
        <v>10.21414971666853</v>
      </c>
      <c r="AF8" s="117">
        <f ca="1">IF(AE8&gt;Design!$C$29,Design!$C$29,AE8)</f>
        <v>4.9990521327014221</v>
      </c>
      <c r="AG8" s="118">
        <f>Design!$D$7/3</f>
        <v>1</v>
      </c>
      <c r="AH8" s="118">
        <f ca="1">FORECAST(AG8, OFFSET(Design!$C$15:$C$17,MATCH(AG8,Design!$B$15:$B$17,1)-1,0,2), OFFSET(Design!$B$15:$B$17,MATCH(AG8,Design!$B$15:$B$17,1)-1,0,2))+(AQ8-25)*Design!$B$18/1000</f>
        <v>0.31287111556303204</v>
      </c>
      <c r="AI8" s="194">
        <f ca="1">IF(100*(Design!$C$29+AH8+AG8*IF(ISBLANK(Design!$B$43),Constants!$C$6,Design!$B$43)/1000*(1+Constants!$C$36/100*(AR8-25)))/($B8+AH8-AG8*AS8/1000)&gt;Design!$C$36,Design!$C$37,100*(Design!$C$29+AH8+AG8*IF(ISBLANK(Design!$B$43),Constants!$C$6,Design!$B$43)/1000*(1+Constants!$C$36/100*(AR8-25)))/($B8+AH8-AG8*AS8/1000))</f>
        <v>47.56482953129639</v>
      </c>
      <c r="AJ8" s="119">
        <f ca="1">IF(($B8-AG8*IF(ISBLANK(Design!$B$43),Constants!$C$6,Design!$B$43)/1000*(1+Constants!$C$36/100*(AR8-25))-Design!$C$29)/(IF(ISBLANK(Design!$B$42),Design!$B$40,Design!$B$42)/1000000)*AI8/100/(IF(ISBLANK(Design!$B$33),Design!$B$32,Design!$B$33)*1000000)&lt;0,0,($B8-AG8*IF(ISBLANK(Design!$B$43),Constants!$C$6,Design!$B$43)/1000*(1+Constants!$C$36/100*(AR8-25))-Design!$C$29)/(IF(ISBLANK(Design!$B$42),Design!$B$40,Design!$B$42)/1000000)*AI8/100/(IF(ISBLANK(Design!$B$33),Design!$B$32,Design!$B$33)*1000000))</f>
        <v>0.68161820079945235</v>
      </c>
      <c r="AK8" s="195">
        <f>$B8*Constants!$C$21/1000+IF(ISBLANK(Design!$B$33),Design!$B$32,Design!$B$33)*1000000*Constants!$D$25/1000000000*($B8-Constants!$C$24)</f>
        <v>4.0897499999999976E-2</v>
      </c>
      <c r="AL8" s="195">
        <f>$B8*AG8*($B8/(Constants!$C$26*1000000000)*IF(ISBLANK(Design!$B$33),Design!$B$32,Design!$B$33)*1000000/2+$B8/(Constants!$C$27*1000000000)*IF(ISBLANK(Design!$B$33),Design!$B$32,Design!$B$33)*1000000/2)</f>
        <v>7.325323611111105E-2</v>
      </c>
      <c r="AM8" s="195">
        <f t="shared" ca="1" si="2"/>
        <v>8.8336986262492548E-2</v>
      </c>
      <c r="AN8" s="195">
        <f>Constants!$D$25/1000000000*Constants!$C$24*IF(ISBLANK(Design!$B$33),Design!$B$32,Design!$B$33)*1000000</f>
        <v>1.0624999999999999E-2</v>
      </c>
      <c r="AO8" s="195">
        <f t="shared" ca="1" si="11"/>
        <v>0.21311272237360357</v>
      </c>
      <c r="AP8" s="195">
        <f t="shared" ca="1" si="9"/>
        <v>0.1640545027928105</v>
      </c>
      <c r="AQ8" s="196">
        <f ca="1">$A8+AP8*Design!$B$19</f>
        <v>94.351106659190194</v>
      </c>
      <c r="AR8" s="196">
        <f ca="1">AO8*Design!$C$12+$A8</f>
        <v>92.245832560702524</v>
      </c>
      <c r="AS8" s="196">
        <f ca="1">Constants!$D$22+Constants!$D$22*Constants!$C$23/100*(AR8-25)</f>
        <v>178.79666604856203</v>
      </c>
      <c r="AT8" s="195">
        <f ca="1">IF(100*(Design!$C$29+AH8+AG8*IF(ISBLANK(Design!$B$43),Constants!$C$6,Design!$B$43)/1000*(1+Constants!$C$36/100*(AR8-25)))/($B8+AH8-AG8*AS8/1000)&gt;Design!$C$36,  (1-Constants!$C$20/1000000000*IF(ISBLANK(Design!$B$33),Design!$B$32/4,Design!$B$33/4)*1000000) * ($B8+AH8-AG8*AS8/1000) - (AH8+AG8*(1+($A8-25)*Constants!$C$36/100)*IF(ISBLANK(Design!$B$43),Constants!$C$6/1000,Design!$B$43/1000)),   (1-Constants!$C$20/1000000000*IF(ISBLANK(Design!$B$33),Design!$B$32,Design!$B$33)*1000000) * ($B8+AH8-AG8*AS8/1000) - (AH8+AG8*(1+($A8-25)*Constants!$C$36/100)*IF(ISBLANK(Design!$B$43),Constants!$C$6/1000,Design!$B$43/1000)) )</f>
        <v>10.456580578052286</v>
      </c>
      <c r="AU8" s="119">
        <f ca="1">IF(AT8&gt;Design!$C$29,Design!$C$29,AT8)</f>
        <v>4.9990521327014221</v>
      </c>
    </row>
    <row r="9" spans="1:47" s="120" customFormat="1" ht="12.75" customHeight="1" x14ac:dyDescent="0.2">
      <c r="A9" s="112">
        <f>Design!$D$13</f>
        <v>85</v>
      </c>
      <c r="B9" s="113">
        <f t="shared" si="3"/>
        <v>10.924999999999995</v>
      </c>
      <c r="C9" s="114">
        <f>Design!$D$7</f>
        <v>3</v>
      </c>
      <c r="D9" s="114">
        <f ca="1">FORECAST(C9, OFFSET(Design!$C$15:$C$17,MATCH(C9,Design!$B$15:$B$17,1)-1,0,2), OFFSET(Design!$B$15:$B$17,MATCH(C9,Design!$B$15:$B$17,1)-1,0,2))+(M9-25)*Design!$B$18/1000</f>
        <v>0.39274347191840947</v>
      </c>
      <c r="E9" s="173">
        <f ca="1">IF(100*(Design!$C$29+D9+C9*IF(ISBLANK(Design!$B$43),Constants!$C$6,Design!$B$43)/1000*(1+Constants!$C$36/100*(N9-25)))/($B9+D9-C9*O9/1000)&gt;Design!$C$36,Design!$C$37,100*(Design!$C$29+D9+C9*IF(ISBLANK(Design!$B$43),Constants!$C$6,Design!$B$43)/1000*(1+Constants!$C$36/100*(N9-25)))/($B9+D9-C9*O9/1000))</f>
        <v>51.970005708206351</v>
      </c>
      <c r="F9" s="115">
        <f ca="1">IF(($B9-C9*IF(ISBLANK(Design!$B$43),Constants!$C$6,Design!$B$43)/1000*(1+Constants!$C$36/100*(N9-25))-Design!$C$29)/(IF(ISBLANK(Design!$B$42),Design!$B$40,Design!$B$42)/1000000)*E9/100/(IF(ISBLANK(Design!$B$33),Design!$B$32,Design!$B$33)*1000000)&lt;0, 0, ($B9-C9*IF(ISBLANK(Design!$B$43),Constants!$C$6,Design!$B$43)/1000*(1+Constants!$C$36/100*(N9-25))-Design!$C$29)/(IF(ISBLANK(Design!$B$42),Design!$B$40,Design!$B$42)/1000000)*E9/100/(IF(ISBLANK(Design!$B$33),Design!$B$32,Design!$B$33)*1000000))</f>
        <v>0.70408880851174427</v>
      </c>
      <c r="G9" s="165">
        <f>B9*Constants!$C$21/1000+IF(ISBLANK(Design!$B$33),Design!$B$32,Design!$B$33)*1000000*Constants!$D$25/1000000000*(B9-Constants!$C$24)</f>
        <v>3.9903124999999984E-2</v>
      </c>
      <c r="H9" s="165">
        <f>B9*C9*(B9/(Constants!$C$26*1000000000)*IF(ISBLANK(Design!$B$33),Design!$B$32,Design!$B$33)*1000000/2+B9/(Constants!$C$27*1000000000)*IF(ISBLANK(Design!$B$33),Design!$B$32,Design!$B$33)*1000000/2)</f>
        <v>0.21135891927083314</v>
      </c>
      <c r="I9" s="165">
        <f t="shared" ca="1" si="0"/>
        <v>0.97037891158681078</v>
      </c>
      <c r="J9" s="165">
        <f>Constants!$D$25/1000000000*Constants!$C$24*IF(ISBLANK(Design!$B$33),Design!$B$32,Design!$B$33)*1000000</f>
        <v>1.0624999999999999E-2</v>
      </c>
      <c r="K9" s="165">
        <f t="shared" ca="1" si="4"/>
        <v>1.2322659558576441</v>
      </c>
      <c r="L9" s="165">
        <f t="shared" ca="1" si="5"/>
        <v>0.56590400143141284</v>
      </c>
      <c r="M9" s="166">
        <f ca="1">A9+L9*Design!$B$19</f>
        <v>117.25652808159053</v>
      </c>
      <c r="N9" s="166">
        <f ca="1">K9*Design!$C$12+A9</f>
        <v>126.89704249915991</v>
      </c>
      <c r="O9" s="166">
        <f ca="1">Constants!$D$22+Constants!$D$22*Constants!$C$23/100*(N9-25)</f>
        <v>206.51763399932793</v>
      </c>
      <c r="P9" s="165">
        <f ca="1">IF(100*(Design!$C$29+D9+C9*IF(ISBLANK(Design!$B$43),Constants!$C$6,Design!$B$43)/1000*(1+Constants!$C$36/100*(N9-25)))/($B9+D9-C9*O9/1000)&gt;Design!$C$36,  (1-Constants!$C$20/1000000000*IF(ISBLANK(Design!$B$33),Design!$B$32/4,Design!$B$33/4)*1000000) * ($B9+D9-C9*O9/1000) - (D9+C9*(1+($A9-25)*Constants!$C$36/100)*IF(ISBLANK(Design!$B$43),Constants!$C$6/1000,Design!$B$43/1000)),   (1-Constants!$C$20/1000000000*IF(ISBLANK(Design!$B$33),Design!$B$32,Design!$B$33)*1000000) * ($B9+D9-C9*O9/1000) - (D9+C9*(1+($A9-25)*Constants!$C$36/100)*IF(ISBLANK(Design!$B$43),Constants!$C$6/1000,Design!$B$43/1000)) )</f>
        <v>9.7252116537414732</v>
      </c>
      <c r="Q9" s="171">
        <f ca="1">IF(P9&gt;Design!$C$29,Design!$C$29,P9)</f>
        <v>4.9990521327014221</v>
      </c>
      <c r="R9" s="181">
        <f>2*Design!$D$7/3</f>
        <v>2</v>
      </c>
      <c r="S9" s="116">
        <f ca="1">FORECAST(R9, OFFSET(Design!$C$15:$C$17,MATCH(R9,Design!$B$15:$B$17,1)-1,0,2), OFFSET(Design!$B$15:$B$17,MATCH(R9,Design!$B$15:$B$17,1)-1,0,2))+(AB9-25)*Design!$B$18/1000</f>
        <v>0.37850201663053146</v>
      </c>
      <c r="T9" s="182">
        <f ca="1">IF(100*(Design!$C$29+S9+R9*IF(ISBLANK(Design!$B$43),Constants!$C$6,Design!$B$43)/1000*(1+Constants!$C$36/100*(AC9-25)))/($B9+S9-R9*AD9/1000)&gt;Design!$C$36,Design!$C$37,100*(Design!$C$29+S9+R9*IF(ISBLANK(Design!$B$43),Constants!$C$6,Design!$B$43)/1000*(1+Constants!$C$36/100*(AC9-25)))/($B9+S9-R9*AD9/1000))</f>
        <v>50.177596630708521</v>
      </c>
      <c r="U9" s="117">
        <f ca="1">IF(($B9-R9*IF(ISBLANK(Design!$B$43),Constants!$C$6,Design!$B$43)/1000*(1+Constants!$C$36/100*(AC9-25))-Design!$C$29)/(Design!$B$42/1000000)*T9/100/(IF(ISBLANK(IF(ISBLANK(Design!$B$42),Design!$B$40,Design!$B$42)),Design!$B$32,Design!$B$33)*1000000)&lt;0,0,($B9-R9*IF(ISBLANK(Design!$B$43),Constants!$C$6,Design!$B$43)/1000*(1+Constants!$C$36/100*(AC9-25))-Design!$C$29)/(IF(ISBLANK(Design!$B$42),Design!$B$40,Design!$B$42)/1000000)*T9/100/(IF(ISBLANK(Design!$B$33),Design!$B$32,Design!$B$33)*1000000))</f>
        <v>0.6872502093018702</v>
      </c>
      <c r="V9" s="183">
        <f>$B9*Constants!$C$21/1000+IF(ISBLANK(Design!$B$33),Design!$B$32,Design!$B$33)*1000000*Constants!$D$25/1000000000*($B9-Constants!$C$24)</f>
        <v>3.9903124999999984E-2</v>
      </c>
      <c r="W9" s="183">
        <f>$B9*R9*($B9/(Constants!$C$26*1000000000)*IF(ISBLANK(Design!$B$33),Design!$B$32,Design!$B$33)*1000000/2+$B9/(Constants!$C$27*1000000000)*IF(ISBLANK(Design!$B$33),Design!$B$32,Design!$B$33)*1000000/2)</f>
        <v>0.14090594618055544</v>
      </c>
      <c r="X9" s="183">
        <f t="shared" ca="1" si="1"/>
        <v>0.38227443782558196</v>
      </c>
      <c r="Y9" s="183">
        <f>Constants!$D$25/1000000000*Constants!$C$24*IF(ISBLANK(Design!$B$33),Design!$B$32,Design!$B$33)*1000000</f>
        <v>1.0624999999999999E-2</v>
      </c>
      <c r="Z9" s="183">
        <f t="shared" ca="1" si="10"/>
        <v>0.57370850900613735</v>
      </c>
      <c r="AA9" s="183">
        <f t="shared" ca="1" si="7"/>
        <v>0.37715760297313222</v>
      </c>
      <c r="AB9" s="184">
        <f ca="1">$A9+AA9*Design!$B$19</f>
        <v>106.49798336946853</v>
      </c>
      <c r="AC9" s="184">
        <f ca="1">Z9*Design!$C$12+$A9</f>
        <v>104.50608930620866</v>
      </c>
      <c r="AD9" s="184">
        <f ca="1">Constants!$D$22+Constants!$D$22*Constants!$C$23/100*(AC9-25)</f>
        <v>188.60487144496693</v>
      </c>
      <c r="AE9" s="183">
        <f ca="1">IF(100*(Design!$C$29+S9+R9*IF(ISBLANK(Design!$B$43),Constants!$C$6,Design!$B$43)/1000*(1+Constants!$C$36/100*(AC9-25)))/($B9+S9-R9*AD9/1000)&gt;Design!$C$36,  (1-Constants!$C$20/1000000000*IF(ISBLANK(Design!$B$33),Design!$B$32/4,Design!$B$33/4)*1000000) * ($B9+S9-R9*AD9/1000) - (S9+R9*(1+($A9-25)*Constants!$C$36/100)*IF(ISBLANK(Design!$B$43),Constants!$C$6/1000,Design!$B$43/1000)),   (1-Constants!$C$20/1000000000*IF(ISBLANK(Design!$B$33),Design!$B$32,Design!$B$33)*1000000) * ($B9+S9-R9*AD9/1000) - (S9+R9*(1+($A9-25)*Constants!$C$36/100)*IF(ISBLANK(Design!$B$43),Constants!$C$6/1000,Design!$B$43/1000)) )</f>
        <v>10.007777206557785</v>
      </c>
      <c r="AF9" s="117">
        <f ca="1">IF(AE9&gt;Design!$C$29,Design!$C$29,AE9)</f>
        <v>4.9990521327014221</v>
      </c>
      <c r="AG9" s="118">
        <f>Design!$D$7/3</f>
        <v>1</v>
      </c>
      <c r="AH9" s="118">
        <f ca="1">FORECAST(AG9, OFFSET(Design!$C$15:$C$17,MATCH(AG9,Design!$B$15:$B$17,1)-1,0,2), OFFSET(Design!$B$15:$B$17,MATCH(AG9,Design!$B$15:$B$17,1)-1,0,2))+(AQ9-25)*Design!$B$18/1000</f>
        <v>0.31303138636266326</v>
      </c>
      <c r="AI9" s="194">
        <f ca="1">IF(100*(Design!$C$29+AH9+AG9*IF(ISBLANK(Design!$B$43),Constants!$C$6,Design!$B$43)/1000*(1+Constants!$C$36/100*(AR9-25)))/($B9+AH9-AG9*AS9/1000)&gt;Design!$C$36,Design!$C$37,100*(Design!$C$29+AH9+AG9*IF(ISBLANK(Design!$B$43),Constants!$C$6,Design!$B$43)/1000*(1+Constants!$C$36/100*(AR9-25)))/($B9+AH9-AG9*AS9/1000))</f>
        <v>48.489914621079059</v>
      </c>
      <c r="AJ9" s="119">
        <f ca="1">IF(($B9-AG9*IF(ISBLANK(Design!$B$43),Constants!$C$6,Design!$B$43)/1000*(1+Constants!$C$36/100*(AR9-25))-Design!$C$29)/(IF(ISBLANK(Design!$B$42),Design!$B$40,Design!$B$42)/1000000)*AI9/100/(IF(ISBLANK(Design!$B$33),Design!$B$32,Design!$B$33)*1000000)&lt;0,0,($B9-AG9*IF(ISBLANK(Design!$B$43),Constants!$C$6,Design!$B$43)/1000*(1+Constants!$C$36/100*(AR9-25))-Design!$C$29)/(IF(ISBLANK(Design!$B$42),Design!$B$40,Design!$B$42)/1000000)*AI9/100/(IF(ISBLANK(Design!$B$33),Design!$B$32,Design!$B$33)*1000000))</f>
        <v>0.6703461060415119</v>
      </c>
      <c r="AK9" s="195">
        <f>$B9*Constants!$C$21/1000+IF(ISBLANK(Design!$B$33),Design!$B$32,Design!$B$33)*1000000*Constants!$D$25/1000000000*($B9-Constants!$C$24)</f>
        <v>3.9903124999999984E-2</v>
      </c>
      <c r="AL9" s="195">
        <f>$B9*AG9*($B9/(Constants!$C$26*1000000000)*IF(ISBLANK(Design!$B$33),Design!$B$32,Design!$B$33)*1000000/2+$B9/(Constants!$C$27*1000000000)*IF(ISBLANK(Design!$B$33),Design!$B$32,Design!$B$33)*1000000/2)</f>
        <v>7.0452973090277718E-2</v>
      </c>
      <c r="AM9" s="195">
        <f t="shared" ca="1" si="2"/>
        <v>8.9914607356811255E-2</v>
      </c>
      <c r="AN9" s="195">
        <f>Constants!$D$25/1000000000*Constants!$C$24*IF(ISBLANK(Design!$B$33),Design!$B$32,Design!$B$33)*1000000</f>
        <v>1.0624999999999999E-2</v>
      </c>
      <c r="AO9" s="195">
        <f t="shared" ca="1" si="11"/>
        <v>0.21089570544708897</v>
      </c>
      <c r="AP9" s="195">
        <f t="shared" ca="1" si="9"/>
        <v>0.16124273437822773</v>
      </c>
      <c r="AQ9" s="196">
        <f ca="1">$A9+AP9*Design!$B$19</f>
        <v>94.190835859558973</v>
      </c>
      <c r="AR9" s="196">
        <f ca="1">AO9*Design!$C$12+$A9</f>
        <v>92.170453985201021</v>
      </c>
      <c r="AS9" s="196">
        <f ca="1">Constants!$D$22+Constants!$D$22*Constants!$C$23/100*(AR9-25)</f>
        <v>178.73636318816082</v>
      </c>
      <c r="AT9" s="195">
        <f ca="1">IF(100*(Design!$C$29+AH9+AG9*IF(ISBLANK(Design!$B$43),Constants!$C$6,Design!$B$43)/1000*(1+Constants!$C$36/100*(AR9-25)))/($B9+AH9-AG9*AS9/1000)&gt;Design!$C$36,  (1-Constants!$C$20/1000000000*IF(ISBLANK(Design!$B$33),Design!$B$32/4,Design!$B$33/4)*1000000) * ($B9+AH9-AG9*AS9/1000) - (AH9+AG9*(1+($A9-25)*Constants!$C$36/100)*IF(ISBLANK(Design!$B$43),Constants!$C$6/1000,Design!$B$43/1000)),   (1-Constants!$C$20/1000000000*IF(ISBLANK(Design!$B$33),Design!$B$32,Design!$B$33)*1000000) * ($B9+AH9-AG9*AS9/1000) - (AH9+AG9*(1+($A9-25)*Constants!$C$36/100)*IF(ISBLANK(Design!$B$43),Constants!$C$6/1000,Design!$B$43/1000)) )</f>
        <v>10.250312600251164</v>
      </c>
      <c r="AU9" s="119">
        <f ca="1">IF(AT9&gt;Design!$C$29,Design!$C$29,AT9)</f>
        <v>4.9990521327014221</v>
      </c>
    </row>
    <row r="10" spans="1:47" s="120" customFormat="1" ht="12.75" customHeight="1" x14ac:dyDescent="0.2">
      <c r="A10" s="112">
        <f>Design!$D$13</f>
        <v>85</v>
      </c>
      <c r="B10" s="113">
        <f t="shared" si="3"/>
        <v>10.709999999999996</v>
      </c>
      <c r="C10" s="114">
        <f>Design!$D$7</f>
        <v>3</v>
      </c>
      <c r="D10" s="114">
        <f ca="1">FORECAST(C10, OFFSET(Design!$C$15:$C$17,MATCH(C10,Design!$B$15:$B$17,1)-1,0,2), OFFSET(Design!$B$15:$B$17,MATCH(C10,Design!$B$15:$B$17,1)-1,0,2))+(M10-25)*Design!$B$18/1000</f>
        <v>0.39341227844461618</v>
      </c>
      <c r="E10" s="173">
        <f ca="1">IF(100*(Design!$C$29+D10+C10*IF(ISBLANK(Design!$B$43),Constants!$C$6,Design!$B$43)/1000*(1+Constants!$C$36/100*(N10-25)))/($B10+D10-C10*O10/1000)&gt;Design!$C$36,Design!$C$37,100*(Design!$C$29+D10+C10*IF(ISBLANK(Design!$B$43),Constants!$C$6,Design!$B$43)/1000*(1+Constants!$C$36/100*(N10-25)))/($B10+D10-C10*O10/1000))</f>
        <v>53.045817838208002</v>
      </c>
      <c r="F10" s="115">
        <f ca="1">IF(($B10-C10*IF(ISBLANK(Design!$B$43),Constants!$C$6,Design!$B$43)/1000*(1+Constants!$C$36/100*(N10-25))-Design!$C$29)/(IF(ISBLANK(Design!$B$42),Design!$B$40,Design!$B$42)/1000000)*E10/100/(IF(ISBLANK(Design!$B$33),Design!$B$32,Design!$B$33)*1000000)&lt;0, 0, ($B10-C10*IF(ISBLANK(Design!$B$43),Constants!$C$6,Design!$B$43)/1000*(1+Constants!$C$36/100*(N10-25))-Design!$C$29)/(IF(ISBLANK(Design!$B$42),Design!$B$40,Design!$B$42)/1000000)*E10/100/(IF(ISBLANK(Design!$B$33),Design!$B$32,Design!$B$33)*1000000))</f>
        <v>0.69180432611852749</v>
      </c>
      <c r="G10" s="165">
        <f>B10*Constants!$C$21/1000+IF(ISBLANK(Design!$B$33),Design!$B$32,Design!$B$33)*1000000*Constants!$D$25/1000000000*(B10-Constants!$C$24)</f>
        <v>3.8908749999999978E-2</v>
      </c>
      <c r="H10" s="165">
        <f>B10*C10*(B10/(Constants!$C$26*1000000000)*IF(ISBLANK(Design!$B$33),Design!$B$32,Design!$B$33)*1000000/2+B10/(Constants!$C$27*1000000000)*IF(ISBLANK(Design!$B$33),Design!$B$32,Design!$B$33)*1000000/2)</f>
        <v>0.20312184374999986</v>
      </c>
      <c r="I10" s="165">
        <f t="shared" ca="1" si="0"/>
        <v>0.99191470249148972</v>
      </c>
      <c r="J10" s="165">
        <f>Constants!$D$25/1000000000*Constants!$C$24*IF(ISBLANK(Design!$B$33),Design!$B$32,Design!$B$33)*1000000</f>
        <v>1.0624999999999999E-2</v>
      </c>
      <c r="K10" s="165">
        <f t="shared" ca="1" si="4"/>
        <v>1.2445702962414897</v>
      </c>
      <c r="L10" s="165">
        <f t="shared" ca="1" si="5"/>
        <v>0.55417055360322443</v>
      </c>
      <c r="M10" s="166">
        <f ca="1">A10+L10*Design!$B$19</f>
        <v>116.58772155538379</v>
      </c>
      <c r="N10" s="166">
        <f ca="1">K10*Design!$C$12+A10</f>
        <v>127.31539007221065</v>
      </c>
      <c r="O10" s="166">
        <f ca="1">Constants!$D$22+Constants!$D$22*Constants!$C$23/100*(N10-25)</f>
        <v>206.85231205776853</v>
      </c>
      <c r="P10" s="165">
        <f ca="1">IF(100*(Design!$C$29+D10+C10*IF(ISBLANK(Design!$B$43),Constants!$C$6,Design!$B$43)/1000*(1+Constants!$C$36/100*(N10-25)))/($B10+D10-C10*O10/1000)&gt;Design!$C$36,  (1-Constants!$C$20/1000000000*IF(ISBLANK(Design!$B$33),Design!$B$32/4,Design!$B$33/4)*1000000) * ($B10+D10-C10*O10/1000) - (D10+C10*(1+($A10-25)*Constants!$C$36/100)*IF(ISBLANK(Design!$B$43),Constants!$C$6/1000,Design!$B$43/1000)),   (1-Constants!$C$20/1000000000*IF(ISBLANK(Design!$B$33),Design!$B$32,Design!$B$33)*1000000) * ($B10+D10-C10*O10/1000) - (D10+C10*(1+($A10-25)*Constants!$C$36/100)*IF(ISBLANK(Design!$B$43),Constants!$C$6/1000,Design!$B$43/1000)) )</f>
        <v>9.5179017793824858</v>
      </c>
      <c r="Q10" s="171">
        <f ca="1">IF(P10&gt;Design!$C$29,Design!$C$29,P10)</f>
        <v>4.9990521327014221</v>
      </c>
      <c r="R10" s="181">
        <f>2*Design!$D$7/3</f>
        <v>2</v>
      </c>
      <c r="S10" s="116">
        <f ca="1">FORECAST(R10, OFFSET(Design!$C$15:$C$17,MATCH(R10,Design!$B$15:$B$17,1)-1,0,2), OFFSET(Design!$B$15:$B$17,MATCH(R10,Design!$B$15:$B$17,1)-1,0,2))+(AB10-25)*Design!$B$18/1000</f>
        <v>0.37891463338311909</v>
      </c>
      <c r="T10" s="182">
        <f ca="1">IF(100*(Design!$C$29+S10+R10*IF(ISBLANK(Design!$B$43),Constants!$C$6,Design!$B$43)/1000*(1+Constants!$C$36/100*(AC10-25)))/($B10+S10-R10*AD10/1000)&gt;Design!$C$36,Design!$C$37,100*(Design!$C$29+S10+R10*IF(ISBLANK(Design!$B$43),Constants!$C$6,Design!$B$43)/1000*(1+Constants!$C$36/100*(AC10-25)))/($B10+S10-R10*AD10/1000))</f>
        <v>51.18706431656399</v>
      </c>
      <c r="U10" s="117">
        <f ca="1">IF(($B10-R10*IF(ISBLANK(Design!$B$43),Constants!$C$6,Design!$B$43)/1000*(1+Constants!$C$36/100*(AC10-25))-Design!$C$29)/(Design!$B$42/1000000)*T10/100/(IF(ISBLANK(IF(ISBLANK(Design!$B$42),Design!$B$40,Design!$B$42)),Design!$B$32,Design!$B$33)*1000000)&lt;0,0,($B10-R10*IF(ISBLANK(Design!$B$43),Constants!$C$6,Design!$B$43)/1000*(1+Constants!$C$36/100*(AC10-25))-Design!$C$29)/(IF(ISBLANK(Design!$B$42),Design!$B$40,Design!$B$42)/1000000)*T10/100/(IF(ISBLANK(Design!$B$33),Design!$B$32,Design!$B$33)*1000000))</f>
        <v>0.67518014216055233</v>
      </c>
      <c r="V10" s="183">
        <f>$B10*Constants!$C$21/1000+IF(ISBLANK(Design!$B$33),Design!$B$32,Design!$B$33)*1000000*Constants!$D$25/1000000000*($B10-Constants!$C$24)</f>
        <v>3.8908749999999978E-2</v>
      </c>
      <c r="W10" s="183">
        <f>$B10*R10*($B10/(Constants!$C$26*1000000000)*IF(ISBLANK(Design!$B$33),Design!$B$32,Design!$B$33)*1000000/2+$B10/(Constants!$C$27*1000000000)*IF(ISBLANK(Design!$B$33),Design!$B$32,Design!$B$33)*1000000/2)</f>
        <v>0.13541456249999989</v>
      </c>
      <c r="X10" s="183">
        <f t="shared" ca="1" si="1"/>
        <v>0.38989658478599665</v>
      </c>
      <c r="Y10" s="183">
        <f>Constants!$D$25/1000000000*Constants!$C$24*IF(ISBLANK(Design!$B$33),Design!$B$32,Design!$B$33)*1000000</f>
        <v>1.0624999999999999E-2</v>
      </c>
      <c r="Z10" s="183">
        <f t="shared" ca="1" si="10"/>
        <v>0.57484489728599653</v>
      </c>
      <c r="AA10" s="183">
        <f t="shared" ca="1" si="7"/>
        <v>0.36991871257685854</v>
      </c>
      <c r="AB10" s="184">
        <f ca="1">$A10+AA10*Design!$B$19</f>
        <v>106.08536661688093</v>
      </c>
      <c r="AC10" s="184">
        <f ca="1">Z10*Design!$C$12+$A10</f>
        <v>104.54472650772388</v>
      </c>
      <c r="AD10" s="184">
        <f ca="1">Constants!$D$22+Constants!$D$22*Constants!$C$23/100*(AC10-25)</f>
        <v>188.6357812061791</v>
      </c>
      <c r="AE10" s="183">
        <f ca="1">IF(100*(Design!$C$29+S10+R10*IF(ISBLANK(Design!$B$43),Constants!$C$6,Design!$B$43)/1000*(1+Constants!$C$36/100*(AC10-25)))/($B10+S10-R10*AD10/1000)&gt;Design!$C$36,  (1-Constants!$C$20/1000000000*IF(ISBLANK(Design!$B$33),Design!$B$32/4,Design!$B$33/4)*1000000) * ($B10+S10-R10*AD10/1000) - (S10+R10*(1+($A10-25)*Constants!$C$36/100)*IF(ISBLANK(Design!$B$43),Constants!$C$6/1000,Design!$B$43/1000)),   (1-Constants!$C$20/1000000000*IF(ISBLANK(Design!$B$33),Design!$B$32,Design!$B$33)*1000000) * ($B10+S10-R10*AD10/1000) - (S10+R10*(1+($A10-25)*Constants!$C$36/100)*IF(ISBLANK(Design!$B$43),Constants!$C$6/1000,Design!$B$43/1000)) )</f>
        <v>9.8013818485971917</v>
      </c>
      <c r="AF10" s="117">
        <f ca="1">IF(AE10&gt;Design!$C$29,Design!$C$29,AE10)</f>
        <v>4.9990521327014221</v>
      </c>
      <c r="AG10" s="118">
        <f>Design!$D$7/3</f>
        <v>1</v>
      </c>
      <c r="AH10" s="118">
        <f ca="1">FORECAST(AG10, OFFSET(Design!$C$15:$C$17,MATCH(AG10,Design!$B$15:$B$17,1)-1,0,2), OFFSET(Design!$B$15:$B$17,MATCH(AG10,Design!$B$15:$B$17,1)-1,0,2))+(AQ10-25)*Design!$B$18/1000</f>
        <v>0.31319818856138326</v>
      </c>
      <c r="AI10" s="194">
        <f ca="1">IF(100*(Design!$C$29+AH10+AG10*IF(ISBLANK(Design!$B$43),Constants!$C$6,Design!$B$43)/1000*(1+Constants!$C$36/100*(AR10-25)))/($B10+AH10-AG10*AS10/1000)&gt;Design!$C$36,Design!$C$37,100*(Design!$C$29+AH10+AG10*IF(ISBLANK(Design!$B$43),Constants!$C$6,Design!$B$43)/1000*(1+Constants!$C$36/100*(AR10-25)))/($B10+AH10-AG10*AS10/1000))</f>
        <v>49.451693593147901</v>
      </c>
      <c r="AJ10" s="119">
        <f ca="1">IF(($B10-AG10*IF(ISBLANK(Design!$B$43),Constants!$C$6,Design!$B$43)/1000*(1+Constants!$C$36/100*(AR10-25))-Design!$C$29)/(IF(ISBLANK(Design!$B$42),Design!$B$40,Design!$B$42)/1000000)*AI10/100/(IF(ISBLANK(Design!$B$33),Design!$B$32,Design!$B$33)*1000000)&lt;0,0,($B10-AG10*IF(ISBLANK(Design!$B$43),Constants!$C$6,Design!$B$43)/1000*(1+Constants!$C$36/100*(AR10-25))-Design!$C$29)/(IF(ISBLANK(Design!$B$42),Design!$B$40,Design!$B$42)/1000000)*AI10/100/(IF(ISBLANK(Design!$B$33),Design!$B$32,Design!$B$33)*1000000))</f>
        <v>0.65862673280348194</v>
      </c>
      <c r="AK10" s="195">
        <f>$B10*Constants!$C$21/1000+IF(ISBLANK(Design!$B$33),Design!$B$32,Design!$B$33)*1000000*Constants!$D$25/1000000000*($B10-Constants!$C$24)</f>
        <v>3.8908749999999978E-2</v>
      </c>
      <c r="AL10" s="195">
        <f>$B10*AG10*($B10/(Constants!$C$26*1000000000)*IF(ISBLANK(Design!$B$33),Design!$B$32,Design!$B$33)*1000000/2+$B10/(Constants!$C$27*1000000000)*IF(ISBLANK(Design!$B$33),Design!$B$32,Design!$B$33)*1000000/2)</f>
        <v>6.7707281249999945E-2</v>
      </c>
      <c r="AM10" s="195">
        <f t="shared" ca="1" si="2"/>
        <v>9.155403402590262E-2</v>
      </c>
      <c r="AN10" s="195">
        <f>Constants!$D$25/1000000000*Constants!$C$24*IF(ISBLANK(Design!$B$33),Design!$B$32,Design!$B$33)*1000000</f>
        <v>1.0624999999999999E-2</v>
      </c>
      <c r="AO10" s="195">
        <f t="shared" ca="1" si="11"/>
        <v>0.20879506527590252</v>
      </c>
      <c r="AP10" s="195">
        <f t="shared" ca="1" si="9"/>
        <v>0.15831638001471843</v>
      </c>
      <c r="AQ10" s="196">
        <f ca="1">$A10+AP10*Design!$B$19</f>
        <v>94.024033660838953</v>
      </c>
      <c r="AR10" s="196">
        <f ca="1">AO10*Design!$C$12+$A10</f>
        <v>92.099032219380689</v>
      </c>
      <c r="AS10" s="196">
        <f ca="1">Constants!$D$22+Constants!$D$22*Constants!$C$23/100*(AR10-25)</f>
        <v>178.67922577550456</v>
      </c>
      <c r="AT10" s="195">
        <f ca="1">IF(100*(Design!$C$29+AH10+AG10*IF(ISBLANK(Design!$B$43),Constants!$C$6,Design!$B$43)/1000*(1+Constants!$C$36/100*(AR10-25)))/($B10+AH10-AG10*AS10/1000)&gt;Design!$C$36,  (1-Constants!$C$20/1000000000*IF(ISBLANK(Design!$B$33),Design!$B$32/4,Design!$B$33/4)*1000000) * ($B10+AH10-AG10*AS10/1000) - (AH10+AG10*(1+($A10-25)*Constants!$C$36/100)*IF(ISBLANK(Design!$B$43),Constants!$C$6/1000,Design!$B$43/1000)),   (1-Constants!$C$20/1000000000*IF(ISBLANK(Design!$B$33),Design!$B$32,Design!$B$33)*1000000) * ($B10+AH10-AG10*AS10/1000) - (AH10+AG10*(1+($A10-25)*Constants!$C$36/100)*IF(ISBLANK(Design!$B$43),Constants!$C$6/1000,Design!$B$43/1000)) )</f>
        <v>10.044041321102013</v>
      </c>
      <c r="AU10" s="119">
        <f ca="1">IF(AT10&gt;Design!$C$29,Design!$C$29,AT10)</f>
        <v>4.9990521327014221</v>
      </c>
    </row>
    <row r="11" spans="1:47" s="120" customFormat="1" ht="12.75" customHeight="1" x14ac:dyDescent="0.2">
      <c r="A11" s="112">
        <f>Design!$D$13</f>
        <v>85</v>
      </c>
      <c r="B11" s="113">
        <f t="shared" si="3"/>
        <v>10.494999999999996</v>
      </c>
      <c r="C11" s="114">
        <f>Design!$D$7</f>
        <v>3</v>
      </c>
      <c r="D11" s="114">
        <f ca="1">FORECAST(C11, OFFSET(Design!$C$15:$C$17,MATCH(C11,Design!$B$15:$B$17,1)-1,0,2), OFFSET(Design!$B$15:$B$17,MATCH(C11,Design!$B$15:$B$17,1)-1,0,2))+(M11-25)*Design!$B$18/1000</f>
        <v>0.39411210861351698</v>
      </c>
      <c r="E11" s="173">
        <f ca="1">IF(100*(Design!$C$29+D11+C11*IF(ISBLANK(Design!$B$43),Constants!$C$6,Design!$B$43)/1000*(1+Constants!$C$36/100*(N11-25)))/($B11+D11-C11*O11/1000)&gt;Design!$C$36,Design!$C$37,100*(Design!$C$29+D11+C11*IF(ISBLANK(Design!$B$43),Constants!$C$6,Design!$B$43)/1000*(1+Constants!$C$36/100*(N11-25)))/($B11+D11-C11*O11/1000))</f>
        <v>54.167623924050339</v>
      </c>
      <c r="F11" s="115">
        <f ca="1">IF(($B11-C11*IF(ISBLANK(Design!$B$43),Constants!$C$6,Design!$B$43)/1000*(1+Constants!$C$36/100*(N11-25))-Design!$C$29)/(IF(ISBLANK(Design!$B$42),Design!$B$40,Design!$B$42)/1000000)*E11/100/(IF(ISBLANK(Design!$B$33),Design!$B$32,Design!$B$33)*1000000)&lt;0, 0, ($B11-C11*IF(ISBLANK(Design!$B$43),Constants!$C$6,Design!$B$43)/1000*(1+Constants!$C$36/100*(N11-25))-Design!$C$29)/(IF(ISBLANK(Design!$B$42),Design!$B$40,Design!$B$42)/1000000)*E11/100/(IF(ISBLANK(Design!$B$33),Design!$B$32,Design!$B$33)*1000000))</f>
        <v>0.67900437870229047</v>
      </c>
      <c r="G11" s="165">
        <f>B11*Constants!$C$21/1000+IF(ISBLANK(Design!$B$33),Design!$B$32,Design!$B$33)*1000000*Constants!$D$25/1000000000*(B11-Constants!$C$24)</f>
        <v>3.7914374999999979E-2</v>
      </c>
      <c r="H11" s="165">
        <f>B11*C11*(B11/(Constants!$C$26*1000000000)*IF(ISBLANK(Design!$B$33),Design!$B$32,Design!$B$33)*1000000/2+B11/(Constants!$C$27*1000000000)*IF(ISBLANK(Design!$B$33),Design!$B$32,Design!$B$33)*1000000/2)</f>
        <v>0.19504848177083314</v>
      </c>
      <c r="I11" s="165">
        <f t="shared" ca="1" si="0"/>
        <v>1.0145321450220322</v>
      </c>
      <c r="J11" s="165">
        <f>Constants!$D$25/1000000000*Constants!$C$24*IF(ISBLANK(Design!$B$33),Design!$B$32,Design!$B$33)*1000000</f>
        <v>1.0624999999999999E-2</v>
      </c>
      <c r="K11" s="165">
        <f t="shared" ca="1" si="4"/>
        <v>1.2581200017928653</v>
      </c>
      <c r="L11" s="165">
        <f t="shared" ca="1" si="5"/>
        <v>0.54189283134180688</v>
      </c>
      <c r="M11" s="166">
        <f ca="1">A11+L11*Design!$B$19</f>
        <v>115.88789138648299</v>
      </c>
      <c r="N11" s="166">
        <f ca="1">K11*Design!$C$12+A11</f>
        <v>127.77608006095741</v>
      </c>
      <c r="O11" s="166">
        <f ca="1">Constants!$D$22+Constants!$D$22*Constants!$C$23/100*(N11-25)</f>
        <v>207.22086404876592</v>
      </c>
      <c r="P11" s="165">
        <f ca="1">IF(100*(Design!$C$29+D11+C11*IF(ISBLANK(Design!$B$43),Constants!$C$6,Design!$B$43)/1000*(1+Constants!$C$36/100*(N11-25)))/($B11+D11-C11*O11/1000)&gt;Design!$C$36,  (1-Constants!$C$20/1000000000*IF(ISBLANK(Design!$B$33),Design!$B$32/4,Design!$B$33/4)*1000000) * ($B11+D11-C11*O11/1000) - (D11+C11*(1+($A11-25)*Constants!$C$36/100)*IF(ISBLANK(Design!$B$43),Constants!$C$6/1000,Design!$B$43/1000)),   (1-Constants!$C$20/1000000000*IF(ISBLANK(Design!$B$33),Design!$B$32,Design!$B$33)*1000000) * ($B11+D11-C11*O11/1000) - (D11+C11*(1+($A11-25)*Constants!$C$36/100)*IF(ISBLANK(Design!$B$43),Constants!$C$6/1000,Design!$B$43/1000)) )</f>
        <v>9.3104931336263341</v>
      </c>
      <c r="Q11" s="171">
        <f ca="1">IF(P11&gt;Design!$C$29,Design!$C$29,P11)</f>
        <v>4.9990521327014221</v>
      </c>
      <c r="R11" s="181">
        <f>2*Design!$D$7/3</f>
        <v>2</v>
      </c>
      <c r="S11" s="116">
        <f ca="1">FORECAST(R11, OFFSET(Design!$C$15:$C$17,MATCH(R11,Design!$B$15:$B$17,1)-1,0,2), OFFSET(Design!$B$15:$B$17,MATCH(R11,Design!$B$15:$B$17,1)-1,0,2))+(AB11-25)*Design!$B$18/1000</f>
        <v>0.3793451831663982</v>
      </c>
      <c r="T11" s="182">
        <f ca="1">IF(100*(Design!$C$29+S11+R11*IF(ISBLANK(Design!$B$43),Constants!$C$6,Design!$B$43)/1000*(1+Constants!$C$36/100*(AC11-25)))/($B11+S11-R11*AD11/1000)&gt;Design!$C$36,Design!$C$37,100*(Design!$C$29+S11+R11*IF(ISBLANK(Design!$B$43),Constants!$C$6,Design!$B$43)/1000*(1+Constants!$C$36/100*(AC11-25)))/($B11+S11-R11*AD11/1000))</f>
        <v>52.238063947144063</v>
      </c>
      <c r="U11" s="117">
        <f ca="1">IF(($B11-R11*IF(ISBLANK(Design!$B$43),Constants!$C$6,Design!$B$43)/1000*(1+Constants!$C$36/100*(AC11-25))-Design!$C$29)/(Design!$B$42/1000000)*T11/100/(IF(ISBLANK(IF(ISBLANK(Design!$B$42),Design!$B$40,Design!$B$42)),Design!$B$32,Design!$B$33)*1000000)&lt;0,0,($B11-R11*IF(ISBLANK(Design!$B$43),Constants!$C$6,Design!$B$43)/1000*(1+Constants!$C$36/100*(AC11-25))-Design!$C$29)/(IF(ISBLANK(Design!$B$42),Design!$B$40,Design!$B$42)/1000000)*T11/100/(IF(ISBLANK(Design!$B$33),Design!$B$32,Design!$B$33)*1000000))</f>
        <v>0.66261490190232031</v>
      </c>
      <c r="V11" s="183">
        <f>$B11*Constants!$C$21/1000+IF(ISBLANK(Design!$B$33),Design!$B$32,Design!$B$33)*1000000*Constants!$D$25/1000000000*($B11-Constants!$C$24)</f>
        <v>3.7914374999999979E-2</v>
      </c>
      <c r="W11" s="183">
        <f>$B11*R11*($B11/(Constants!$C$26*1000000000)*IF(ISBLANK(Design!$B$33),Design!$B$32,Design!$B$33)*1000000/2+$B11/(Constants!$C$27*1000000000)*IF(ISBLANK(Design!$B$33),Design!$B$32,Design!$B$33)*1000000/2)</f>
        <v>0.13003232118055544</v>
      </c>
      <c r="X11" s="183">
        <f t="shared" ca="1" si="1"/>
        <v>0.39785482428127861</v>
      </c>
      <c r="Y11" s="183">
        <f>Constants!$D$25/1000000000*Constants!$C$24*IF(ISBLANK(Design!$B$33),Design!$B$32,Design!$B$33)*1000000</f>
        <v>1.0624999999999999E-2</v>
      </c>
      <c r="Z11" s="183">
        <f t="shared" ca="1" si="10"/>
        <v>0.57642652046183407</v>
      </c>
      <c r="AA11" s="183">
        <f t="shared" ca="1" si="7"/>
        <v>0.36236520760704866</v>
      </c>
      <c r="AB11" s="184">
        <f ca="1">$A11+AA11*Design!$B$19</f>
        <v>105.65481683360177</v>
      </c>
      <c r="AC11" s="184">
        <f ca="1">Z11*Design!$C$12+$A11</f>
        <v>104.59850169570235</v>
      </c>
      <c r="AD11" s="184">
        <f ca="1">Constants!$D$22+Constants!$D$22*Constants!$C$23/100*(AC11-25)</f>
        <v>188.67880135656188</v>
      </c>
      <c r="AE11" s="183">
        <f ca="1">IF(100*(Design!$C$29+S11+R11*IF(ISBLANK(Design!$B$43),Constants!$C$6,Design!$B$43)/1000*(1+Constants!$C$36/100*(AC11-25)))/($B11+S11-R11*AD11/1000)&gt;Design!$C$36,  (1-Constants!$C$20/1000000000*IF(ISBLANK(Design!$B$33),Design!$B$32/4,Design!$B$33/4)*1000000) * ($B11+S11-R11*AD11/1000) - (S11+R11*(1+($A11-25)*Constants!$C$36/100)*IF(ISBLANK(Design!$B$43),Constants!$C$6/1000,Design!$B$43/1000)),   (1-Constants!$C$20/1000000000*IF(ISBLANK(Design!$B$33),Design!$B$32,Design!$B$33)*1000000) * ($B11+S11-R11*AD11/1000) - (S11+R11*(1+($A11-25)*Constants!$C$36/100)*IF(ISBLANK(Design!$B$43),Constants!$C$6/1000,Design!$B$43/1000)) )</f>
        <v>9.5949625237260694</v>
      </c>
      <c r="AF11" s="117">
        <f ca="1">IF(AE11&gt;Design!$C$29,Design!$C$29,AE11)</f>
        <v>4.9990521327014221</v>
      </c>
      <c r="AG11" s="118">
        <f>Design!$D$7/3</f>
        <v>1</v>
      </c>
      <c r="AH11" s="118">
        <f ca="1">FORECAST(AG11, OFFSET(Design!$C$15:$C$17,MATCH(AG11,Design!$B$15:$B$17,1)-1,0,2), OFFSET(Design!$B$15:$B$17,MATCH(AG11,Design!$B$15:$B$17,1)-1,0,2))+(AQ11-25)*Design!$B$18/1000</f>
        <v>0.31337192945534292</v>
      </c>
      <c r="AI11" s="194">
        <f ca="1">IF(100*(Design!$C$29+AH11+AG11*IF(ISBLANK(Design!$B$43),Constants!$C$6,Design!$B$43)/1000*(1+Constants!$C$36/100*(AR11-25)))/($B11+AH11-AG11*AS11/1000)&gt;Design!$C$36,Design!$C$37,100*(Design!$C$29+AH11+AG11*IF(ISBLANK(Design!$B$43),Constants!$C$6,Design!$B$43)/1000*(1+Constants!$C$36/100*(AR11-25)))/($B11+AH11-AG11*AS11/1000))</f>
        <v>50.452392329574089</v>
      </c>
      <c r="AJ11" s="119">
        <f ca="1">IF(($B11-AG11*IF(ISBLANK(Design!$B$43),Constants!$C$6,Design!$B$43)/1000*(1+Constants!$C$36/100*(AR11-25))-Design!$C$29)/(IF(ISBLANK(Design!$B$42),Design!$B$40,Design!$B$42)/1000000)*AI11/100/(IF(ISBLANK(Design!$B$33),Design!$B$32,Design!$B$33)*1000000)&lt;0,0,($B11-AG11*IF(ISBLANK(Design!$B$43),Constants!$C$6,Design!$B$43)/1000*(1+Constants!$C$36/100*(AR11-25))-Design!$C$29)/(IF(ISBLANK(Design!$B$42),Design!$B$40,Design!$B$42)/1000000)*AI11/100/(IF(ISBLANK(Design!$B$33),Design!$B$32,Design!$B$33)*1000000))</f>
        <v>0.64643290864272773</v>
      </c>
      <c r="AK11" s="195">
        <f>$B11*Constants!$C$21/1000+IF(ISBLANK(Design!$B$33),Design!$B$32,Design!$B$33)*1000000*Constants!$D$25/1000000000*($B11-Constants!$C$24)</f>
        <v>3.7914374999999979E-2</v>
      </c>
      <c r="AL11" s="195">
        <f>$B11*AG11*($B11/(Constants!$C$26*1000000000)*IF(ISBLANK(Design!$B$33),Design!$B$32,Design!$B$33)*1000000/2+$B11/(Constants!$C$27*1000000000)*IF(ISBLANK(Design!$B$33),Design!$B$32,Design!$B$33)*1000000/2)</f>
        <v>6.5016160590277719E-2</v>
      </c>
      <c r="AM11" s="195">
        <f t="shared" ca="1" si="2"/>
        <v>9.3259037308286608E-2</v>
      </c>
      <c r="AN11" s="195">
        <f>Constants!$D$25/1000000000*Constants!$C$24*IF(ISBLANK(Design!$B$33),Design!$B$32,Design!$B$33)*1000000</f>
        <v>1.0624999999999999E-2</v>
      </c>
      <c r="AO11" s="195">
        <f t="shared" ca="1" si="11"/>
        <v>0.20681457289856431</v>
      </c>
      <c r="AP11" s="195">
        <f t="shared" ca="1" si="9"/>
        <v>0.15526829415577717</v>
      </c>
      <c r="AQ11" s="196">
        <f ca="1">$A11+AP11*Design!$B$19</f>
        <v>93.850292766879306</v>
      </c>
      <c r="AR11" s="196">
        <f ca="1">AO11*Design!$C$12+$A11</f>
        <v>92.031695478551185</v>
      </c>
      <c r="AS11" s="196">
        <f ca="1">Constants!$D$22+Constants!$D$22*Constants!$C$23/100*(AR11-25)</f>
        <v>178.62535638284095</v>
      </c>
      <c r="AT11" s="195">
        <f ca="1">IF(100*(Design!$C$29+AH11+AG11*IF(ISBLANK(Design!$B$43),Constants!$C$6,Design!$B$43)/1000*(1+Constants!$C$36/100*(AR11-25)))/($B11+AH11-AG11*AS11/1000)&gt;Design!$C$36,  (1-Constants!$C$20/1000000000*IF(ISBLANK(Design!$B$33),Design!$B$32/4,Design!$B$33/4)*1000000) * ($B11+AH11-AG11*AS11/1000) - (AH11+AG11*(1+($A11-25)*Constants!$C$36/100)*IF(ISBLANK(Design!$B$43),Constants!$C$6/1000,Design!$B$43/1000)),   (1-Constants!$C$20/1000000000*IF(ISBLANK(Design!$B$33),Design!$B$32,Design!$B$33)*1000000) * ($B11+AH11-AG11*AS11/1000) - (AH11+AG11*(1+($A11-25)*Constants!$C$36/100)*IF(ISBLANK(Design!$B$43),Constants!$C$6/1000,Design!$B$43/1000)) )</f>
        <v>9.8377666257293512</v>
      </c>
      <c r="AU11" s="119">
        <f ca="1">IF(AT11&gt;Design!$C$29,Design!$C$29,AT11)</f>
        <v>4.9990521327014221</v>
      </c>
    </row>
    <row r="12" spans="1:47" s="120" customFormat="1" ht="12.75" customHeight="1" x14ac:dyDescent="0.2">
      <c r="A12" s="112">
        <f>Design!$D$13</f>
        <v>85</v>
      </c>
      <c r="B12" s="113">
        <f t="shared" si="3"/>
        <v>10.279999999999996</v>
      </c>
      <c r="C12" s="114">
        <f>Design!$D$7</f>
        <v>3</v>
      </c>
      <c r="D12" s="114">
        <f ca="1">FORECAST(C12, OFFSET(Design!$C$15:$C$17,MATCH(C12,Design!$B$15:$B$17,1)-1,0,2), OFFSET(Design!$B$15:$B$17,MATCH(C12,Design!$B$15:$B$17,1)-1,0,2))+(M12-25)*Design!$B$18/1000</f>
        <v>0.39484518891991044</v>
      </c>
      <c r="E12" s="173">
        <f ca="1">IF(100*(Design!$C$29+D12+C12*IF(ISBLANK(Design!$B$43),Constants!$C$6,Design!$B$43)/1000*(1+Constants!$C$36/100*(N12-25)))/($B12+D12-C12*O12/1000)&gt;Design!$C$36,Design!$C$37,100*(Design!$C$29+D12+C12*IF(ISBLANK(Design!$B$43),Constants!$C$6,Design!$B$43)/1000*(1+Constants!$C$36/100*(N12-25)))/($B12+D12-C12*O12/1000))</f>
        <v>55.338464442899095</v>
      </c>
      <c r="F12" s="115">
        <f ca="1">IF(($B12-C12*IF(ISBLANK(Design!$B$43),Constants!$C$6,Design!$B$43)/1000*(1+Constants!$C$36/100*(N12-25))-Design!$C$29)/(IF(ISBLANK(Design!$B$42),Design!$B$40,Design!$B$42)/1000000)*E12/100/(IF(ISBLANK(Design!$B$33),Design!$B$32,Design!$B$33)*1000000)&lt;0, 0, ($B12-C12*IF(ISBLANK(Design!$B$43),Constants!$C$6,Design!$B$43)/1000*(1+Constants!$C$36/100*(N12-25))-Design!$C$29)/(IF(ISBLANK(Design!$B$42),Design!$B$40,Design!$B$42)/1000000)*E12/100/(IF(ISBLANK(Design!$B$33),Design!$B$32,Design!$B$33)*1000000))</f>
        <v>0.6656553364622303</v>
      </c>
      <c r="G12" s="165">
        <f>B12*Constants!$C$21/1000+IF(ISBLANK(Design!$B$33),Design!$B$32,Design!$B$33)*1000000*Constants!$D$25/1000000000*(B12-Constants!$C$24)</f>
        <v>3.6919999999999981E-2</v>
      </c>
      <c r="H12" s="165">
        <f>B12*C12*(B12/(Constants!$C$26*1000000000)*IF(ISBLANK(Design!$B$33),Design!$B$32,Design!$B$33)*1000000/2+B12/(Constants!$C$27*1000000000)*IF(ISBLANK(Design!$B$33),Design!$B$32,Design!$B$33)*1000000/2)</f>
        <v>0.1871388333333332</v>
      </c>
      <c r="I12" s="165">
        <f t="shared" ca="1" si="0"/>
        <v>1.0383135501296976</v>
      </c>
      <c r="J12" s="165">
        <f>Constants!$D$25/1000000000*Constants!$C$24*IF(ISBLANK(Design!$B$33),Design!$B$32,Design!$B$33)*1000000</f>
        <v>1.0624999999999999E-2</v>
      </c>
      <c r="K12" s="165">
        <f t="shared" ca="1" si="4"/>
        <v>1.2729973834630308</v>
      </c>
      <c r="L12" s="165">
        <f t="shared" ca="1" si="5"/>
        <v>0.52903177333490414</v>
      </c>
      <c r="M12" s="166">
        <f ca="1">A12+L12*Design!$B$19</f>
        <v>115.15481108008953</v>
      </c>
      <c r="N12" s="166">
        <f ca="1">K12*Design!$C$12+A12</f>
        <v>128.28191103774304</v>
      </c>
      <c r="O12" s="166">
        <f ca="1">Constants!$D$22+Constants!$D$22*Constants!$C$23/100*(N12-25)</f>
        <v>207.62552883019444</v>
      </c>
      <c r="P12" s="165">
        <f ca="1">IF(100*(Design!$C$29+D12+C12*IF(ISBLANK(Design!$B$43),Constants!$C$6,Design!$B$43)/1000*(1+Constants!$C$36/100*(N12-25)))/($B12+D12-C12*O12/1000)&gt;Design!$C$36,  (1-Constants!$C$20/1000000000*IF(ISBLANK(Design!$B$33),Design!$B$32/4,Design!$B$33/4)*1000000) * ($B12+D12-C12*O12/1000) - (D12+C12*(1+($A12-25)*Constants!$C$36/100)*IF(ISBLANK(Design!$B$43),Constants!$C$6/1000,Design!$B$43/1000)),   (1-Constants!$C$20/1000000000*IF(ISBLANK(Design!$B$33),Design!$B$32,Design!$B$33)*1000000) * ($B12+D12-C12*O12/1000) - (D12+C12*(1+($A12-25)*Constants!$C$36/100)*IF(ISBLANK(Design!$B$43),Constants!$C$6/1000,Design!$B$43/1000)) )</f>
        <v>9.1029791811863277</v>
      </c>
      <c r="Q12" s="171">
        <f ca="1">IF(P12&gt;Design!$C$29,Design!$C$29,P12)</f>
        <v>4.9990521327014221</v>
      </c>
      <c r="R12" s="181">
        <f>2*Design!$D$7/3</f>
        <v>2</v>
      </c>
      <c r="S12" s="116">
        <f ca="1">FORECAST(R12, OFFSET(Design!$C$15:$C$17,MATCH(R12,Design!$B$15:$B$17,1)-1,0,2), OFFSET(Design!$B$15:$B$17,MATCH(R12,Design!$B$15:$B$17,1)-1,0,2))+(AB12-25)*Design!$B$18/1000</f>
        <v>0.37979486112315969</v>
      </c>
      <c r="T12" s="182">
        <f ca="1">IF(100*(Design!$C$29+S12+R12*IF(ISBLANK(Design!$B$43),Constants!$C$6,Design!$B$43)/1000*(1+Constants!$C$36/100*(AC12-25)))/($B12+S12-R12*AD12/1000)&gt;Design!$C$36,Design!$C$37,100*(Design!$C$29+S12+R12*IF(ISBLANK(Design!$B$43),Constants!$C$6,Design!$B$43)/1000*(1+Constants!$C$36/100*(AC12-25)))/($B12+S12-R12*AD12/1000))</f>
        <v>53.333212619302337</v>
      </c>
      <c r="U12" s="117">
        <f ca="1">IF(($B12-R12*IF(ISBLANK(Design!$B$43),Constants!$C$6,Design!$B$43)/1000*(1+Constants!$C$36/100*(AC12-25))-Design!$C$29)/(Design!$B$42/1000000)*T12/100/(IF(ISBLANK(IF(ISBLANK(Design!$B$42),Design!$B$40,Design!$B$42)),Design!$B$32,Design!$B$33)*1000000)&lt;0,0,($B12-R12*IF(ISBLANK(Design!$B$43),Constants!$C$6,Design!$B$43)/1000*(1+Constants!$C$36/100*(AC12-25))-Design!$C$29)/(IF(ISBLANK(Design!$B$42),Design!$B$40,Design!$B$42)/1000000)*T12/100/(IF(ISBLANK(Design!$B$33),Design!$B$32,Design!$B$33)*1000000))</f>
        <v>0.6495232598835502</v>
      </c>
      <c r="V12" s="183">
        <f>$B12*Constants!$C$21/1000+IF(ISBLANK(Design!$B$33),Design!$B$32,Design!$B$33)*1000000*Constants!$D$25/1000000000*($B12-Constants!$C$24)</f>
        <v>3.6919999999999981E-2</v>
      </c>
      <c r="W12" s="183">
        <f>$B12*R12*($B12/(Constants!$C$26*1000000000)*IF(ISBLANK(Design!$B$33),Design!$B$32,Design!$B$33)*1000000/2+$B12/(Constants!$C$27*1000000000)*IF(ISBLANK(Design!$B$33),Design!$B$32,Design!$B$33)*1000000/2)</f>
        <v>0.12475922222222212</v>
      </c>
      <c r="X12" s="183">
        <f t="shared" ca="1" si="1"/>
        <v>0.40617158891450444</v>
      </c>
      <c r="Y12" s="183">
        <f>Constants!$D$25/1000000000*Constants!$C$24*IF(ISBLANK(Design!$B$33),Design!$B$32,Design!$B$33)*1000000</f>
        <v>1.0624999999999999E-2</v>
      </c>
      <c r="Z12" s="183">
        <f t="shared" ca="1" si="10"/>
        <v>0.57847581113672653</v>
      </c>
      <c r="AA12" s="183">
        <f t="shared" ca="1" si="7"/>
        <v>0.35447612064632178</v>
      </c>
      <c r="AB12" s="184">
        <f ca="1">$A12+AA12*Design!$B$19</f>
        <v>105.20513887684034</v>
      </c>
      <c r="AC12" s="184">
        <f ca="1">Z12*Design!$C$12+$A12</f>
        <v>104.66817757864871</v>
      </c>
      <c r="AD12" s="184">
        <f ca="1">Constants!$D$22+Constants!$D$22*Constants!$C$23/100*(AC12-25)</f>
        <v>188.73454206291896</v>
      </c>
      <c r="AE12" s="183">
        <f ca="1">IF(100*(Design!$C$29+S12+R12*IF(ISBLANK(Design!$B$43),Constants!$C$6,Design!$B$43)/1000*(1+Constants!$C$36/100*(AC12-25)))/($B12+S12-R12*AD12/1000)&gt;Design!$C$36,  (1-Constants!$C$20/1000000000*IF(ISBLANK(Design!$B$33),Design!$B$32/4,Design!$B$33/4)*1000000) * ($B12+S12-R12*AD12/1000) - (S12+R12*(1+($A12-25)*Constants!$C$36/100)*IF(ISBLANK(Design!$B$43),Constants!$C$6/1000,Design!$B$43/1000)),   (1-Constants!$C$20/1000000000*IF(ISBLANK(Design!$B$33),Design!$B$32,Design!$B$33)*1000000) * ($B12+S12-R12*AD12/1000) - (S12+R12*(1+($A12-25)*Constants!$C$36/100)*IF(ISBLANK(Design!$B$43),Constants!$C$6/1000,Design!$B$43/1000)) )</f>
        <v>9.3885180126278893</v>
      </c>
      <c r="AF12" s="117">
        <f ca="1">IF(AE12&gt;Design!$C$29,Design!$C$29,AE12)</f>
        <v>4.9990521327014221</v>
      </c>
      <c r="AG12" s="118">
        <f>Design!$D$7/3</f>
        <v>1</v>
      </c>
      <c r="AH12" s="118">
        <f ca="1">FORECAST(AG12, OFFSET(Design!$C$15:$C$17,MATCH(AG12,Design!$B$15:$B$17,1)-1,0,2), OFFSET(Design!$B$15:$B$17,MATCH(AG12,Design!$B$15:$B$17,1)-1,0,2))+(AQ12-25)*Design!$B$18/1000</f>
        <v>0.3135530509042444</v>
      </c>
      <c r="AI12" s="194">
        <f ca="1">IF(100*(Design!$C$29+AH12+AG12*IF(ISBLANK(Design!$B$43),Constants!$C$6,Design!$B$43)/1000*(1+Constants!$C$36/100*(AR12-25)))/($B12+AH12-AG12*AS12/1000)&gt;Design!$C$36,Design!$C$37,100*(Design!$C$29+AH12+AG12*IF(ISBLANK(Design!$B$43),Constants!$C$6,Design!$B$43)/1000*(1+Constants!$C$36/100*(AR12-25)))/($B12+AH12-AG12*AS12/1000))</f>
        <v>51.494420341886311</v>
      </c>
      <c r="AJ12" s="119">
        <f ca="1">IF(($B12-AG12*IF(ISBLANK(Design!$B$43),Constants!$C$6,Design!$B$43)/1000*(1+Constants!$C$36/100*(AR12-25))-Design!$C$29)/(IF(ISBLANK(Design!$B$42),Design!$B$40,Design!$B$42)/1000000)*AI12/100/(IF(ISBLANK(Design!$B$33),Design!$B$32,Design!$B$33)*1000000)&lt;0,0,($B12-AG12*IF(ISBLANK(Design!$B$43),Constants!$C$6,Design!$B$43)/1000*(1+Constants!$C$36/100*(AR12-25))-Design!$C$29)/(IF(ISBLANK(Design!$B$42),Design!$B$40,Design!$B$42)/1000000)*AI12/100/(IF(ISBLANK(Design!$B$33),Design!$B$32,Design!$B$33)*1000000))</f>
        <v>0.63373521636257646</v>
      </c>
      <c r="AK12" s="195">
        <f>$B12*Constants!$C$21/1000+IF(ISBLANK(Design!$B$33),Design!$B$32,Design!$B$33)*1000000*Constants!$D$25/1000000000*($B12-Constants!$C$24)</f>
        <v>3.6919999999999981E-2</v>
      </c>
      <c r="AL12" s="195">
        <f>$B12*AG12*($B12/(Constants!$C$26*1000000000)*IF(ISBLANK(Design!$B$33),Design!$B$32,Design!$B$33)*1000000/2+$B12/(Constants!$C$27*1000000000)*IF(ISBLANK(Design!$B$33),Design!$B$32,Design!$B$33)*1000000/2)</f>
        <v>6.2379611111111059E-2</v>
      </c>
      <c r="AM12" s="195">
        <f t="shared" ca="1" si="2"/>
        <v>9.5033711958747852E-2</v>
      </c>
      <c r="AN12" s="195">
        <f>Constants!$D$25/1000000000*Constants!$C$24*IF(ISBLANK(Design!$B$33),Design!$B$32,Design!$B$33)*1000000</f>
        <v>1.0624999999999999E-2</v>
      </c>
      <c r="AO12" s="195">
        <f t="shared" ca="1" si="11"/>
        <v>0.20495832306985889</v>
      </c>
      <c r="AP12" s="195">
        <f t="shared" ca="1" si="9"/>
        <v>0.15209072487680403</v>
      </c>
      <c r="AQ12" s="196">
        <f ca="1">$A12+AP12*Design!$B$19</f>
        <v>93.669171317977828</v>
      </c>
      <c r="AR12" s="196">
        <f ca="1">AO12*Design!$C$12+$A12</f>
        <v>91.968582984375203</v>
      </c>
      <c r="AS12" s="196">
        <f ca="1">Constants!$D$22+Constants!$D$22*Constants!$C$23/100*(AR12-25)</f>
        <v>178.57486638750015</v>
      </c>
      <c r="AT12" s="195">
        <f ca="1">IF(100*(Design!$C$29+AH12+AG12*IF(ISBLANK(Design!$B$43),Constants!$C$6,Design!$B$43)/1000*(1+Constants!$C$36/100*(AR12-25)))/($B12+AH12-AG12*AS12/1000)&gt;Design!$C$36,  (1-Constants!$C$20/1000000000*IF(ISBLANK(Design!$B$33),Design!$B$32/4,Design!$B$33/4)*1000000) * ($B12+AH12-AG12*AS12/1000) - (AH12+AG12*(1+($A12-25)*Constants!$C$36/100)*IF(ISBLANK(Design!$B$43),Constants!$C$6/1000,Design!$B$43/1000)),   (1-Constants!$C$20/1000000000*IF(ISBLANK(Design!$B$33),Design!$B$32,Design!$B$33)*1000000) * ($B12+AH12-AG12*AS12/1000) - (AH12+AG12*(1+($A12-25)*Constants!$C$36/100)*IF(ISBLANK(Design!$B$43),Constants!$C$6/1000,Design!$B$43/1000)) )</f>
        <v>9.6314883894126329</v>
      </c>
      <c r="AU12" s="119">
        <f ca="1">IF(AT12&gt;Design!$C$29,Design!$C$29,AT12)</f>
        <v>4.9990521327014221</v>
      </c>
    </row>
    <row r="13" spans="1:47" s="120" customFormat="1" ht="12.75" customHeight="1" x14ac:dyDescent="0.2">
      <c r="A13" s="112">
        <f>Design!$D$13</f>
        <v>85</v>
      </c>
      <c r="B13" s="113">
        <f t="shared" si="3"/>
        <v>10.064999999999996</v>
      </c>
      <c r="C13" s="114">
        <f>Design!$D$7</f>
        <v>3</v>
      </c>
      <c r="D13" s="114">
        <f ca="1">FORECAST(C13, OFFSET(Design!$C$15:$C$17,MATCH(C13,Design!$B$15:$B$17,1)-1,0,2), OFFSET(Design!$B$15:$B$17,MATCH(C13,Design!$B$15:$B$17,1)-1,0,2))+(M13-25)*Design!$B$18/1000</f>
        <v>0.39561396610918398</v>
      </c>
      <c r="E13" s="173">
        <f ca="1">IF(100*(Design!$C$29+D13+C13*IF(ISBLANK(Design!$B$43),Constants!$C$6,Design!$B$43)/1000*(1+Constants!$C$36/100*(N13-25)))/($B13+D13-C13*O13/1000)&gt;Design!$C$36,Design!$C$37,100*(Design!$C$29+D13+C13*IF(ISBLANK(Design!$B$43),Constants!$C$6,Design!$B$43)/1000*(1+Constants!$C$36/100*(N13-25)))/($B13+D13-C13*O13/1000))</f>
        <v>56.561657036937575</v>
      </c>
      <c r="F13" s="115">
        <f ca="1">IF(($B13-C13*IF(ISBLANK(Design!$B$43),Constants!$C$6,Design!$B$43)/1000*(1+Constants!$C$36/100*(N13-25))-Design!$C$29)/(IF(ISBLANK(Design!$B$42),Design!$B$40,Design!$B$42)/1000000)*E13/100/(IF(ISBLANK(Design!$B$33),Design!$B$32,Design!$B$33)*1000000)&lt;0, 0, ($B13-C13*IF(ISBLANK(Design!$B$43),Constants!$C$6,Design!$B$43)/1000*(1+Constants!$C$36/100*(N13-25))-Design!$C$29)/(IF(ISBLANK(Design!$B$42),Design!$B$40,Design!$B$42)/1000000)*E13/100/(IF(ISBLANK(Design!$B$33),Design!$B$32,Design!$B$33)*1000000))</f>
        <v>0.65172055669326856</v>
      </c>
      <c r="G13" s="165">
        <f>B13*Constants!$C$21/1000+IF(ISBLANK(Design!$B$33),Design!$B$32,Design!$B$33)*1000000*Constants!$D$25/1000000000*(B13-Constants!$C$24)</f>
        <v>3.5925624999999982E-2</v>
      </c>
      <c r="H13" s="165">
        <f>B13*C13*(B13/(Constants!$C$26*1000000000)*IF(ISBLANK(Design!$B$33),Design!$B$32,Design!$B$33)*1000000/2+B13/(Constants!$C$27*1000000000)*IF(ISBLANK(Design!$B$33),Design!$B$32,Design!$B$33)*1000000/2)</f>
        <v>0.17939289843749984</v>
      </c>
      <c r="I13" s="165">
        <f t="shared" ca="1" si="0"/>
        <v>1.0633498848758247</v>
      </c>
      <c r="J13" s="165">
        <f>Constants!$D$25/1000000000*Constants!$C$24*IF(ISBLANK(Design!$B$33),Design!$B$32,Design!$B$33)*1000000</f>
        <v>1.0624999999999999E-2</v>
      </c>
      <c r="K13" s="165">
        <f t="shared" ca="1" si="4"/>
        <v>1.2892934083133247</v>
      </c>
      <c r="L13" s="165">
        <f t="shared" ca="1" si="5"/>
        <v>0.51554445422484263</v>
      </c>
      <c r="M13" s="166">
        <f ca="1">A13+L13*Design!$B$19</f>
        <v>114.38603389081604</v>
      </c>
      <c r="N13" s="166">
        <f ca="1">K13*Design!$C$12+A13</f>
        <v>128.83597588265303</v>
      </c>
      <c r="O13" s="166">
        <f ca="1">Constants!$D$22+Constants!$D$22*Constants!$C$23/100*(N13-25)</f>
        <v>208.06878070612242</v>
      </c>
      <c r="P13" s="165">
        <f ca="1">IF(100*(Design!$C$29+D13+C13*IF(ISBLANK(Design!$B$43),Constants!$C$6,Design!$B$43)/1000*(1+Constants!$C$36/100*(N13-25)))/($B13+D13-C13*O13/1000)&gt;Design!$C$36,  (1-Constants!$C$20/1000000000*IF(ISBLANK(Design!$B$33),Design!$B$32/4,Design!$B$33/4)*1000000) * ($B13+D13-C13*O13/1000) - (D13+C13*(1+($A13-25)*Constants!$C$36/100)*IF(ISBLANK(Design!$B$43),Constants!$C$6/1000,Design!$B$43/1000)),   (1-Constants!$C$20/1000000000*IF(ISBLANK(Design!$B$33),Design!$B$32,Design!$B$33)*1000000) * ($B13+D13-C13*O13/1000) - (D13+C13*(1+($A13-25)*Constants!$C$36/100)*IF(ISBLANK(Design!$B$43),Constants!$C$6/1000,Design!$B$43/1000)) )</f>
        <v>8.8953527000630004</v>
      </c>
      <c r="Q13" s="171">
        <f ca="1">IF(P13&gt;Design!$C$29,Design!$C$29,P13)</f>
        <v>4.9990521327014221</v>
      </c>
      <c r="R13" s="181">
        <f>2*Design!$D$7/3</f>
        <v>2</v>
      </c>
      <c r="S13" s="116">
        <f ca="1">FORECAST(R13, OFFSET(Design!$C$15:$C$17,MATCH(R13,Design!$B$15:$B$17,1)-1,0,2), OFFSET(Design!$B$15:$B$17,MATCH(R13,Design!$B$15:$B$17,1)-1,0,2))+(AB13-25)*Design!$B$18/1000</f>
        <v>0.38026497104711454</v>
      </c>
      <c r="T13" s="182">
        <f ca="1">IF(100*(Design!$C$29+S13+R13*IF(ISBLANK(Design!$B$43),Constants!$C$6,Design!$B$43)/1000*(1+Constants!$C$36/100*(AC13-25)))/($B13+S13-R13*AD13/1000)&gt;Design!$C$36,Design!$C$37,100*(Design!$C$29+S13+R13*IF(ISBLANK(Design!$B$43),Constants!$C$6,Design!$B$43)/1000*(1+Constants!$C$36/100*(AC13-25)))/($B13+S13-R13*AD13/1000))</f>
        <v>54.475352125202704</v>
      </c>
      <c r="U13" s="117">
        <f ca="1">IF(($B13-R13*IF(ISBLANK(Design!$B$43),Constants!$C$6,Design!$B$43)/1000*(1+Constants!$C$36/100*(AC13-25))-Design!$C$29)/(Design!$B$42/1000000)*T13/100/(IF(ISBLANK(IF(ISBLANK(Design!$B$42),Design!$B$40,Design!$B$42)),Design!$B$32,Design!$B$33)*1000000)&lt;0,0,($B13-R13*IF(ISBLANK(Design!$B$43),Constants!$C$6,Design!$B$43)/1000*(1+Constants!$C$36/100*(AC13-25))-Design!$C$29)/(IF(ISBLANK(Design!$B$42),Design!$B$40,Design!$B$42)/1000000)*T13/100/(IF(ISBLANK(Design!$B$33),Design!$B$32,Design!$B$33)*1000000))</f>
        <v>0.6358713056376929</v>
      </c>
      <c r="V13" s="183">
        <f>$B13*Constants!$C$21/1000+IF(ISBLANK(Design!$B$33),Design!$B$32,Design!$B$33)*1000000*Constants!$D$25/1000000000*($B13-Constants!$C$24)</f>
        <v>3.5925624999999982E-2</v>
      </c>
      <c r="W13" s="183">
        <f>$B13*R13*($B13/(Constants!$C$26*1000000000)*IF(ISBLANK(Design!$B$33),Design!$B$32,Design!$B$33)*1000000/2+$B13/(Constants!$C$27*1000000000)*IF(ISBLANK(Design!$B$33),Design!$B$32,Design!$B$33)*1000000/2)</f>
        <v>0.11959526562499989</v>
      </c>
      <c r="X13" s="183">
        <f t="shared" ca="1" si="1"/>
        <v>0.41487136930017504</v>
      </c>
      <c r="Y13" s="183">
        <f>Constants!$D$25/1000000000*Constants!$C$24*IF(ISBLANK(Design!$B$33),Design!$B$32,Design!$B$33)*1000000</f>
        <v>1.0624999999999999E-2</v>
      </c>
      <c r="Z13" s="183">
        <f t="shared" ca="1" si="10"/>
        <v>0.58101725992517494</v>
      </c>
      <c r="AA13" s="183">
        <f t="shared" ca="1" si="7"/>
        <v>0.34622857812079755</v>
      </c>
      <c r="AB13" s="184">
        <f ca="1">$A13+AA13*Design!$B$19</f>
        <v>104.73502895288546</v>
      </c>
      <c r="AC13" s="184">
        <f ca="1">Z13*Design!$C$12+$A13</f>
        <v>104.75458683745595</v>
      </c>
      <c r="AD13" s="184">
        <f ca="1">Constants!$D$22+Constants!$D$22*Constants!$C$23/100*(AC13-25)</f>
        <v>188.80366946996475</v>
      </c>
      <c r="AE13" s="183">
        <f ca="1">IF(100*(Design!$C$29+S13+R13*IF(ISBLANK(Design!$B$43),Constants!$C$6,Design!$B$43)/1000*(1+Constants!$C$36/100*(AC13-25)))/($B13+S13-R13*AD13/1000)&gt;Design!$C$36,  (1-Constants!$C$20/1000000000*IF(ISBLANK(Design!$B$33),Design!$B$32/4,Design!$B$33/4)*1000000) * ($B13+S13-R13*AD13/1000) - (S13+R13*(1+($A13-25)*Constants!$C$36/100)*IF(ISBLANK(Design!$B$43),Constants!$C$6/1000,Design!$B$43/1000)),   (1-Constants!$C$20/1000000000*IF(ISBLANK(Design!$B$33),Design!$B$32,Design!$B$33)*1000000) * ($B13+S13-R13*AD13/1000) - (S13+R13*(1+($A13-25)*Constants!$C$36/100)*IF(ISBLANK(Design!$B$43),Constants!$C$6/1000,Design!$B$43/1000)) )</f>
        <v>9.1820469841637387</v>
      </c>
      <c r="AF13" s="117">
        <f ca="1">IF(AE13&gt;Design!$C$29,Design!$C$29,AE13)</f>
        <v>4.9990521327014221</v>
      </c>
      <c r="AG13" s="118">
        <f>Design!$D$7/3</f>
        <v>1</v>
      </c>
      <c r="AH13" s="118">
        <f ca="1">FORECAST(AG13, OFFSET(Design!$C$15:$C$17,MATCH(AG13,Design!$B$15:$B$17,1)-1,0,2), OFFSET(Design!$B$15:$B$17,MATCH(AG13,Design!$B$15:$B$17,1)-1,0,2))+(AQ13-25)*Design!$B$18/1000</f>
        <v>0.31374203307491011</v>
      </c>
      <c r="AI13" s="194">
        <f ca="1">IF(100*(Design!$C$29+AH13+AG13*IF(ISBLANK(Design!$B$43),Constants!$C$6,Design!$B$43)/1000*(1+Constants!$C$36/100*(AR13-25)))/($B13+AH13-AG13*AS13/1000)&gt;Design!$C$36,Design!$C$37,100*(Design!$C$29+AH13+AG13*IF(ISBLANK(Design!$B$43),Constants!$C$6,Design!$B$43)/1000*(1+Constants!$C$36/100*(AR13-25)))/($B13+AH13-AG13*AS13/1000))</f>
        <v>52.580390092985418</v>
      </c>
      <c r="AJ13" s="119">
        <f ca="1">IF(($B13-AG13*IF(ISBLANK(Design!$B$43),Constants!$C$6,Design!$B$43)/1000*(1+Constants!$C$36/100*(AR13-25))-Design!$C$29)/(IF(ISBLANK(Design!$B$42),Design!$B$40,Design!$B$42)/1000000)*AI13/100/(IF(ISBLANK(Design!$B$33),Design!$B$32,Design!$B$33)*1000000)&lt;0,0,($B13-AG13*IF(ISBLANK(Design!$B$43),Constants!$C$6,Design!$B$43)/1000*(1+Constants!$C$36/100*(AR13-25))-Design!$C$29)/(IF(ISBLANK(Design!$B$42),Design!$B$40,Design!$B$42)/1000000)*AI13/100/(IF(ISBLANK(Design!$B$33),Design!$B$32,Design!$B$33)*1000000))</f>
        <v>0.62050175747641789</v>
      </c>
      <c r="AK13" s="195">
        <f>$B13*Constants!$C$21/1000+IF(ISBLANK(Design!$B$33),Design!$B$32,Design!$B$33)*1000000*Constants!$D$25/1000000000*($B13-Constants!$C$24)</f>
        <v>3.5925624999999982E-2</v>
      </c>
      <c r="AL13" s="195">
        <f>$B13*AG13*($B13/(Constants!$C$26*1000000000)*IF(ISBLANK(Design!$B$33),Design!$B$32,Design!$B$33)*1000000/2+$B13/(Constants!$C$27*1000000000)*IF(ISBLANK(Design!$B$33),Design!$B$32,Design!$B$33)*1000000/2)</f>
        <v>5.9797632812499946E-2</v>
      </c>
      <c r="AM13" s="195">
        <f t="shared" ca="1" si="2"/>
        <v>9.6882513089570993E-2</v>
      </c>
      <c r="AN13" s="195">
        <f>Constants!$D$25/1000000000*Constants!$C$24*IF(ISBLANK(Design!$B$33),Design!$B$32,Design!$B$33)*1000000</f>
        <v>1.0624999999999999E-2</v>
      </c>
      <c r="AO13" s="195">
        <f t="shared" ca="1" si="11"/>
        <v>0.20323077090207092</v>
      </c>
      <c r="AP13" s="195">
        <f t="shared" ca="1" si="9"/>
        <v>0.14877524819845903</v>
      </c>
      <c r="AQ13" s="196">
        <f ca="1">$A13+AP13*Design!$B$19</f>
        <v>93.48018914731216</v>
      </c>
      <c r="AR13" s="196">
        <f ca="1">AO13*Design!$C$12+$A13</f>
        <v>91.909846210670409</v>
      </c>
      <c r="AS13" s="196">
        <f ca="1">Constants!$D$22+Constants!$D$22*Constants!$C$23/100*(AR13-25)</f>
        <v>178.52787696853633</v>
      </c>
      <c r="AT13" s="195">
        <f ca="1">IF(100*(Design!$C$29+AH13+AG13*IF(ISBLANK(Design!$B$43),Constants!$C$6,Design!$B$43)/1000*(1+Constants!$C$36/100*(AR13-25)))/($B13+AH13-AG13*AS13/1000)&gt;Design!$C$36,  (1-Constants!$C$20/1000000000*IF(ISBLANK(Design!$B$33),Design!$B$32/4,Design!$B$33/4)*1000000) * ($B13+AH13-AG13*AS13/1000) - (AH13+AG13*(1+($A13-25)*Constants!$C$36/100)*IF(ISBLANK(Design!$B$43),Constants!$C$6/1000,Design!$B$43/1000)),   (1-Constants!$C$20/1000000000*IF(ISBLANK(Design!$B$33),Design!$B$32,Design!$B$33)*1000000) * ($B13+AH13-AG13*AS13/1000) - (AH13+AG13*(1+($A13-25)*Constants!$C$36/100)*IF(ISBLANK(Design!$B$43),Constants!$C$6/1000,Design!$B$43/1000)) )</f>
        <v>9.4252064764786638</v>
      </c>
      <c r="AU13" s="119">
        <f ca="1">IF(AT13&gt;Design!$C$29,Design!$C$29,AT13)</f>
        <v>4.9990521327014221</v>
      </c>
    </row>
    <row r="14" spans="1:47" s="120" customFormat="1" ht="12.75" customHeight="1" x14ac:dyDescent="0.2">
      <c r="A14" s="112">
        <f>Design!$D$13</f>
        <v>85</v>
      </c>
      <c r="B14" s="113">
        <f t="shared" si="3"/>
        <v>9.8499999999999961</v>
      </c>
      <c r="C14" s="114">
        <f>Design!$D$7</f>
        <v>3</v>
      </c>
      <c r="D14" s="114">
        <f ca="1">FORECAST(C14, OFFSET(Design!$C$15:$C$17,MATCH(C14,Design!$B$15:$B$17,1)-1,0,2), OFFSET(Design!$B$15:$B$17,MATCH(C14,Design!$B$15:$B$17,1)-1,0,2))+(M14-25)*Design!$B$18/1000</f>
        <v>0.39642113538563517</v>
      </c>
      <c r="E14" s="173">
        <f ca="1">IF(100*(Design!$C$29+D14+C14*IF(ISBLANK(Design!$B$43),Constants!$C$6,Design!$B$43)/1000*(1+Constants!$C$36/100*(N14-25)))/($B14+D14-C14*O14/1000)&gt;Design!$C$36,Design!$C$37,100*(Design!$C$29+D14+C14*IF(ISBLANK(Design!$B$43),Constants!$C$6,Design!$B$43)/1000*(1+Constants!$C$36/100*(N14-25)))/($B14+D14-C14*O14/1000))</f>
        <v>57.840829278863055</v>
      </c>
      <c r="F14" s="115">
        <f ca="1">IF(($B14-C14*IF(ISBLANK(Design!$B$43),Constants!$C$6,Design!$B$43)/1000*(1+Constants!$C$36/100*(N14-25))-Design!$C$29)/(IF(ISBLANK(Design!$B$42),Design!$B$40,Design!$B$42)/1000000)*E14/100/(IF(ISBLANK(Design!$B$33),Design!$B$32,Design!$B$33)*1000000)&lt;0, 0, ($B14-C14*IF(ISBLANK(Design!$B$43),Constants!$C$6,Design!$B$43)/1000*(1+Constants!$C$36/100*(N14-25))-Design!$C$29)/(IF(ISBLANK(Design!$B$42),Design!$B$40,Design!$B$42)/1000000)*E14/100/(IF(ISBLANK(Design!$B$33),Design!$B$32,Design!$B$33)*1000000))</f>
        <v>0.63716003492373041</v>
      </c>
      <c r="G14" s="165">
        <f>B14*Constants!$C$21/1000+IF(ISBLANK(Design!$B$33),Design!$B$32,Design!$B$33)*1000000*Constants!$D$25/1000000000*(B14-Constants!$C$24)</f>
        <v>3.4931249999999983E-2</v>
      </c>
      <c r="H14" s="165">
        <f>B14*C14*(B14/(Constants!$C$26*1000000000)*IF(ISBLANK(Design!$B$33),Design!$B$32,Design!$B$33)*1000000/2+B14/(Constants!$C$27*1000000000)*IF(ISBLANK(Design!$B$33),Design!$B$32,Design!$B$33)*1000000/2)</f>
        <v>0.1718106770833332</v>
      </c>
      <c r="I14" s="165">
        <f t="shared" ca="1" si="0"/>
        <v>1.0897419528393617</v>
      </c>
      <c r="J14" s="165">
        <f>Constants!$D$25/1000000000*Constants!$C$24*IF(ISBLANK(Design!$B$33),Design!$B$32,Design!$B$33)*1000000</f>
        <v>1.0624999999999999E-2</v>
      </c>
      <c r="K14" s="165">
        <f t="shared" ca="1" si="4"/>
        <v>1.3071088799226951</v>
      </c>
      <c r="L14" s="165">
        <f t="shared" ca="1" si="5"/>
        <v>0.50138358972569796</v>
      </c>
      <c r="M14" s="166">
        <f ca="1">A14+L14*Design!$B$19</f>
        <v>113.57886461436479</v>
      </c>
      <c r="N14" s="166">
        <f ca="1">K14*Design!$C$12+A14</f>
        <v>129.44170191737163</v>
      </c>
      <c r="O14" s="166">
        <f ca="1">Constants!$D$22+Constants!$D$22*Constants!$C$23/100*(N14-25)</f>
        <v>208.55336153389732</v>
      </c>
      <c r="P14" s="165">
        <f ca="1">IF(100*(Design!$C$29+D14+C14*IF(ISBLANK(Design!$B$43),Constants!$C$6,Design!$B$43)/1000*(1+Constants!$C$36/100*(N14-25)))/($B14+D14-C14*O14/1000)&gt;Design!$C$36,  (1-Constants!$C$20/1000000000*IF(ISBLANK(Design!$B$33),Design!$B$32/4,Design!$B$33/4)*1000000) * ($B14+D14-C14*O14/1000) - (D14+C14*(1+($A14-25)*Constants!$C$36/100)*IF(ISBLANK(Design!$B$43),Constants!$C$6/1000,Design!$B$43/1000)),   (1-Constants!$C$20/1000000000*IF(ISBLANK(Design!$B$33),Design!$B$32,Design!$B$33)*1000000) * ($B14+D14-C14*O14/1000) - (D14+C14*(1+($A14-25)*Constants!$C$36/100)*IF(ISBLANK(Design!$B$43),Constants!$C$6/1000,Design!$B$43/1000)) )</f>
        <v>8.6876056879729013</v>
      </c>
      <c r="Q14" s="171">
        <f ca="1">IF(P14&gt;Design!$C$29,Design!$C$29,P14)</f>
        <v>4.9990521327014221</v>
      </c>
      <c r="R14" s="181">
        <f>2*Design!$D$7/3</f>
        <v>2</v>
      </c>
      <c r="S14" s="116">
        <f ca="1">FORECAST(R14, OFFSET(Design!$C$15:$C$17,MATCH(R14,Design!$B$15:$B$17,1)-1,0,2), OFFSET(Design!$B$15:$B$17,MATCH(R14,Design!$B$15:$B$17,1)-1,0,2))+(AB14-25)*Design!$B$18/1000</f>
        <v>0.38075693802213528</v>
      </c>
      <c r="T14" s="182">
        <f ca="1">IF(100*(Design!$C$29+S14+R14*IF(ISBLANK(Design!$B$43),Constants!$C$6,Design!$B$43)/1000*(1+Constants!$C$36/100*(AC14-25)))/($B14+S14-R14*AD14/1000)&gt;Design!$C$36,Design!$C$37,100*(Design!$C$29+S14+R14*IF(ISBLANK(Design!$B$43),Constants!$C$6,Design!$B$43)/1000*(1+Constants!$C$36/100*(AC14-25)))/($B14+S14-R14*AD14/1000))</f>
        <v>55.667573608415218</v>
      </c>
      <c r="U14" s="117">
        <f ca="1">IF(($B14-R14*IF(ISBLANK(Design!$B$43),Constants!$C$6,Design!$B$43)/1000*(1+Constants!$C$36/100*(AC14-25))-Design!$C$29)/(Design!$B$42/1000000)*T14/100/(IF(ISBLANK(IF(ISBLANK(Design!$B$42),Design!$B$40,Design!$B$42)),Design!$B$32,Design!$B$33)*1000000)&lt;0,0,($B14-R14*IF(ISBLANK(Design!$B$43),Constants!$C$6,Design!$B$43)/1000*(1+Constants!$C$36/100*(AC14-25))-Design!$C$29)/(IF(ISBLANK(Design!$B$42),Design!$B$40,Design!$B$42)/1000000)*T14/100/(IF(ISBLANK(Design!$B$33),Design!$B$32,Design!$B$33)*1000000))</f>
        <v>0.62162215254780862</v>
      </c>
      <c r="V14" s="183">
        <f>$B14*Constants!$C$21/1000+IF(ISBLANK(Design!$B$33),Design!$B$32,Design!$B$33)*1000000*Constants!$D$25/1000000000*($B14-Constants!$C$24)</f>
        <v>3.4931249999999983E-2</v>
      </c>
      <c r="W14" s="183">
        <f>$B14*R14*($B14/(Constants!$C$26*1000000000)*IF(ISBLANK(Design!$B$33),Design!$B$32,Design!$B$33)*1000000/2+$B14/(Constants!$C$27*1000000000)*IF(ISBLANK(Design!$B$33),Design!$B$32,Design!$B$33)*1000000/2)</f>
        <v>0.1145404513888888</v>
      </c>
      <c r="X14" s="183">
        <f t="shared" ca="1" si="1"/>
        <v>0.42398095746886122</v>
      </c>
      <c r="Y14" s="183">
        <f>Constants!$D$25/1000000000*Constants!$C$24*IF(ISBLANK(Design!$B$33),Design!$B$32,Design!$B$33)*1000000</f>
        <v>1.0624999999999999E-2</v>
      </c>
      <c r="Z14" s="183">
        <f t="shared" ca="1" si="10"/>
        <v>0.58407765885774998</v>
      </c>
      <c r="AA14" s="183">
        <f t="shared" ca="1" si="7"/>
        <v>0.33759757855903039</v>
      </c>
      <c r="AB14" s="184">
        <f ca="1">$A14+AA14*Design!$B$19</f>
        <v>104.24306197786473</v>
      </c>
      <c r="AC14" s="184">
        <f ca="1">Z14*Design!$C$12+$A14</f>
        <v>104.8586404011635</v>
      </c>
      <c r="AD14" s="184">
        <f ca="1">Constants!$D$22+Constants!$D$22*Constants!$C$23/100*(AC14-25)</f>
        <v>188.8869123209308</v>
      </c>
      <c r="AE14" s="183">
        <f ca="1">IF(100*(Design!$C$29+S14+R14*IF(ISBLANK(Design!$B$43),Constants!$C$6,Design!$B$43)/1000*(1+Constants!$C$36/100*(AC14-25)))/($B14+S14-R14*AD14/1000)&gt;Design!$C$36,  (1-Constants!$C$20/1000000000*IF(ISBLANK(Design!$B$33),Design!$B$32/4,Design!$B$33/4)*1000000) * ($B14+S14-R14*AD14/1000) - (S14+R14*(1+($A14-25)*Constants!$C$36/100)*IF(ISBLANK(Design!$B$43),Constants!$C$6/1000,Design!$B$43/1000)),   (1-Constants!$C$20/1000000000*IF(ISBLANK(Design!$B$33),Design!$B$32,Design!$B$33)*1000000) * ($B14+S14-R14*AD14/1000) - (S14+R14*(1+($A14-25)*Constants!$C$36/100)*IF(ISBLANK(Design!$B$43),Constants!$C$6/1000,Design!$B$43/1000)) )</f>
        <v>8.9755479821554047</v>
      </c>
      <c r="AF14" s="117">
        <f ca="1">IF(AE14&gt;Design!$C$29,Design!$C$29,AE14)</f>
        <v>4.9990521327014221</v>
      </c>
      <c r="AG14" s="118">
        <f>Design!$D$7/3</f>
        <v>1</v>
      </c>
      <c r="AH14" s="118">
        <f ca="1">FORECAST(AG14, OFFSET(Design!$C$15:$C$17,MATCH(AG14,Design!$B$15:$B$17,1)-1,0,2), OFFSET(Design!$B$15:$B$17,MATCH(AG14,Design!$B$15:$B$17,1)-1,0,2))+(AQ14-25)*Design!$B$18/1000</f>
        <v>0.31393939868187742</v>
      </c>
      <c r="AI14" s="194">
        <f ca="1">IF(100*(Design!$C$29+AH14+AG14*IF(ISBLANK(Design!$B$43),Constants!$C$6,Design!$B$43)/1000*(1+Constants!$C$36/100*(AR14-25)))/($B14+AH14-AG14*AS14/1000)&gt;Design!$C$36,Design!$C$37,100*(Design!$C$29+AH14+AG14*IF(ISBLANK(Design!$B$43),Constants!$C$6,Design!$B$43)/1000*(1+Constants!$C$36/100*(AR14-25)))/($B14+AH14-AG14*AS14/1000))</f>
        <v>53.71313880947168</v>
      </c>
      <c r="AJ14" s="119">
        <f ca="1">IF(($B14-AG14*IF(ISBLANK(Design!$B$43),Constants!$C$6,Design!$B$43)/1000*(1+Constants!$C$36/100*(AR14-25))-Design!$C$29)/(IF(ISBLANK(Design!$B$42),Design!$B$40,Design!$B$42)/1000000)*AI14/100/(IF(ISBLANK(Design!$B$33),Design!$B$32,Design!$B$33)*1000000)&lt;0,0,($B14-AG14*IF(ISBLANK(Design!$B$43),Constants!$C$6,Design!$B$43)/1000*(1+Constants!$C$36/100*(AR14-25))-Design!$C$29)/(IF(ISBLANK(Design!$B$42),Design!$B$40,Design!$B$42)/1000000)*AI14/100/(IF(ISBLANK(Design!$B$33),Design!$B$32,Design!$B$33)*1000000))</f>
        <v>0.60669788513982892</v>
      </c>
      <c r="AK14" s="195">
        <f>$B14*Constants!$C$21/1000+IF(ISBLANK(Design!$B$33),Design!$B$32,Design!$B$33)*1000000*Constants!$D$25/1000000000*($B14-Constants!$C$24)</f>
        <v>3.4931249999999983E-2</v>
      </c>
      <c r="AL14" s="195">
        <f>$B14*AG14*($B14/(Constants!$C$26*1000000000)*IF(ISBLANK(Design!$B$33),Design!$B$32,Design!$B$33)*1000000/2+$B14/(Constants!$C$27*1000000000)*IF(ISBLANK(Design!$B$33),Design!$B$32,Design!$B$33)*1000000/2)</f>
        <v>5.7270225694444399E-2</v>
      </c>
      <c r="AM14" s="195">
        <f t="shared" ca="1" si="2"/>
        <v>9.8810298044802652E-2</v>
      </c>
      <c r="AN14" s="195">
        <f>Constants!$D$25/1000000000*Constants!$C$24*IF(ISBLANK(Design!$B$33),Design!$B$32,Design!$B$33)*1000000</f>
        <v>1.0624999999999999E-2</v>
      </c>
      <c r="AO14" s="195">
        <f t="shared" ca="1" si="11"/>
        <v>0.20163677373924704</v>
      </c>
      <c r="AP14" s="195">
        <f t="shared" ca="1" si="9"/>
        <v>0.1453126936902599</v>
      </c>
      <c r="AQ14" s="196">
        <f ca="1">$A14+AP14*Design!$B$19</f>
        <v>93.282823540344822</v>
      </c>
      <c r="AR14" s="196">
        <f ca="1">AO14*Design!$C$12+$A14</f>
        <v>91.855650307134397</v>
      </c>
      <c r="AS14" s="196">
        <f ca="1">Constants!$D$22+Constants!$D$22*Constants!$C$23/100*(AR14-25)</f>
        <v>178.48452024570753</v>
      </c>
      <c r="AT14" s="195">
        <f ca="1">IF(100*(Design!$C$29+AH14+AG14*IF(ISBLANK(Design!$B$43),Constants!$C$6,Design!$B$43)/1000*(1+Constants!$C$36/100*(AR14-25)))/($B14+AH14-AG14*AS14/1000)&gt;Design!$C$36,  (1-Constants!$C$20/1000000000*IF(ISBLANK(Design!$B$33),Design!$B$32/4,Design!$B$33/4)*1000000) * ($B14+AH14-AG14*AS14/1000) - (AH14+AG14*(1+($A14-25)*Constants!$C$36/100)*IF(ISBLANK(Design!$B$43),Constants!$C$6/1000,Design!$B$43/1000)),   (1-Constants!$C$20/1000000000*IF(ISBLANK(Design!$B$33),Design!$B$32,Design!$B$33)*1000000) * ($B14+AH14-AG14*AS14/1000) - (AH14+AG14*(1+($A14-25)*Constants!$C$36/100)*IF(ISBLANK(Design!$B$43),Constants!$C$6/1000,Design!$B$43/1000)) )</f>
        <v>9.2189207390374293</v>
      </c>
      <c r="AU14" s="119">
        <f ca="1">IF(AT14&gt;Design!$C$29,Design!$C$29,AT14)</f>
        <v>4.9990521327014221</v>
      </c>
    </row>
    <row r="15" spans="1:47" s="120" customFormat="1" ht="12.75" customHeight="1" x14ac:dyDescent="0.2">
      <c r="A15" s="112">
        <f>Design!$D$13</f>
        <v>85</v>
      </c>
      <c r="B15" s="113">
        <f t="shared" si="3"/>
        <v>9.6349999999999962</v>
      </c>
      <c r="C15" s="114">
        <f>Design!$D$7</f>
        <v>3</v>
      </c>
      <c r="D15" s="114">
        <f ca="1">FORECAST(C15, OFFSET(Design!$C$15:$C$17,MATCH(C15,Design!$B$15:$B$17,1)-1,0,2), OFFSET(Design!$B$15:$B$17,MATCH(C15,Design!$B$15:$B$17,1)-1,0,2))+(M15-25)*Design!$B$18/1000</f>
        <v>0.39726967312013522</v>
      </c>
      <c r="E15" s="173">
        <f ca="1">IF(100*(Design!$C$29+D15+C15*IF(ISBLANK(Design!$B$43),Constants!$C$6,Design!$B$43)/1000*(1+Constants!$C$36/100*(N15-25)))/($B15+D15-C15*O15/1000)&gt;Design!$C$36,Design!$C$37,100*(Design!$C$29+D15+C15*IF(ISBLANK(Design!$B$43),Constants!$C$6,Design!$B$43)/1000*(1+Constants!$C$36/100*(N15-25)))/($B15+D15-C15*O15/1000))</f>
        <v>59.179956276406784</v>
      </c>
      <c r="F15" s="115">
        <f ca="1">IF(($B15-C15*IF(ISBLANK(Design!$B$43),Constants!$C$6,Design!$B$43)/1000*(1+Constants!$C$36/100*(N15-25))-Design!$C$29)/(IF(ISBLANK(Design!$B$42),Design!$B$40,Design!$B$42)/1000000)*E15/100/(IF(ISBLANK(Design!$B$33),Design!$B$32,Design!$B$33)*1000000)&lt;0, 0, ($B15-C15*IF(ISBLANK(Design!$B$43),Constants!$C$6,Design!$B$43)/1000*(1+Constants!$C$36/100*(N15-25))-Design!$C$29)/(IF(ISBLANK(Design!$B$42),Design!$B$40,Design!$B$42)/1000000)*E15/100/(IF(ISBLANK(Design!$B$33),Design!$B$32,Design!$B$33)*1000000))</f>
        <v>0.62193000577532298</v>
      </c>
      <c r="G15" s="165">
        <f>B15*Constants!$C$21/1000+IF(ISBLANK(Design!$B$33),Design!$B$32,Design!$B$33)*1000000*Constants!$D$25/1000000000*(B15-Constants!$C$24)</f>
        <v>3.3936874999999984E-2</v>
      </c>
      <c r="H15" s="165">
        <f>B15*C15*(B15/(Constants!$C$26*1000000000)*IF(ISBLANK(Design!$B$33),Design!$B$32,Design!$B$33)*1000000/2+B15/(Constants!$C$27*1000000000)*IF(ISBLANK(Design!$B$33),Design!$B$32,Design!$B$33)*1000000/2)</f>
        <v>0.16439216927083319</v>
      </c>
      <c r="I15" s="165">
        <f t="shared" ca="1" si="0"/>
        <v>1.1176017751062626</v>
      </c>
      <c r="J15" s="165">
        <f>Constants!$D$25/1000000000*Constants!$C$24*IF(ISBLANK(Design!$B$33),Design!$B$32,Design!$B$33)*1000000</f>
        <v>1.0624999999999999E-2</v>
      </c>
      <c r="K15" s="165">
        <f t="shared" ca="1" si="4"/>
        <v>1.3265558193770959</v>
      </c>
      <c r="L15" s="165">
        <f t="shared" ca="1" si="5"/>
        <v>0.48649696280464511</v>
      </c>
      <c r="M15" s="166">
        <f ca="1">A15+L15*Design!$B$19</f>
        <v>112.73032687986478</v>
      </c>
      <c r="N15" s="166">
        <f ca="1">K15*Design!$C$12+A15</f>
        <v>130.10289785882125</v>
      </c>
      <c r="O15" s="166">
        <f ca="1">Constants!$D$22+Constants!$D$22*Constants!$C$23/100*(N15-25)</f>
        <v>209.08231828705701</v>
      </c>
      <c r="P15" s="165">
        <f ca="1">IF(100*(Design!$C$29+D15+C15*IF(ISBLANK(Design!$B$43),Constants!$C$6,Design!$B$43)/1000*(1+Constants!$C$36/100*(N15-25)))/($B15+D15-C15*O15/1000)&gt;Design!$C$36,  (1-Constants!$C$20/1000000000*IF(ISBLANK(Design!$B$33),Design!$B$32/4,Design!$B$33/4)*1000000) * ($B15+D15-C15*O15/1000) - (D15+C15*(1+($A15-25)*Constants!$C$36/100)*IF(ISBLANK(Design!$B$43),Constants!$C$6/1000,Design!$B$43/1000)),   (1-Constants!$C$20/1000000000*IF(ISBLANK(Design!$B$33),Design!$B$32,Design!$B$33)*1000000) * ($B15+D15-C15*O15/1000) - (D15+C15*(1+($A15-25)*Constants!$C$36/100)*IF(ISBLANK(Design!$B$43),Constants!$C$6/1000,Design!$B$43/1000)) )</f>
        <v>8.4797292528891184</v>
      </c>
      <c r="Q15" s="171">
        <f ca="1">IF(P15&gt;Design!$C$29,Design!$C$29,P15)</f>
        <v>4.9990521327014221</v>
      </c>
      <c r="R15" s="181">
        <f>2*Design!$D$7/3</f>
        <v>2</v>
      </c>
      <c r="S15" s="116">
        <f ca="1">FORECAST(R15, OFFSET(Design!$C$15:$C$17,MATCH(R15,Design!$B$15:$B$17,1)-1,0,2), OFFSET(Design!$B$15:$B$17,MATCH(R15,Design!$B$15:$B$17,1)-1,0,2))+(AB15-25)*Design!$B$18/1000</f>
        <v>0.38127232286880086</v>
      </c>
      <c r="T15" s="182">
        <f ca="1">IF(100*(Design!$C$29+S15+R15*IF(ISBLANK(Design!$B$43),Constants!$C$6,Design!$B$43)/1000*(1+Constants!$C$36/100*(AC15-25)))/($B15+S15-R15*AD15/1000)&gt;Design!$C$36,Design!$C$37,100*(Design!$C$29+S15+R15*IF(ISBLANK(Design!$B$43),Constants!$C$6,Design!$B$43)/1000*(1+Constants!$C$36/100*(AC15-25)))/($B15+S15-R15*AD15/1000))</f>
        <v>56.913245541703887</v>
      </c>
      <c r="U15" s="117">
        <f ca="1">IF(($B15-R15*IF(ISBLANK(Design!$B$43),Constants!$C$6,Design!$B$43)/1000*(1+Constants!$C$36/100*(AC15-25))-Design!$C$29)/(Design!$B$42/1000000)*T15/100/(IF(ISBLANK(IF(ISBLANK(Design!$B$42),Design!$B$40,Design!$B$42)),Design!$B$32,Design!$B$33)*1000000)&lt;0,0,($B15-R15*IF(ISBLANK(Design!$B$43),Constants!$C$6,Design!$B$43)/1000*(1+Constants!$C$36/100*(AC15-25))-Design!$C$29)/(IF(ISBLANK(Design!$B$42),Design!$B$40,Design!$B$42)/1000000)*T15/100/(IF(ISBLANK(Design!$B$33),Design!$B$32,Design!$B$33)*1000000))</f>
        <v>0.60673560386568992</v>
      </c>
      <c r="V15" s="183">
        <f>$B15*Constants!$C$21/1000+IF(ISBLANK(Design!$B$33),Design!$B$32,Design!$B$33)*1000000*Constants!$D$25/1000000000*($B15-Constants!$C$24)</f>
        <v>3.3936874999999984E-2</v>
      </c>
      <c r="W15" s="183">
        <f>$B15*R15*($B15/(Constants!$C$26*1000000000)*IF(ISBLANK(Design!$B$33),Design!$B$32,Design!$B$33)*1000000/2+$B15/(Constants!$C$27*1000000000)*IF(ISBLANK(Design!$B$33),Design!$B$32,Design!$B$33)*1000000/2)</f>
        <v>0.10959477951388881</v>
      </c>
      <c r="X15" s="183">
        <f t="shared" ca="1" si="1"/>
        <v>0.43352972591366529</v>
      </c>
      <c r="Y15" s="183">
        <f>Constants!$D$25/1000000000*Constants!$C$24*IF(ISBLANK(Design!$B$33),Design!$B$32,Design!$B$33)*1000000</f>
        <v>1.0624999999999999E-2</v>
      </c>
      <c r="Z15" s="183">
        <f t="shared" ca="1" si="10"/>
        <v>0.58768638042755406</v>
      </c>
      <c r="AA15" s="183">
        <f t="shared" ca="1" si="7"/>
        <v>0.32855573914384445</v>
      </c>
      <c r="AB15" s="184">
        <f ca="1">$A15+AA15*Design!$B$19</f>
        <v>103.72767713119913</v>
      </c>
      <c r="AC15" s="184">
        <f ca="1">Z15*Design!$C$12+$A15</f>
        <v>104.98133693453684</v>
      </c>
      <c r="AD15" s="184">
        <f ca="1">Constants!$D$22+Constants!$D$22*Constants!$C$23/100*(AC15-25)</f>
        <v>188.98506954762948</v>
      </c>
      <c r="AE15" s="183">
        <f ca="1">IF(100*(Design!$C$29+S15+R15*IF(ISBLANK(Design!$B$43),Constants!$C$6,Design!$B$43)/1000*(1+Constants!$C$36/100*(AC15-25)))/($B15+S15-R15*AD15/1000)&gt;Design!$C$36,  (1-Constants!$C$20/1000000000*IF(ISBLANK(Design!$B$33),Design!$B$32/4,Design!$B$33/4)*1000000) * ($B15+S15-R15*AD15/1000) - (S15+R15*(1+($A15-25)*Constants!$C$36/100)*IF(ISBLANK(Design!$B$43),Constants!$C$6/1000,Design!$B$43/1000)),   (1-Constants!$C$20/1000000000*IF(ISBLANK(Design!$B$33),Design!$B$32,Design!$B$33)*1000000) * ($B15+S15-R15*AD15/1000) - (S15+R15*(1+($A15-25)*Constants!$C$36/100)*IF(ISBLANK(Design!$B$43),Constants!$C$6/1000,Design!$B$43/1000)) )</f>
        <v>8.7690194102348809</v>
      </c>
      <c r="AF15" s="117">
        <f ca="1">IF(AE15&gt;Design!$C$29,Design!$C$29,AE15)</f>
        <v>4.9990521327014221</v>
      </c>
      <c r="AG15" s="118">
        <f>Design!$D$7/3</f>
        <v>1</v>
      </c>
      <c r="AH15" s="118">
        <f ca="1">FORECAST(AG15, OFFSET(Design!$C$15:$C$17,MATCH(AG15,Design!$B$15:$B$17,1)-1,0,2), OFFSET(Design!$B$15:$B$17,MATCH(AG15,Design!$B$15:$B$17,1)-1,0,2))+(AQ15-25)*Design!$B$18/1000</f>
        <v>0.31414571780370154</v>
      </c>
      <c r="AI15" s="194">
        <f ca="1">IF(100*(Design!$C$29+AH15+AG15*IF(ISBLANK(Design!$B$43),Constants!$C$6,Design!$B$43)/1000*(1+Constants!$C$36/100*(AR15-25)))/($B15+AH15-AG15*AS15/1000)&gt;Design!$C$36,Design!$C$37,100*(Design!$C$29+AH15+AG15*IF(ISBLANK(Design!$B$43),Constants!$C$6,Design!$B$43)/1000*(1+Constants!$C$36/100*(AR15-25)))/($B15+AH15-AG15*AS15/1000))</f>
        <v>54.895753166819873</v>
      </c>
      <c r="AJ15" s="119">
        <f ca="1">IF(($B15-AG15*IF(ISBLANK(Design!$B$43),Constants!$C$6,Design!$B$43)/1000*(1+Constants!$C$36/100*(AR15-25))-Design!$C$29)/(IF(ISBLANK(Design!$B$42),Design!$B$40,Design!$B$42)/1000000)*AI15/100/(IF(ISBLANK(Design!$B$33),Design!$B$32,Design!$B$33)*1000000)&lt;0,0,($B15-AG15*IF(ISBLANK(Design!$B$43),Constants!$C$6,Design!$B$43)/1000*(1+Constants!$C$36/100*(AR15-25))-Design!$C$29)/(IF(ISBLANK(Design!$B$42),Design!$B$40,Design!$B$42)/1000000)*AI15/100/(IF(ISBLANK(Design!$B$33),Design!$B$32,Design!$B$33)*1000000))</f>
        <v>0.59228590185516838</v>
      </c>
      <c r="AK15" s="195">
        <f>$B15*Constants!$C$21/1000+IF(ISBLANK(Design!$B$33),Design!$B$32,Design!$B$33)*1000000*Constants!$D$25/1000000000*($B15-Constants!$C$24)</f>
        <v>3.3936874999999984E-2</v>
      </c>
      <c r="AL15" s="195">
        <f>$B15*AG15*($B15/(Constants!$C$26*1000000000)*IF(ISBLANK(Design!$B$33),Design!$B$32,Design!$B$33)*1000000/2+$B15/(Constants!$C$27*1000000000)*IF(ISBLANK(Design!$B$33),Design!$B$32,Design!$B$33)*1000000/2)</f>
        <v>5.4797389756944405E-2</v>
      </c>
      <c r="AM15" s="195">
        <f t="shared" ca="1" si="2"/>
        <v>0.1008223744197015</v>
      </c>
      <c r="AN15" s="195">
        <f>Constants!$D$25/1000000000*Constants!$C$24*IF(ISBLANK(Design!$B$33),Design!$B$32,Design!$B$33)*1000000</f>
        <v>1.0624999999999999E-2</v>
      </c>
      <c r="AO15" s="195">
        <f t="shared" ca="1" si="11"/>
        <v>0.20018163917664589</v>
      </c>
      <c r="AP15" s="195">
        <f t="shared" ca="1" si="9"/>
        <v>0.14169305997404705</v>
      </c>
      <c r="AQ15" s="196">
        <f ca="1">$A15+AP15*Design!$B$19</f>
        <v>93.076504418520685</v>
      </c>
      <c r="AR15" s="196">
        <f ca="1">AO15*Design!$C$12+$A15</f>
        <v>91.806175732005954</v>
      </c>
      <c r="AS15" s="196">
        <f ca="1">Constants!$D$22+Constants!$D$22*Constants!$C$23/100*(AR15-25)</f>
        <v>178.44494058560477</v>
      </c>
      <c r="AT15" s="195">
        <f ca="1">IF(100*(Design!$C$29+AH15+AG15*IF(ISBLANK(Design!$B$43),Constants!$C$6,Design!$B$43)/1000*(1+Constants!$C$36/100*(AR15-25)))/($B15+AH15-AG15*AS15/1000)&gt;Design!$C$36,  (1-Constants!$C$20/1000000000*IF(ISBLANK(Design!$B$33),Design!$B$32/4,Design!$B$33/4)*1000000) * ($B15+AH15-AG15*AS15/1000) - (AH15+AG15*(1+($A15-25)*Constants!$C$36/100)*IF(ISBLANK(Design!$B$43),Constants!$C$6/1000,Design!$B$43/1000)),   (1-Constants!$C$20/1000000000*IF(ISBLANK(Design!$B$33),Design!$B$32,Design!$B$33)*1000000) * ($B15+AH15-AG15*AS15/1000) - (AH15+AG15*(1+($A15-25)*Constants!$C$36/100)*IF(ISBLANK(Design!$B$43),Constants!$C$6/1000,Design!$B$43/1000)) )</f>
        <v>9.0126310155342093</v>
      </c>
      <c r="AU15" s="119">
        <f ca="1">IF(AT15&gt;Design!$C$29,Design!$C$29,AT15)</f>
        <v>4.9990521327014221</v>
      </c>
    </row>
    <row r="16" spans="1:47" s="120" customFormat="1" ht="12.75" customHeight="1" x14ac:dyDescent="0.2">
      <c r="A16" s="112">
        <f>Design!$D$13</f>
        <v>85</v>
      </c>
      <c r="B16" s="113">
        <f t="shared" si="3"/>
        <v>9.4199999999999964</v>
      </c>
      <c r="C16" s="114">
        <f>Design!$D$7</f>
        <v>3</v>
      </c>
      <c r="D16" s="114">
        <f ca="1">FORECAST(C16, OFFSET(Design!$C$15:$C$17,MATCH(C16,Design!$B$15:$B$17,1)-1,0,2), OFFSET(Design!$B$15:$B$17,MATCH(C16,Design!$B$15:$B$17,1)-1,0,2))+(M16-25)*Design!$B$18/1000</f>
        <v>0.3981628749279108</v>
      </c>
      <c r="E16" s="173">
        <f ca="1">IF(100*(Design!$C$29+D16+C16*IF(ISBLANK(Design!$B$43),Constants!$C$6,Design!$B$43)/1000*(1+Constants!$C$36/100*(N16-25)))/($B16+D16-C16*O16/1000)&gt;Design!$C$36,Design!$C$37,100*(Design!$C$29+D16+C16*IF(ISBLANK(Design!$B$43),Constants!$C$6,Design!$B$43)/1000*(1+Constants!$C$36/100*(N16-25)))/($B16+D16-C16*O16/1000))</f>
        <v>60.583403987130303</v>
      </c>
      <c r="F16" s="115">
        <f ca="1">IF(($B16-C16*IF(ISBLANK(Design!$B$43),Constants!$C$6,Design!$B$43)/1000*(1+Constants!$C$36/100*(N16-25))-Design!$C$29)/(IF(ISBLANK(Design!$B$42),Design!$B$40,Design!$B$42)/1000000)*E16/100/(IF(ISBLANK(Design!$B$33),Design!$B$32,Design!$B$33)*1000000)&lt;0, 0, ($B16-C16*IF(ISBLANK(Design!$B$43),Constants!$C$6,Design!$B$43)/1000*(1+Constants!$C$36/100*(N16-25))-Design!$C$29)/(IF(ISBLANK(Design!$B$42),Design!$B$40,Design!$B$42)/1000000)*E16/100/(IF(ISBLANK(Design!$B$33),Design!$B$32,Design!$B$33)*1000000))</f>
        <v>0.60598248474538896</v>
      </c>
      <c r="G16" s="165">
        <f>B16*Constants!$C$21/1000+IF(ISBLANK(Design!$B$33),Design!$B$32,Design!$B$33)*1000000*Constants!$D$25/1000000000*(B16-Constants!$C$24)</f>
        <v>3.2942499999999986E-2</v>
      </c>
      <c r="H16" s="165">
        <f>B16*C16*(B16/(Constants!$C$26*1000000000)*IF(ISBLANK(Design!$B$33),Design!$B$32,Design!$B$33)*1000000/2+B16/(Constants!$C$27*1000000000)*IF(ISBLANK(Design!$B$33),Design!$B$32,Design!$B$33)*1000000/2)</f>
        <v>0.15713737499999988</v>
      </c>
      <c r="I16" s="165">
        <f t="shared" ca="1" si="0"/>
        <v>1.1470542131750481</v>
      </c>
      <c r="J16" s="165">
        <f>Constants!$D$25/1000000000*Constants!$C$24*IF(ISBLANK(Design!$B$33),Design!$B$32,Design!$B$33)*1000000</f>
        <v>1.0624999999999999E-2</v>
      </c>
      <c r="K16" s="165">
        <f t="shared" ca="1" si="4"/>
        <v>1.3477590881750481</v>
      </c>
      <c r="L16" s="165">
        <f t="shared" ca="1" si="5"/>
        <v>0.47082675565068682</v>
      </c>
      <c r="M16" s="166">
        <f ca="1">A16+L16*Design!$B$19</f>
        <v>111.83712507208915</v>
      </c>
      <c r="N16" s="166">
        <f ca="1">K16*Design!$C$12+A16</f>
        <v>130.82380899795163</v>
      </c>
      <c r="O16" s="166">
        <f ca="1">Constants!$D$22+Constants!$D$22*Constants!$C$23/100*(N16-25)</f>
        <v>209.65904719836129</v>
      </c>
      <c r="P16" s="165">
        <f ca="1">IF(100*(Design!$C$29+D16+C16*IF(ISBLANK(Design!$B$43),Constants!$C$6,Design!$B$43)/1000*(1+Constants!$C$36/100*(N16-25)))/($B16+D16-C16*O16/1000)&gt;Design!$C$36,  (1-Constants!$C$20/1000000000*IF(ISBLANK(Design!$B$33),Design!$B$32/4,Design!$B$33/4)*1000000) * ($B16+D16-C16*O16/1000) - (D16+C16*(1+($A16-25)*Constants!$C$36/100)*IF(ISBLANK(Design!$B$43),Constants!$C$6/1000,Design!$B$43/1000)),   (1-Constants!$C$20/1000000000*IF(ISBLANK(Design!$B$33),Design!$B$32,Design!$B$33)*1000000) * ($B16+D16-C16*O16/1000) - (D16+C16*(1+($A16-25)*Constants!$C$36/100)*IF(ISBLANK(Design!$B$43),Constants!$C$6/1000,Design!$B$43/1000)) )</f>
        <v>8.2717134844215998</v>
      </c>
      <c r="Q16" s="171">
        <f ca="1">IF(P16&gt;Design!$C$29,Design!$C$29,P16)</f>
        <v>4.9990521327014221</v>
      </c>
      <c r="R16" s="181">
        <f>2*Design!$D$7/3</f>
        <v>2</v>
      </c>
      <c r="S16" s="116">
        <f ca="1">FORECAST(R16, OFFSET(Design!$C$15:$C$17,MATCH(R16,Design!$B$15:$B$17,1)-1,0,2), OFFSET(Design!$B$15:$B$17,MATCH(R16,Design!$B$15:$B$17,1)-1,0,2))+(AB16-25)*Design!$B$18/1000</f>
        <v>0.38181283870730048</v>
      </c>
      <c r="T16" s="182">
        <f ca="1">IF(100*(Design!$C$29+S16+R16*IF(ISBLANK(Design!$B$43),Constants!$C$6,Design!$B$43)/1000*(1+Constants!$C$36/100*(AC16-25)))/($B16+S16-R16*AD16/1000)&gt;Design!$C$36,Design!$C$37,100*(Design!$C$29+S16+R16*IF(ISBLANK(Design!$B$43),Constants!$C$6,Design!$B$43)/1000*(1+Constants!$C$36/100*(AC16-25)))/($B16+S16-R16*AD16/1000))</f>
        <v>58.21604556104478</v>
      </c>
      <c r="U16" s="117">
        <f ca="1">IF(($B16-R16*IF(ISBLANK(Design!$B$43),Constants!$C$6,Design!$B$43)/1000*(1+Constants!$C$36/100*(AC16-25))-Design!$C$29)/(Design!$B$42/1000000)*T16/100/(IF(ISBLANK(IF(ISBLANK(Design!$B$42),Design!$B$40,Design!$B$42)),Design!$B$32,Design!$B$33)*1000000)&lt;0,0,($B16-R16*IF(ISBLANK(Design!$B$43),Constants!$C$6,Design!$B$43)/1000*(1+Constants!$C$36/100*(AC16-25))-Design!$C$29)/(IF(ISBLANK(Design!$B$42),Design!$B$40,Design!$B$42)/1000000)*T16/100/(IF(ISBLANK(Design!$B$33),Design!$B$32,Design!$B$33)*1000000))</f>
        <v>0.59116777269745457</v>
      </c>
      <c r="V16" s="183">
        <f>$B16*Constants!$C$21/1000+IF(ISBLANK(Design!$B$33),Design!$B$32,Design!$B$33)*1000000*Constants!$D$25/1000000000*($B16-Constants!$C$24)</f>
        <v>3.2942499999999986E-2</v>
      </c>
      <c r="W16" s="183">
        <f>$B16*R16*($B16/(Constants!$C$26*1000000000)*IF(ISBLANK(Design!$B$33),Design!$B$32,Design!$B$33)*1000000/2+$B16/(Constants!$C$27*1000000000)*IF(ISBLANK(Design!$B$33),Design!$B$32,Design!$B$33)*1000000/2)</f>
        <v>0.10475824999999991</v>
      </c>
      <c r="X16" s="183">
        <f t="shared" ca="1" si="1"/>
        <v>0.44354994856239183</v>
      </c>
      <c r="Y16" s="183">
        <f>Constants!$D$25/1000000000*Constants!$C$24*IF(ISBLANK(Design!$B$33),Design!$B$32,Design!$B$33)*1000000</f>
        <v>1.0624999999999999E-2</v>
      </c>
      <c r="Z16" s="183">
        <f t="shared" ca="1" si="10"/>
        <v>0.59187569856239175</v>
      </c>
      <c r="AA16" s="183">
        <f t="shared" ca="1" si="7"/>
        <v>0.31907300513508002</v>
      </c>
      <c r="AB16" s="184">
        <f ca="1">$A16+AA16*Design!$B$19</f>
        <v>103.18716129269956</v>
      </c>
      <c r="AC16" s="184">
        <f ca="1">Z16*Design!$C$12+$A16</f>
        <v>105.12377375112132</v>
      </c>
      <c r="AD16" s="184">
        <f ca="1">Constants!$D$22+Constants!$D$22*Constants!$C$23/100*(AC16-25)</f>
        <v>189.09901900089704</v>
      </c>
      <c r="AE16" s="183">
        <f ca="1">IF(100*(Design!$C$29+S16+R16*IF(ISBLANK(Design!$B$43),Constants!$C$6,Design!$B$43)/1000*(1+Constants!$C$36/100*(AC16-25)))/($B16+S16-R16*AD16/1000)&gt;Design!$C$36,  (1-Constants!$C$20/1000000000*IF(ISBLANK(Design!$B$33),Design!$B$32/4,Design!$B$33/4)*1000000) * ($B16+S16-R16*AD16/1000) - (S16+R16*(1+($A16-25)*Constants!$C$36/100)*IF(ISBLANK(Design!$B$43),Constants!$C$6/1000,Design!$B$43/1000)),   (1-Constants!$C$20/1000000000*IF(ISBLANK(Design!$B$33),Design!$B$32,Design!$B$33)*1000000) * ($B16+S16-R16*AD16/1000) - (S16+R16*(1+($A16-25)*Constants!$C$36/100)*IF(ISBLANK(Design!$B$43),Constants!$C$6/1000,Design!$B$43/1000)) )</f>
        <v>8.562459514419718</v>
      </c>
      <c r="AF16" s="117">
        <f ca="1">IF(AE16&gt;Design!$C$29,Design!$C$29,AE16)</f>
        <v>4.9990521327014221</v>
      </c>
      <c r="AG16" s="118">
        <f>Design!$D$7/3</f>
        <v>1</v>
      </c>
      <c r="AH16" s="118">
        <f ca="1">FORECAST(AG16, OFFSET(Design!$C$15:$C$17,MATCH(AG16,Design!$B$15:$B$17,1)-1,0,2), OFFSET(Design!$B$15:$B$17,MATCH(AG16,Design!$B$15:$B$17,1)-1,0,2))+(AQ16-25)*Design!$B$18/1000</f>
        <v>0.31436161336820212</v>
      </c>
      <c r="AI16" s="194">
        <f ca="1">IF(100*(Design!$C$29+AH16+AG16*IF(ISBLANK(Design!$B$43),Constants!$C$6,Design!$B$43)/1000*(1+Constants!$C$36/100*(AR16-25)))/($B16+AH16-AG16*AS16/1000)&gt;Design!$C$36,Design!$C$37,100*(Design!$C$29+AH16+AG16*IF(ISBLANK(Design!$B$43),Constants!$C$6,Design!$B$43)/1000*(1+Constants!$C$36/100*(AR16-25)))/($B16+AH16-AG16*AS16/1000))</f>
        <v>56.131597298409062</v>
      </c>
      <c r="AJ16" s="119">
        <f ca="1">IF(($B16-AG16*IF(ISBLANK(Design!$B$43),Constants!$C$6,Design!$B$43)/1000*(1+Constants!$C$36/100*(AR16-25))-Design!$C$29)/(IF(ISBLANK(Design!$B$42),Design!$B$40,Design!$B$42)/1000000)*AI16/100/(IF(ISBLANK(Design!$B$33),Design!$B$32,Design!$B$33)*1000000)&lt;0,0,($B16-AG16*IF(ISBLANK(Design!$B$43),Constants!$C$6,Design!$B$43)/1000*(1+Constants!$C$36/100*(AR16-25))-Design!$C$29)/(IF(ISBLANK(Design!$B$42),Design!$B$40,Design!$B$42)/1000000)*AI16/100/(IF(ISBLANK(Design!$B$33),Design!$B$32,Design!$B$33)*1000000))</f>
        <v>0.57722471640986062</v>
      </c>
      <c r="AK16" s="195">
        <f>$B16*Constants!$C$21/1000+IF(ISBLANK(Design!$B$33),Design!$B$32,Design!$B$33)*1000000*Constants!$D$25/1000000000*($B16-Constants!$C$24)</f>
        <v>3.2942499999999986E-2</v>
      </c>
      <c r="AL16" s="195">
        <f>$B16*AG16*($B16/(Constants!$C$26*1000000000)*IF(ISBLANK(Design!$B$33),Design!$B$32,Design!$B$33)*1000000/2+$B16/(Constants!$C$27*1000000000)*IF(ISBLANK(Design!$B$33),Design!$B$32,Design!$B$33)*1000000/2)</f>
        <v>5.2379124999999957E-2</v>
      </c>
      <c r="AM16" s="195">
        <f t="shared" ca="1" si="2"/>
        <v>0.10292455532655959</v>
      </c>
      <c r="AN16" s="195">
        <f>Constants!$D$25/1000000000*Constants!$C$24*IF(ISBLANK(Design!$B$33),Design!$B$32,Design!$B$33)*1000000</f>
        <v>1.0624999999999999E-2</v>
      </c>
      <c r="AO16" s="195">
        <f t="shared" ca="1" si="11"/>
        <v>0.19887118032655954</v>
      </c>
      <c r="AP16" s="195">
        <f t="shared" ca="1" si="9"/>
        <v>0.13790541849158122</v>
      </c>
      <c r="AQ16" s="196">
        <f ca="1">$A16+AP16*Design!$B$19</f>
        <v>92.860608854020128</v>
      </c>
      <c r="AR16" s="196">
        <f ca="1">AO16*Design!$C$12+$A16</f>
        <v>91.76162013110303</v>
      </c>
      <c r="AS16" s="196">
        <f ca="1">Constants!$D$22+Constants!$D$22*Constants!$C$23/100*(AR16-25)</f>
        <v>178.40929610488243</v>
      </c>
      <c r="AT16" s="195">
        <f ca="1">IF(100*(Design!$C$29+AH16+AG16*IF(ISBLANK(Design!$B$43),Constants!$C$6,Design!$B$43)/1000*(1+Constants!$C$36/100*(AR16-25)))/($B16+AH16-AG16*AS16/1000)&gt;Design!$C$36,  (1-Constants!$C$20/1000000000*IF(ISBLANK(Design!$B$33),Design!$B$32/4,Design!$B$33/4)*1000000) * ($B16+AH16-AG16*AS16/1000) - (AH16+AG16*(1+($A16-25)*Constants!$C$36/100)*IF(ISBLANK(Design!$B$43),Constants!$C$6/1000,Design!$B$43/1000)),   (1-Constants!$C$20/1000000000*IF(ISBLANK(Design!$B$33),Design!$B$32,Design!$B$33)*1000000) * ($B16+AH16-AG16*AS16/1000) - (AH16+AG16*(1+($A16-25)*Constants!$C$36/100)*IF(ISBLANK(Design!$B$43),Constants!$C$6/1000,Design!$B$43/1000)) )</f>
        <v>8.8063371290856072</v>
      </c>
      <c r="AU16" s="119">
        <f ca="1">IF(AT16&gt;Design!$C$29,Design!$C$29,AT16)</f>
        <v>4.9990521327014221</v>
      </c>
    </row>
    <row r="17" spans="1:47" s="120" customFormat="1" ht="12.75" customHeight="1" x14ac:dyDescent="0.2">
      <c r="A17" s="112">
        <f>Design!$D$13</f>
        <v>85</v>
      </c>
      <c r="B17" s="113">
        <f t="shared" si="3"/>
        <v>9.2049999999999965</v>
      </c>
      <c r="C17" s="114">
        <f>Design!$D$7</f>
        <v>3</v>
      </c>
      <c r="D17" s="114">
        <f ca="1">FORECAST(C17, OFFSET(Design!$C$15:$C$17,MATCH(C17,Design!$B$15:$B$17,1)-1,0,2), OFFSET(Design!$B$15:$B$17,MATCH(C17,Design!$B$15:$B$17,1)-1,0,2))+(M17-25)*Design!$B$18/1000</f>
        <v>0.39910440018795768</v>
      </c>
      <c r="E17" s="173">
        <f ca="1">IF(100*(Design!$C$29+D17+C17*IF(ISBLANK(Design!$B$43),Constants!$C$6,Design!$B$43)/1000*(1+Constants!$C$36/100*(N17-25)))/($B17+D17-C17*O17/1000)&gt;Design!$C$36,Design!$C$37,100*(Design!$C$29+D17+C17*IF(ISBLANK(Design!$B$43),Constants!$C$6,Design!$B$43)/1000*(1+Constants!$C$36/100*(N17-25)))/($B17+D17-C17*O17/1000))</f>
        <v>62.055979302795187</v>
      </c>
      <c r="F17" s="115">
        <f ca="1">IF(($B17-C17*IF(ISBLANK(Design!$B$43),Constants!$C$6,Design!$B$43)/1000*(1+Constants!$C$36/100*(N17-25))-Design!$C$29)/(IF(ISBLANK(Design!$B$42),Design!$B$40,Design!$B$42)/1000000)*E17/100/(IF(ISBLANK(Design!$B$33),Design!$B$32,Design!$B$33)*1000000)&lt;0, 0, ($B17-C17*IF(ISBLANK(Design!$B$43),Constants!$C$6,Design!$B$43)/1000*(1+Constants!$C$36/100*(N17-25))-Design!$C$29)/(IF(ISBLANK(Design!$B$42),Design!$B$40,Design!$B$42)/1000000)*E17/100/(IF(ISBLANK(Design!$B$33),Design!$B$32,Design!$B$33)*1000000))</f>
        <v>0.58926474027162401</v>
      </c>
      <c r="G17" s="165">
        <f>B17*Constants!$C$21/1000+IF(ISBLANK(Design!$B$33),Design!$B$32,Design!$B$33)*1000000*Constants!$D$25/1000000000*(B17-Constants!$C$24)</f>
        <v>3.1948124999999987E-2</v>
      </c>
      <c r="H17" s="165">
        <f>B17*C17*(B17/(Constants!$C$26*1000000000)*IF(ISBLANK(Design!$B$33),Design!$B$32,Design!$B$33)*1000000/2+B17/(Constants!$C$27*1000000000)*IF(ISBLANK(Design!$B$33),Design!$B$32,Design!$B$33)*1000000/2)</f>
        <v>0.15004629427083321</v>
      </c>
      <c r="I17" s="165">
        <f t="shared" ca="1" si="0"/>
        <v>1.1782388852424313</v>
      </c>
      <c r="J17" s="165">
        <f>Constants!$D$25/1000000000*Constants!$C$24*IF(ISBLANK(Design!$B$33),Design!$B$32,Design!$B$33)*1000000</f>
        <v>1.0624999999999999E-2</v>
      </c>
      <c r="K17" s="165">
        <f t="shared" ca="1" si="4"/>
        <v>1.3708583045132645</v>
      </c>
      <c r="L17" s="165">
        <f t="shared" ca="1" si="5"/>
        <v>0.45430876863232134</v>
      </c>
      <c r="M17" s="166">
        <f ca="1">A17+L17*Design!$B$19</f>
        <v>110.89559981204232</v>
      </c>
      <c r="N17" s="166">
        <f ca="1">K17*Design!$C$12+A17</f>
        <v>131.60918235345099</v>
      </c>
      <c r="O17" s="166">
        <f ca="1">Constants!$D$22+Constants!$D$22*Constants!$C$23/100*(N17-25)</f>
        <v>210.2873458827608</v>
      </c>
      <c r="P17" s="165">
        <f ca="1">IF(100*(Design!$C$29+D17+C17*IF(ISBLANK(Design!$B$43),Constants!$C$6,Design!$B$43)/1000*(1+Constants!$C$36/100*(N17-25)))/($B17+D17-C17*O17/1000)&gt;Design!$C$36,  (1-Constants!$C$20/1000000000*IF(ISBLANK(Design!$B$33),Design!$B$32/4,Design!$B$33/4)*1000000) * ($B17+D17-C17*O17/1000) - (D17+C17*(1+($A17-25)*Constants!$C$36/100)*IF(ISBLANK(Design!$B$43),Constants!$C$6/1000,Design!$B$43/1000)),   (1-Constants!$C$20/1000000000*IF(ISBLANK(Design!$B$33),Design!$B$32,Design!$B$33)*1000000) * ($B17+D17-C17*O17/1000) - (D17+C17*(1+($A17-25)*Constants!$C$36/100)*IF(ISBLANK(Design!$B$43),Constants!$C$6/1000,Design!$B$43/1000)) )</f>
        <v>8.0635473019641744</v>
      </c>
      <c r="Q17" s="171">
        <f ca="1">IF(P17&gt;Design!$C$29,Design!$C$29,P17)</f>
        <v>4.9990521327014221</v>
      </c>
      <c r="R17" s="181">
        <f>2*Design!$D$7/3</f>
        <v>2</v>
      </c>
      <c r="S17" s="116">
        <f ca="1">FORECAST(R17, OFFSET(Design!$C$15:$C$17,MATCH(R17,Design!$B$15:$B$17,1)-1,0,2), OFFSET(Design!$B$15:$B$17,MATCH(R17,Design!$B$15:$B$17,1)-1,0,2))+(AB17-25)*Design!$B$18/1000</f>
        <v>0.38238037000770603</v>
      </c>
      <c r="T17" s="182">
        <f ca="1">IF(100*(Design!$C$29+S17+R17*IF(ISBLANK(Design!$B$43),Constants!$C$6,Design!$B$43)/1000*(1+Constants!$C$36/100*(AC17-25)))/($B17+S17-R17*AD17/1000)&gt;Design!$C$36,Design!$C$37,100*(Design!$C$29+S17+R17*IF(ISBLANK(Design!$B$43),Constants!$C$6,Design!$B$43)/1000*(1+Constants!$C$36/100*(AC17-25)))/($B17+S17-R17*AD17/1000))</f>
        <v>59.57999679114662</v>
      </c>
      <c r="U17" s="117">
        <f ca="1">IF(($B17-R17*IF(ISBLANK(Design!$B$43),Constants!$C$6,Design!$B$43)/1000*(1+Constants!$C$36/100*(AC17-25))-Design!$C$29)/(Design!$B$42/1000000)*T17/100/(IF(ISBLANK(IF(ISBLANK(Design!$B$42),Design!$B$40,Design!$B$42)),Design!$B$32,Design!$B$33)*1000000)&lt;0,0,($B17-R17*IF(ISBLANK(Design!$B$43),Constants!$C$6,Design!$B$43)/1000*(1+Constants!$C$36/100*(AC17-25))-Design!$C$29)/(IF(ISBLANK(Design!$B$42),Design!$B$40,Design!$B$42)/1000000)*T17/100/(IF(ISBLANK(Design!$B$33),Design!$B$32,Design!$B$33)*1000000))</f>
        <v>0.57487064837365687</v>
      </c>
      <c r="V17" s="183">
        <f>$B17*Constants!$C$21/1000+IF(ISBLANK(Design!$B$33),Design!$B$32,Design!$B$33)*1000000*Constants!$D$25/1000000000*($B17-Constants!$C$24)</f>
        <v>3.1948124999999987E-2</v>
      </c>
      <c r="W17" s="183">
        <f>$B17*R17*($B17/(Constants!$C$26*1000000000)*IF(ISBLANK(Design!$B$33),Design!$B$32,Design!$B$33)*1000000/2+$B17/(Constants!$C$27*1000000000)*IF(ISBLANK(Design!$B$33),Design!$B$32,Design!$B$33)*1000000/2)</f>
        <v>0.10003086284722214</v>
      </c>
      <c r="X17" s="183">
        <f t="shared" ca="1" si="1"/>
        <v>0.45407717126629726</v>
      </c>
      <c r="Y17" s="183">
        <f>Constants!$D$25/1000000000*Constants!$C$24*IF(ISBLANK(Design!$B$33),Design!$B$32,Design!$B$33)*1000000</f>
        <v>1.0624999999999999E-2</v>
      </c>
      <c r="Z17" s="183">
        <f t="shared" ca="1" si="10"/>
        <v>0.59668115911351938</v>
      </c>
      <c r="AA17" s="183">
        <f t="shared" ca="1" si="7"/>
        <v>0.30911631565428044</v>
      </c>
      <c r="AB17" s="184">
        <f ca="1">$A17+AA17*Design!$B$19</f>
        <v>102.61962999229398</v>
      </c>
      <c r="AC17" s="184">
        <f ca="1">Z17*Design!$C$12+$A17</f>
        <v>105.28715940985965</v>
      </c>
      <c r="AD17" s="184">
        <f ca="1">Constants!$D$22+Constants!$D$22*Constants!$C$23/100*(AC17-25)</f>
        <v>189.22972752788775</v>
      </c>
      <c r="AE17" s="183">
        <f ca="1">IF(100*(Design!$C$29+S17+R17*IF(ISBLANK(Design!$B$43),Constants!$C$6,Design!$B$43)/1000*(1+Constants!$C$36/100*(AC17-25)))/($B17+S17-R17*AD17/1000)&gt;Design!$C$36,  (1-Constants!$C$20/1000000000*IF(ISBLANK(Design!$B$33),Design!$B$32/4,Design!$B$33/4)*1000000) * ($B17+S17-R17*AD17/1000) - (S17+R17*(1+($A17-25)*Constants!$C$36/100)*IF(ISBLANK(Design!$B$43),Constants!$C$6/1000,Design!$B$43/1000)),   (1-Constants!$C$20/1000000000*IF(ISBLANK(Design!$B$33),Design!$B$32,Design!$B$33)*1000000) * ($B17+S17-R17*AD17/1000) - (S17+R17*(1+($A17-25)*Constants!$C$36/100)*IF(ISBLANK(Design!$B$43),Constants!$C$6/1000,Design!$B$43/1000)) )</f>
        <v>8.3558663630030363</v>
      </c>
      <c r="AF17" s="117">
        <f ca="1">IF(AE17&gt;Design!$C$29,Design!$C$29,AE17)</f>
        <v>4.9990521327014221</v>
      </c>
      <c r="AG17" s="118">
        <f>Design!$D$7/3</f>
        <v>1</v>
      </c>
      <c r="AH17" s="118">
        <f ca="1">FORECAST(AG17, OFFSET(Design!$C$15:$C$17,MATCH(AG17,Design!$B$15:$B$17,1)-1,0,2), OFFSET(Design!$B$15:$B$17,MATCH(AG17,Design!$B$15:$B$17,1)-1,0,2))+(AQ17-25)*Design!$B$18/1000</f>
        <v>0.31458776741754652</v>
      </c>
      <c r="AI17" s="194">
        <f ca="1">IF(100*(Design!$C$29+AH17+AG17*IF(ISBLANK(Design!$B$43),Constants!$C$6,Design!$B$43)/1000*(1+Constants!$C$36/100*(AR17-25)))/($B17+AH17-AG17*AS17/1000)&gt;Design!$C$36,Design!$C$37,100*(Design!$C$29+AH17+AG17*IF(ISBLANK(Design!$B$43),Constants!$C$6,Design!$B$43)/1000*(1+Constants!$C$36/100*(AR17-25)))/($B17+AH17-AG17*AS17/1000))</f>
        <v>57.424344662127588</v>
      </c>
      <c r="AJ17" s="119">
        <f ca="1">IF(($B17-AG17*IF(ISBLANK(Design!$B$43),Constants!$C$6,Design!$B$43)/1000*(1+Constants!$C$36/100*(AR17-25))-Design!$C$29)/(IF(ISBLANK(Design!$B$42),Design!$B$40,Design!$B$42)/1000000)*AI17/100/(IF(ISBLANK(Design!$B$33),Design!$B$32,Design!$B$33)*1000000)&lt;0,0,($B17-AG17*IF(ISBLANK(Design!$B$43),Constants!$C$6,Design!$B$43)/1000*(1+Constants!$C$36/100*(AR17-25))-Design!$C$29)/(IF(ISBLANK(Design!$B$42),Design!$B$40,Design!$B$42)/1000000)*AI17/100/(IF(ISBLANK(Design!$B$33),Design!$B$32,Design!$B$33)*1000000))</f>
        <v>0.56146945349227495</v>
      </c>
      <c r="AK17" s="195">
        <f>$B17*Constants!$C$21/1000+IF(ISBLANK(Design!$B$33),Design!$B$32,Design!$B$33)*1000000*Constants!$D$25/1000000000*($B17-Constants!$C$24)</f>
        <v>3.1948124999999987E-2</v>
      </c>
      <c r="AL17" s="195">
        <f>$B17*AG17*($B17/(Constants!$C$26*1000000000)*IF(ISBLANK(Design!$B$33),Design!$B$32,Design!$B$33)*1000000/2+$B17/(Constants!$C$27*1000000000)*IF(ISBLANK(Design!$B$33),Design!$B$32,Design!$B$33)*1000000/2)</f>
        <v>5.0015431423611069E-2</v>
      </c>
      <c r="AM17" s="195">
        <f t="shared" ca="1" si="2"/>
        <v>0.10512322324270533</v>
      </c>
      <c r="AN17" s="195">
        <f>Constants!$D$25/1000000000*Constants!$C$24*IF(ISBLANK(Design!$B$33),Design!$B$32,Design!$B$33)*1000000</f>
        <v>1.0624999999999999E-2</v>
      </c>
      <c r="AO17" s="195">
        <f t="shared" ca="1" si="11"/>
        <v>0.19771177966631637</v>
      </c>
      <c r="AP17" s="195">
        <f t="shared" ca="1" si="9"/>
        <v>0.13393780359080229</v>
      </c>
      <c r="AQ17" s="196">
        <f ca="1">$A17+AP17*Design!$B$19</f>
        <v>92.634454804675727</v>
      </c>
      <c r="AR17" s="196">
        <f ca="1">AO17*Design!$C$12+$A17</f>
        <v>91.722200508654751</v>
      </c>
      <c r="AS17" s="196">
        <f ca="1">Constants!$D$22+Constants!$D$22*Constants!$C$23/100*(AR17-25)</f>
        <v>178.37776040692381</v>
      </c>
      <c r="AT17" s="195">
        <f ca="1">IF(100*(Design!$C$29+AH17+AG17*IF(ISBLANK(Design!$B$43),Constants!$C$6,Design!$B$43)/1000*(1+Constants!$C$36/100*(AR17-25)))/($B17+AH17-AG17*AS17/1000)&gt;Design!$C$36,  (1-Constants!$C$20/1000000000*IF(ISBLANK(Design!$B$33),Design!$B$32/4,Design!$B$33/4)*1000000) * ($B17+AH17-AG17*AS17/1000) - (AH17+AG17*(1+($A17-25)*Constants!$C$36/100)*IF(ISBLANK(Design!$B$43),Constants!$C$6/1000,Design!$B$43/1000)),   (1-Constants!$C$20/1000000000*IF(ISBLANK(Design!$B$33),Design!$B$32,Design!$B$33)*1000000) * ($B17+AH17-AG17*AS17/1000) - (AH17+AG17*(1+($A17-25)*Constants!$C$36/100)*IF(ISBLANK(Design!$B$43),Constants!$C$6/1000,Design!$B$43/1000)) )</f>
        <v>8.6000388855600161</v>
      </c>
      <c r="AU17" s="119">
        <f ca="1">IF(AT17&gt;Design!$C$29,Design!$C$29,AT17)</f>
        <v>4.9990521327014221</v>
      </c>
    </row>
    <row r="18" spans="1:47" s="120" customFormat="1" ht="12.75" customHeight="1" x14ac:dyDescent="0.2">
      <c r="A18" s="112">
        <f>Design!$D$13</f>
        <v>85</v>
      </c>
      <c r="B18" s="113">
        <f t="shared" si="3"/>
        <v>8.9899999999999967</v>
      </c>
      <c r="C18" s="114">
        <f>Design!$D$7</f>
        <v>3</v>
      </c>
      <c r="D18" s="114">
        <f ca="1">FORECAST(C18, OFFSET(Design!$C$15:$C$17,MATCH(C18,Design!$B$15:$B$17,1)-1,0,2), OFFSET(Design!$B$15:$B$17,MATCH(C18,Design!$B$15:$B$17,1)-1,0,2))+(M18-25)*Design!$B$18/1000</f>
        <v>0.40009832433070075</v>
      </c>
      <c r="E18" s="173">
        <f ca="1">IF(100*(Design!$C$29+D18+C18*IF(ISBLANK(Design!$B$43),Constants!$C$6,Design!$B$43)/1000*(1+Constants!$C$36/100*(N18-25)))/($B18+D18-C18*O18/1000)&gt;Design!$C$36,Design!$C$37,100*(Design!$C$29+D18+C18*IF(ISBLANK(Design!$B$43),Constants!$C$6,Design!$B$43)/1000*(1+Constants!$C$36/100*(N18-25)))/($B18+D18-C18*O18/1000))</f>
        <v>63.602988198715323</v>
      </c>
      <c r="F18" s="115">
        <f ca="1">IF(($B18-C18*IF(ISBLANK(Design!$B$43),Constants!$C$6,Design!$B$43)/1000*(1+Constants!$C$36/100*(N18-25))-Design!$C$29)/(IF(ISBLANK(Design!$B$42),Design!$B$40,Design!$B$42)/1000000)*E18/100/(IF(ISBLANK(Design!$B$33),Design!$B$32,Design!$B$33)*1000000)&lt;0, 0, ($B18-C18*IF(ISBLANK(Design!$B$43),Constants!$C$6,Design!$B$43)/1000*(1+Constants!$C$36/100*(N18-25))-Design!$C$29)/(IF(ISBLANK(Design!$B$42),Design!$B$40,Design!$B$42)/1000000)*E18/100/(IF(ISBLANK(Design!$B$33),Design!$B$32,Design!$B$33)*1000000))</f>
        <v>0.57171868314558394</v>
      </c>
      <c r="G18" s="165">
        <f>B18*Constants!$C$21/1000+IF(ISBLANK(Design!$B$33),Design!$B$32,Design!$B$33)*1000000*Constants!$D$25/1000000000*(B18-Constants!$C$24)</f>
        <v>3.0953749999999985E-2</v>
      </c>
      <c r="H18" s="165">
        <f>B18*C18*(B18/(Constants!$C$26*1000000000)*IF(ISBLANK(Design!$B$33),Design!$B$32,Design!$B$33)*1000000/2+B18/(Constants!$C$27*1000000000)*IF(ISBLANK(Design!$B$33),Design!$B$32,Design!$B$33)*1000000/2)</f>
        <v>0.14311892708333324</v>
      </c>
      <c r="I18" s="165">
        <f t="shared" ca="1" si="0"/>
        <v>1.2113124403718054</v>
      </c>
      <c r="J18" s="165">
        <f>Constants!$D$25/1000000000*Constants!$C$24*IF(ISBLANK(Design!$B$33),Design!$B$32,Design!$B$33)*1000000</f>
        <v>1.0624999999999999E-2</v>
      </c>
      <c r="K18" s="165">
        <f t="shared" ca="1" si="4"/>
        <v>1.3960101174551387</v>
      </c>
      <c r="L18" s="165">
        <f t="shared" ca="1" si="5"/>
        <v>0.43687150297016214</v>
      </c>
      <c r="M18" s="166">
        <f ca="1">A18+L18*Design!$B$19</f>
        <v>109.90167566929924</v>
      </c>
      <c r="N18" s="166">
        <f ca="1">K18*Design!$C$12+A18</f>
        <v>132.4643439934747</v>
      </c>
      <c r="O18" s="166">
        <f ca="1">Constants!$D$22+Constants!$D$22*Constants!$C$23/100*(N18-25)</f>
        <v>210.97147519477977</v>
      </c>
      <c r="P18" s="165">
        <f ca="1">IF(100*(Design!$C$29+D18+C18*IF(ISBLANK(Design!$B$43),Constants!$C$6,Design!$B$43)/1000*(1+Constants!$C$36/100*(N18-25)))/($B18+D18-C18*O18/1000)&gt;Design!$C$36,  (1-Constants!$C$20/1000000000*IF(ISBLANK(Design!$B$33),Design!$B$32/4,Design!$B$33/4)*1000000) * ($B18+D18-C18*O18/1000) - (D18+C18*(1+($A18-25)*Constants!$C$36/100)*IF(ISBLANK(Design!$B$43),Constants!$C$6/1000,Design!$B$43/1000)),   (1-Constants!$C$20/1000000000*IF(ISBLANK(Design!$B$33),Design!$B$32,Design!$B$33)*1000000) * ($B18+D18-C18*O18/1000) - (D18+C18*(1+($A18-25)*Constants!$C$36/100)*IF(ISBLANK(Design!$B$43),Constants!$C$6/1000,Design!$B$43/1000)) )</f>
        <v>7.8552182745037733</v>
      </c>
      <c r="Q18" s="171">
        <f ca="1">IF(P18&gt;Design!$C$29,Design!$C$29,P18)</f>
        <v>4.9990521327014221</v>
      </c>
      <c r="R18" s="181">
        <f>2*Design!$D$7/3</f>
        <v>2</v>
      </c>
      <c r="S18" s="116">
        <f ca="1">FORECAST(R18, OFFSET(Design!$C$15:$C$17,MATCH(R18,Design!$B$15:$B$17,1)-1,0,2), OFFSET(Design!$B$15:$B$17,MATCH(R18,Design!$B$15:$B$17,1)-1,0,2))+(AB18-25)*Design!$B$18/1000</f>
        <v>0.38297699457493223</v>
      </c>
      <c r="T18" s="182">
        <f ca="1">IF(100*(Design!$C$29+S18+R18*IF(ISBLANK(Design!$B$43),Constants!$C$6,Design!$B$43)/1000*(1+Constants!$C$36/100*(AC18-25)))/($B18+S18-R18*AD18/1000)&gt;Design!$C$36,Design!$C$37,100*(Design!$C$29+S18+R18*IF(ISBLANK(Design!$B$43),Constants!$C$6,Design!$B$43)/1000*(1+Constants!$C$36/100*(AC18-25)))/($B18+S18-R18*AD18/1000))</f>
        <v>61.009509420387282</v>
      </c>
      <c r="U18" s="117">
        <f ca="1">IF(($B18-R18*IF(ISBLANK(Design!$B$43),Constants!$C$6,Design!$B$43)/1000*(1+Constants!$C$36/100*(AC18-25))-Design!$C$29)/(Design!$B$42/1000000)*T18/100/(IF(ISBLANK(IF(ISBLANK(Design!$B$42),Design!$B$40,Design!$B$42)),Design!$B$32,Design!$B$33)*1000000)&lt;0,0,($B18-R18*IF(ISBLANK(Design!$B$43),Constants!$C$6,Design!$B$43)/1000*(1+Constants!$C$36/100*(AC18-25))-Design!$C$29)/(IF(ISBLANK(Design!$B$42),Design!$B$40,Design!$B$42)/1000000)*T18/100/(IF(ISBLANK(Design!$B$33),Design!$B$32,Design!$B$33)*1000000))</f>
        <v>0.55779160015900686</v>
      </c>
      <c r="V18" s="183">
        <f>$B18*Constants!$C$21/1000+IF(ISBLANK(Design!$B$33),Design!$B$32,Design!$B$33)*1000000*Constants!$D$25/1000000000*($B18-Constants!$C$24)</f>
        <v>3.0953749999999985E-2</v>
      </c>
      <c r="W18" s="183">
        <f>$B18*R18*($B18/(Constants!$C$26*1000000000)*IF(ISBLANK(Design!$B$33),Design!$B$32,Design!$B$33)*1000000/2+$B18/(Constants!$C$27*1000000000)*IF(ISBLANK(Design!$B$33),Design!$B$32,Design!$B$33)*1000000/2)</f>
        <v>9.5412618055555481E-2</v>
      </c>
      <c r="X18" s="183">
        <f t="shared" ca="1" si="1"/>
        <v>0.46515064101903175</v>
      </c>
      <c r="Y18" s="183">
        <f>Constants!$D$25/1000000000*Constants!$C$24*IF(ISBLANK(Design!$B$33),Design!$B$32,Design!$B$33)*1000000</f>
        <v>1.0624999999999999E-2</v>
      </c>
      <c r="Z18" s="183">
        <f t="shared" ca="1" si="10"/>
        <v>0.60214200907458715</v>
      </c>
      <c r="AA18" s="183">
        <f t="shared" ca="1" si="7"/>
        <v>0.29864921798364569</v>
      </c>
      <c r="AB18" s="184">
        <f ca="1">$A18+AA18*Design!$B$19</f>
        <v>102.02300542506781</v>
      </c>
      <c r="AC18" s="184">
        <f ca="1">Z18*Design!$C$12+$A18</f>
        <v>105.47282830853597</v>
      </c>
      <c r="AD18" s="184">
        <f ca="1">Constants!$D$22+Constants!$D$22*Constants!$C$23/100*(AC18-25)</f>
        <v>189.37826264682877</v>
      </c>
      <c r="AE18" s="183">
        <f ca="1">IF(100*(Design!$C$29+S18+R18*IF(ISBLANK(Design!$B$43),Constants!$C$6,Design!$B$43)/1000*(1+Constants!$C$36/100*(AC18-25)))/($B18+S18-R18*AD18/1000)&gt;Design!$C$36,  (1-Constants!$C$20/1000000000*IF(ISBLANK(Design!$B$33),Design!$B$32/4,Design!$B$33/4)*1000000) * ($B18+S18-R18*AD18/1000) - (S18+R18*(1+($A18-25)*Constants!$C$36/100)*IF(ISBLANK(Design!$B$43),Constants!$C$6/1000,Design!$B$43/1000)),   (1-Constants!$C$20/1000000000*IF(ISBLANK(Design!$B$33),Design!$B$32,Design!$B$33)*1000000) * ($B18+S18-R18*AD18/1000) - (S18+R18*(1+($A18-25)*Constants!$C$36/100)*IF(ISBLANK(Design!$B$43),Constants!$C$6/1000,Design!$B$43/1000)) )</f>
        <v>8.1492378232591065</v>
      </c>
      <c r="AF18" s="117">
        <f ca="1">IF(AE18&gt;Design!$C$29,Design!$C$29,AE18)</f>
        <v>4.9990521327014221</v>
      </c>
      <c r="AG18" s="118">
        <f>Design!$D$7/3</f>
        <v>1</v>
      </c>
      <c r="AH18" s="118">
        <f ca="1">FORECAST(AG18, OFFSET(Design!$C$15:$C$17,MATCH(AG18,Design!$B$15:$B$17,1)-1,0,2), OFFSET(Design!$B$15:$B$17,MATCH(AG18,Design!$B$15:$B$17,1)-1,0,2))+(AQ18-25)*Design!$B$18/1000</f>
        <v>0.3148249282855658</v>
      </c>
      <c r="AI18" s="194">
        <f ca="1">IF(100*(Design!$C$29+AH18+AG18*IF(ISBLANK(Design!$B$43),Constants!$C$6,Design!$B$43)/1000*(1+Constants!$C$36/100*(AR18-25)))/($B18+AH18-AG18*AS18/1000)&gt;Design!$C$36,Design!$C$37,100*(Design!$C$29+AH18+AG18*IF(ISBLANK(Design!$B$43),Constants!$C$6,Design!$B$43)/1000*(1+Constants!$C$36/100*(AR18-25)))/($B18+AH18-AG18*AS18/1000))</f>
        <v>58.778014398436696</v>
      </c>
      <c r="AJ18" s="119">
        <f ca="1">IF(($B18-AG18*IF(ISBLANK(Design!$B$43),Constants!$C$6,Design!$B$43)/1000*(1+Constants!$C$36/100*(AR18-25))-Design!$C$29)/(IF(ISBLANK(Design!$B$42),Design!$B$40,Design!$B$42)/1000000)*AI18/100/(IF(ISBLANK(Design!$B$33),Design!$B$32,Design!$B$33)*1000000)&lt;0,0,($B18-AG18*IF(ISBLANK(Design!$B$43),Constants!$C$6,Design!$B$43)/1000*(1+Constants!$C$36/100*(AR18-25))-Design!$C$29)/(IF(ISBLANK(Design!$B$42),Design!$B$40,Design!$B$42)/1000000)*AI18/100/(IF(ISBLANK(Design!$B$33),Design!$B$32,Design!$B$33)*1000000))</f>
        <v>0.54497100819678124</v>
      </c>
      <c r="AK18" s="195">
        <f>$B18*Constants!$C$21/1000+IF(ISBLANK(Design!$B$33),Design!$B$32,Design!$B$33)*1000000*Constants!$D$25/1000000000*($B18-Constants!$C$24)</f>
        <v>3.0953749999999985E-2</v>
      </c>
      <c r="AL18" s="195">
        <f>$B18*AG18*($B18/(Constants!$C$26*1000000000)*IF(ISBLANK(Design!$B$33),Design!$B$32,Design!$B$33)*1000000/2+$B18/(Constants!$C$27*1000000000)*IF(ISBLANK(Design!$B$33),Design!$B$32,Design!$B$33)*1000000/2)</f>
        <v>4.7706309027777741E-2</v>
      </c>
      <c r="AM18" s="195">
        <f t="shared" ca="1" si="2"/>
        <v>0.10742540406932209</v>
      </c>
      <c r="AN18" s="195">
        <f>Constants!$D$25/1000000000*Constants!$C$24*IF(ISBLANK(Design!$B$33),Design!$B$32,Design!$B$33)*1000000</f>
        <v>1.0624999999999999E-2</v>
      </c>
      <c r="AO18" s="195">
        <f t="shared" ca="1" si="11"/>
        <v>0.19671046309709983</v>
      </c>
      <c r="AP18" s="195">
        <f t="shared" ca="1" si="9"/>
        <v>0.12977708660800794</v>
      </c>
      <c r="AQ18" s="196">
        <f ca="1">$A18+AP18*Design!$B$19</f>
        <v>92.397293936656453</v>
      </c>
      <c r="AR18" s="196">
        <f ca="1">AO18*Design!$C$12+$A18</f>
        <v>91.688155745301401</v>
      </c>
      <c r="AS18" s="196">
        <f ca="1">Constants!$D$22+Constants!$D$22*Constants!$C$23/100*(AR18-25)</f>
        <v>178.35052459624112</v>
      </c>
      <c r="AT18" s="195">
        <f ca="1">IF(100*(Design!$C$29+AH18+AG18*IF(ISBLANK(Design!$B$43),Constants!$C$6,Design!$B$43)/1000*(1+Constants!$C$36/100*(AR18-25)))/($B18+AH18-AG18*AS18/1000)&gt;Design!$C$36,  (1-Constants!$C$20/1000000000*IF(ISBLANK(Design!$B$33),Design!$B$32/4,Design!$B$33/4)*1000000) * ($B18+AH18-AG18*AS18/1000) - (AH18+AG18*(1+($A18-25)*Constants!$C$36/100)*IF(ISBLANK(Design!$B$43),Constants!$C$6/1000,Design!$B$43/1000)),   (1-Constants!$C$20/1000000000*IF(ISBLANK(Design!$B$33),Design!$B$32,Design!$B$33)*1000000) * ($B18+AH18-AG18*AS18/1000) - (AH18+AG18*(1+($A18-25)*Constants!$C$36/100)*IF(ISBLANK(Design!$B$43),Constants!$C$6/1000,Design!$B$43/1000)) )</f>
        <v>8.3937360713547999</v>
      </c>
      <c r="AU18" s="119">
        <f ca="1">IF(AT18&gt;Design!$C$29,Design!$C$29,AT18)</f>
        <v>4.9990521327014221</v>
      </c>
    </row>
    <row r="19" spans="1:47" s="120" customFormat="1" ht="12.75" customHeight="1" x14ac:dyDescent="0.2">
      <c r="A19" s="112">
        <f>Design!$D$13</f>
        <v>85</v>
      </c>
      <c r="B19" s="113">
        <f t="shared" si="3"/>
        <v>8.7749999999999968</v>
      </c>
      <c r="C19" s="114">
        <f>Design!$D$7</f>
        <v>3</v>
      </c>
      <c r="D19" s="114">
        <f ca="1">FORECAST(C19, OFFSET(Design!$C$15:$C$17,MATCH(C19,Design!$B$15:$B$17,1)-1,0,2), OFFSET(Design!$B$15:$B$17,MATCH(C19,Design!$B$15:$B$17,1)-1,0,2))+(M19-25)*Design!$B$18/1000</f>
        <v>0.40114920054712272</v>
      </c>
      <c r="E19" s="173">
        <f ca="1">IF(100*(Design!$C$29+D19+C19*IF(ISBLANK(Design!$B$43),Constants!$C$6,Design!$B$43)/1000*(1+Constants!$C$36/100*(N19-25)))/($B19+D19-C19*O19/1000)&gt;Design!$C$36,Design!$C$37,100*(Design!$C$29+D19+C19*IF(ISBLANK(Design!$B$43),Constants!$C$6,Design!$B$43)/1000*(1+Constants!$C$36/100*(N19-25)))/($B19+D19-C19*O19/1000))</f>
        <v>65.230303542093992</v>
      </c>
      <c r="F19" s="115">
        <f ca="1">IF(($B19-C19*IF(ISBLANK(Design!$B$43),Constants!$C$6,Design!$B$43)/1000*(1+Constants!$C$36/100*(N19-25))-Design!$C$29)/(IF(ISBLANK(Design!$B$42),Design!$B$40,Design!$B$42)/1000000)*E19/100/(IF(ISBLANK(Design!$B$33),Design!$B$32,Design!$B$33)*1000000)&lt;0, 0, ($B19-C19*IF(ISBLANK(Design!$B$43),Constants!$C$6,Design!$B$43)/1000*(1+Constants!$C$36/100*(N19-25))-Design!$C$29)/(IF(ISBLANK(Design!$B$42),Design!$B$40,Design!$B$42)/1000000)*E19/100/(IF(ISBLANK(Design!$B$33),Design!$B$32,Design!$B$33)*1000000))</f>
        <v>0.5532801574620021</v>
      </c>
      <c r="G19" s="165">
        <f>B19*Constants!$C$21/1000+IF(ISBLANK(Design!$B$33),Design!$B$32,Design!$B$33)*1000000*Constants!$D$25/1000000000*(B19-Constants!$C$24)</f>
        <v>2.9959374999999986E-2</v>
      </c>
      <c r="H19" s="165">
        <f>B19*C19*(B19/(Constants!$C$26*1000000000)*IF(ISBLANK(Design!$B$33),Design!$B$32,Design!$B$33)*1000000/2+B19/(Constants!$C$27*1000000000)*IF(ISBLANK(Design!$B$33),Design!$B$32,Design!$B$33)*1000000/2)</f>
        <v>0.13635527343749987</v>
      </c>
      <c r="I19" s="165">
        <f t="shared" ca="1" si="0"/>
        <v>1.246451271963821</v>
      </c>
      <c r="J19" s="165">
        <f>Constants!$D$25/1000000000*Constants!$C$24*IF(ISBLANK(Design!$B$33),Design!$B$32,Design!$B$33)*1000000</f>
        <v>1.0624999999999999E-2</v>
      </c>
      <c r="K19" s="165">
        <f t="shared" ca="1" si="4"/>
        <v>1.4233909204013209</v>
      </c>
      <c r="L19" s="165">
        <f t="shared" ca="1" si="5"/>
        <v>0.41843507812065361</v>
      </c>
      <c r="M19" s="166">
        <f ca="1">A19+L19*Design!$B$19</f>
        <v>108.85079945287725</v>
      </c>
      <c r="N19" s="166">
        <f ca="1">K19*Design!$C$12+A19</f>
        <v>133.3952912936449</v>
      </c>
      <c r="O19" s="166">
        <f ca="1">Constants!$D$22+Constants!$D$22*Constants!$C$23/100*(N19-25)</f>
        <v>211.71623303491594</v>
      </c>
      <c r="P19" s="165">
        <f ca="1">IF(100*(Design!$C$29+D19+C19*IF(ISBLANK(Design!$B$43),Constants!$C$6,Design!$B$43)/1000*(1+Constants!$C$36/100*(N19-25)))/($B19+D19-C19*O19/1000)&gt;Design!$C$36,  (1-Constants!$C$20/1000000000*IF(ISBLANK(Design!$B$33),Design!$B$32/4,Design!$B$33/4)*1000000) * ($B19+D19-C19*O19/1000) - (D19+C19*(1+($A19-25)*Constants!$C$36/100)*IF(ISBLANK(Design!$B$43),Constants!$C$6/1000,Design!$B$43/1000)),   (1-Constants!$C$20/1000000000*IF(ISBLANK(Design!$B$33),Design!$B$32,Design!$B$33)*1000000) * ($B19+D19-C19*O19/1000) - (D19+C19*(1+($A19-25)*Constants!$C$36/100)*IF(ISBLANK(Design!$B$43),Constants!$C$6/1000,Design!$B$43/1000)) )</f>
        <v>7.6467124056495113</v>
      </c>
      <c r="Q19" s="171">
        <f ca="1">IF(P19&gt;Design!$C$29,Design!$C$29,P19)</f>
        <v>4.9990521327014221</v>
      </c>
      <c r="R19" s="181">
        <f>2*Design!$D$7/3</f>
        <v>2</v>
      </c>
      <c r="S19" s="116">
        <f ca="1">FORECAST(R19, OFFSET(Design!$C$15:$C$17,MATCH(R19,Design!$B$15:$B$17,1)-1,0,2), OFFSET(Design!$B$15:$B$17,MATCH(R19,Design!$B$15:$B$17,1)-1,0,2))+(AB19-25)*Design!$B$18/1000</f>
        <v>0.38360500901014571</v>
      </c>
      <c r="T19" s="182">
        <f ca="1">IF(100*(Design!$C$29+S19+R19*IF(ISBLANK(Design!$B$43),Constants!$C$6,Design!$B$43)/1000*(1+Constants!$C$36/100*(AC19-25)))/($B19+S19-R19*AD19/1000)&gt;Design!$C$36,Design!$C$37,100*(Design!$C$29+S19+R19*IF(ISBLANK(Design!$B$43),Constants!$C$6,Design!$B$43)/1000*(1+Constants!$C$36/100*(AC19-25)))/($B19+S19-R19*AD19/1000))</f>
        <v>62.509428433059107</v>
      </c>
      <c r="U19" s="117">
        <f ca="1">IF(($B19-R19*IF(ISBLANK(Design!$B$43),Constants!$C$6,Design!$B$43)/1000*(1+Constants!$C$36/100*(AC19-25))-Design!$C$29)/(Design!$B$42/1000000)*T19/100/(IF(ISBLANK(IF(ISBLANK(Design!$B$42),Design!$B$40,Design!$B$42)),Design!$B$32,Design!$B$33)*1000000)&lt;0,0,($B19-R19*IF(ISBLANK(Design!$B$43),Constants!$C$6,Design!$B$43)/1000*(1+Constants!$C$36/100*(AC19-25))-Design!$C$29)/(IF(ISBLANK(Design!$B$42),Design!$B$40,Design!$B$42)/1000000)*T19/100/(IF(ISBLANK(Design!$B$33),Design!$B$32,Design!$B$33)*1000000))</f>
        <v>0.53987280746802169</v>
      </c>
      <c r="V19" s="183">
        <f>$B19*Constants!$C$21/1000+IF(ISBLANK(Design!$B$33),Design!$B$32,Design!$B$33)*1000000*Constants!$D$25/1000000000*($B19-Constants!$C$24)</f>
        <v>2.9959374999999986E-2</v>
      </c>
      <c r="W19" s="183">
        <f>$B19*R19*($B19/(Constants!$C$26*1000000000)*IF(ISBLANK(Design!$B$33),Design!$B$32,Design!$B$33)*1000000/2+$B19/(Constants!$C$27*1000000000)*IF(ISBLANK(Design!$B$33),Design!$B$32,Design!$B$33)*1000000/2)</f>
        <v>9.0903515624999931E-2</v>
      </c>
      <c r="X19" s="183">
        <f t="shared" ca="1" si="1"/>
        <v>0.47681380514538152</v>
      </c>
      <c r="Y19" s="183">
        <f>Constants!$D$25/1000000000*Constants!$C$24*IF(ISBLANK(Design!$B$33),Design!$B$32,Design!$B$33)*1000000</f>
        <v>1.0624999999999999E-2</v>
      </c>
      <c r="Z19" s="183">
        <f t="shared" ca="1" si="10"/>
        <v>0.6083016957703814</v>
      </c>
      <c r="AA19" s="183">
        <f t="shared" ca="1" si="7"/>
        <v>0.28763142087463744</v>
      </c>
      <c r="AB19" s="184">
        <f ca="1">$A19+AA19*Design!$B$19</f>
        <v>101.39499098985434</v>
      </c>
      <c r="AC19" s="184">
        <f ca="1">Z19*Design!$C$12+$A19</f>
        <v>105.68225765619297</v>
      </c>
      <c r="AD19" s="184">
        <f ca="1">Constants!$D$22+Constants!$D$22*Constants!$C$23/100*(AC19-25)</f>
        <v>189.54580612495437</v>
      </c>
      <c r="AE19" s="183">
        <f ca="1">IF(100*(Design!$C$29+S19+R19*IF(ISBLANK(Design!$B$43),Constants!$C$6,Design!$B$43)/1000*(1+Constants!$C$36/100*(AC19-25)))/($B19+S19-R19*AD19/1000)&gt;Design!$C$36,  (1-Constants!$C$20/1000000000*IF(ISBLANK(Design!$B$33),Design!$B$32/4,Design!$B$33/4)*1000000) * ($B19+S19-R19*AD19/1000) - (S19+R19*(1+($A19-25)*Constants!$C$36/100)*IF(ISBLANK(Design!$B$43),Constants!$C$6/1000,Design!$B$43/1000)),   (1-Constants!$C$20/1000000000*IF(ISBLANK(Design!$B$33),Design!$B$32,Design!$B$33)*1000000) * ($B19+S19-R19*AD19/1000) - (S19+R19*(1+($A19-25)*Constants!$C$36/100)*IF(ISBLANK(Design!$B$43),Constants!$C$6/1000,Design!$B$43/1000)) )</f>
        <v>7.942571534355892</v>
      </c>
      <c r="AF19" s="117">
        <f ca="1">IF(AE19&gt;Design!$C$29,Design!$C$29,AE19)</f>
        <v>4.9990521327014221</v>
      </c>
      <c r="AG19" s="118">
        <f>Design!$D$7/3</f>
        <v>1</v>
      </c>
      <c r="AH19" s="118">
        <f ca="1">FORECAST(AG19, OFFSET(Design!$C$15:$C$17,MATCH(AG19,Design!$B$15:$B$17,1)-1,0,2), OFFSET(Design!$B$15:$B$17,MATCH(AG19,Design!$B$15:$B$17,1)-1,0,2))+(AQ19-25)*Design!$B$18/1000</f>
        <v>0.31507391884600916</v>
      </c>
      <c r="AI19" s="194">
        <f ca="1">IF(100*(Design!$C$29+AH19+AG19*IF(ISBLANK(Design!$B$43),Constants!$C$6,Design!$B$43)/1000*(1+Constants!$C$36/100*(AR19-25)))/($B19+AH19-AG19*AS19/1000)&gt;Design!$C$36,Design!$C$37,100*(Design!$C$29+AH19+AG19*IF(ISBLANK(Design!$B$43),Constants!$C$6,Design!$B$43)/1000*(1+Constants!$C$36/100*(AR19-25)))/($B19+AH19-AG19*AS19/1000))</f>
        <v>60.197012935581697</v>
      </c>
      <c r="AJ19" s="119">
        <f ca="1">IF(($B19-AG19*IF(ISBLANK(Design!$B$43),Constants!$C$6,Design!$B$43)/1000*(1+Constants!$C$36/100*(AR19-25))-Design!$C$29)/(IF(ISBLANK(Design!$B$42),Design!$B$40,Design!$B$42)/1000000)*AI19/100/(IF(ISBLANK(Design!$B$33),Design!$B$32,Design!$B$33)*1000000)&lt;0,0,($B19-AG19*IF(ISBLANK(Design!$B$43),Constants!$C$6,Design!$B$43)/1000*(1+Constants!$C$36/100*(AR19-25))-Design!$C$29)/(IF(ISBLANK(Design!$B$42),Design!$B$40,Design!$B$42)/1000000)*AI19/100/(IF(ISBLANK(Design!$B$33),Design!$B$32,Design!$B$33)*1000000))</f>
        <v>0.52767553613062412</v>
      </c>
      <c r="AK19" s="195">
        <f>$B19*Constants!$C$21/1000+IF(ISBLANK(Design!$B$33),Design!$B$32,Design!$B$33)*1000000*Constants!$D$25/1000000000*($B19-Constants!$C$24)</f>
        <v>2.9959374999999986E-2</v>
      </c>
      <c r="AL19" s="195">
        <f>$B19*AG19*($B19/(Constants!$C$26*1000000000)*IF(ISBLANK(Design!$B$33),Design!$B$32,Design!$B$33)*1000000/2+$B19/(Constants!$C$27*1000000000)*IF(ISBLANK(Design!$B$33),Design!$B$32,Design!$B$33)*1000000/2)</f>
        <v>4.5451757812499965E-2</v>
      </c>
      <c r="AM19" s="195">
        <f t="shared" ca="1" si="2"/>
        <v>0.10983885339727237</v>
      </c>
      <c r="AN19" s="195">
        <f>Constants!$D$25/1000000000*Constants!$C$24*IF(ISBLANK(Design!$B$33),Design!$B$32,Design!$B$33)*1000000</f>
        <v>1.0624999999999999E-2</v>
      </c>
      <c r="AO19" s="195">
        <f t="shared" ca="1" si="11"/>
        <v>0.19587498620977231</v>
      </c>
      <c r="AP19" s="195">
        <f t="shared" ca="1" si="9"/>
        <v>0.12540883116163284</v>
      </c>
      <c r="AQ19" s="196">
        <f ca="1">$A19+AP19*Design!$B$19</f>
        <v>92.148303376213079</v>
      </c>
      <c r="AR19" s="196">
        <f ca="1">AO19*Design!$C$12+$A19</f>
        <v>91.659749531132263</v>
      </c>
      <c r="AS19" s="196">
        <f ca="1">Constants!$D$22+Constants!$D$22*Constants!$C$23/100*(AR19-25)</f>
        <v>178.32779962490582</v>
      </c>
      <c r="AT19" s="195">
        <f ca="1">IF(100*(Design!$C$29+AH19+AG19*IF(ISBLANK(Design!$B$43),Constants!$C$6,Design!$B$43)/1000*(1+Constants!$C$36/100*(AR19-25)))/($B19+AH19-AG19*AS19/1000)&gt;Design!$C$36,  (1-Constants!$C$20/1000000000*IF(ISBLANK(Design!$B$33),Design!$B$32/4,Design!$B$33/4)*1000000) * ($B19+AH19-AG19*AS19/1000) - (AH19+AG19*(1+($A19-25)*Constants!$C$36/100)*IF(ISBLANK(Design!$B$43),Constants!$C$6/1000,Design!$B$43/1000)),   (1-Constants!$C$20/1000000000*IF(ISBLANK(Design!$B$33),Design!$B$32,Design!$B$33)*1000000) * ($B19+AH19-AG19*AS19/1000) - (AH19+AG19*(1+($A19-25)*Constants!$C$36/100)*IF(ISBLANK(Design!$B$43),Constants!$C$6/1000,Design!$B$43/1000)) )</f>
        <v>8.187428450811538</v>
      </c>
      <c r="AU19" s="119">
        <f ca="1">IF(AT19&gt;Design!$C$29,Design!$C$29,AT19)</f>
        <v>4.9990521327014221</v>
      </c>
    </row>
    <row r="20" spans="1:47" s="120" customFormat="1" ht="12.75" customHeight="1" x14ac:dyDescent="0.2">
      <c r="A20" s="112">
        <f>Design!$D$13</f>
        <v>85</v>
      </c>
      <c r="B20" s="113">
        <f t="shared" si="3"/>
        <v>8.5599999999999969</v>
      </c>
      <c r="C20" s="114">
        <f>Design!$D$7</f>
        <v>3</v>
      </c>
      <c r="D20" s="114">
        <f ca="1">FORECAST(C20, OFFSET(Design!$C$15:$C$17,MATCH(C20,Design!$B$15:$B$17,1)-1,0,2), OFFSET(Design!$B$15:$B$17,MATCH(C20,Design!$B$15:$B$17,1)-1,0,2))+(M20-25)*Design!$B$18/1000</f>
        <v>0.40226213299402602</v>
      </c>
      <c r="E20" s="173">
        <f ca="1">IF(100*(Design!$C$29+D20+C20*IF(ISBLANK(Design!$B$43),Constants!$C$6,Design!$B$43)/1000*(1+Constants!$C$36/100*(N20-25)))/($B20+D20-C20*O20/1000)&gt;Design!$C$36,Design!$C$37,100*(Design!$C$29+D20+C20*IF(ISBLANK(Design!$B$43),Constants!$C$6,Design!$B$43)/1000*(1+Constants!$C$36/100*(N20-25)))/($B20+D20-C20*O20/1000))</f>
        <v>66.944444533870509</v>
      </c>
      <c r="F20" s="115">
        <f ca="1">IF(($B20-C20*IF(ISBLANK(Design!$B$43),Constants!$C$6,Design!$B$43)/1000*(1+Constants!$C$36/100*(N20-25))-Design!$C$29)/(IF(ISBLANK(Design!$B$42),Design!$B$40,Design!$B$42)/1000000)*E20/100/(IF(ISBLANK(Design!$B$33),Design!$B$32,Design!$B$33)*1000000)&lt;0, 0, ($B20-C20*IF(ISBLANK(Design!$B$43),Constants!$C$6,Design!$B$43)/1000*(1+Constants!$C$36/100*(N20-25))-Design!$C$29)/(IF(ISBLANK(Design!$B$42),Design!$B$40,Design!$B$42)/1000000)*E20/100/(IF(ISBLANK(Design!$B$33),Design!$B$32,Design!$B$33)*1000000))</f>
        <v>0.53387811365081328</v>
      </c>
      <c r="G20" s="165">
        <f>B20*Constants!$C$21/1000+IF(ISBLANK(Design!$B$33),Design!$B$32,Design!$B$33)*1000000*Constants!$D$25/1000000000*(B20-Constants!$C$24)</f>
        <v>2.8964999999999987E-2</v>
      </c>
      <c r="H20" s="165">
        <f>B20*C20*(B20/(Constants!$C$26*1000000000)*IF(ISBLANK(Design!$B$33),Design!$B$32,Design!$B$33)*1000000/2+B20/(Constants!$C$27*1000000000)*IF(ISBLANK(Design!$B$33),Design!$B$32,Design!$B$33)*1000000/2)</f>
        <v>0.12975533333333325</v>
      </c>
      <c r="I20" s="165">
        <f t="shared" ca="1" si="0"/>
        <v>1.2838547740806301</v>
      </c>
      <c r="J20" s="165">
        <f>Constants!$D$25/1000000000*Constants!$C$24*IF(ISBLANK(Design!$B$33),Design!$B$32,Design!$B$33)*1000000</f>
        <v>1.0624999999999999E-2</v>
      </c>
      <c r="K20" s="165">
        <f t="shared" ca="1" si="4"/>
        <v>1.4532001074139633</v>
      </c>
      <c r="L20" s="165">
        <f t="shared" ca="1" si="5"/>
        <v>0.39890994747322761</v>
      </c>
      <c r="M20" s="166">
        <f ca="1">A20+L20*Design!$B$19</f>
        <v>107.73786700597398</v>
      </c>
      <c r="N20" s="166">
        <f ca="1">K20*Design!$C$12+A20</f>
        <v>134.40880365207477</v>
      </c>
      <c r="O20" s="166">
        <f ca="1">Constants!$D$22+Constants!$D$22*Constants!$C$23/100*(N20-25)</f>
        <v>212.52704292165981</v>
      </c>
      <c r="P20" s="165">
        <f ca="1">IF(100*(Design!$C$29+D20+C20*IF(ISBLANK(Design!$B$43),Constants!$C$6,Design!$B$43)/1000*(1+Constants!$C$36/100*(N20-25)))/($B20+D20-C20*O20/1000)&gt;Design!$C$36,  (1-Constants!$C$20/1000000000*IF(ISBLANK(Design!$B$33),Design!$B$32/4,Design!$B$33/4)*1000000) * ($B20+D20-C20*O20/1000) - (D20+C20*(1+($A20-25)*Constants!$C$36/100)*IF(ISBLANK(Design!$B$43),Constants!$C$6/1000,Design!$B$43/1000)),   (1-Constants!$C$20/1000000000*IF(ISBLANK(Design!$B$33),Design!$B$32,Design!$B$33)*1000000) * ($B20+D20-C20*O20/1000) - (D20+C20*(1+($A20-25)*Constants!$C$36/100)*IF(ISBLANK(Design!$B$43),Constants!$C$6/1000,Design!$B$43/1000)) )</f>
        <v>7.4380138756892693</v>
      </c>
      <c r="Q20" s="171">
        <f ca="1">IF(P20&gt;Design!$C$29,Design!$C$29,P20)</f>
        <v>4.9990521327014221</v>
      </c>
      <c r="R20" s="181">
        <f>2*Design!$D$7/3</f>
        <v>2</v>
      </c>
      <c r="S20" s="116">
        <f ca="1">FORECAST(R20, OFFSET(Design!$C$15:$C$17,MATCH(R20,Design!$B$15:$B$17,1)-1,0,2), OFFSET(Design!$B$15:$B$17,MATCH(R20,Design!$B$15:$B$17,1)-1,0,2))+(AB20-25)*Design!$B$18/1000</f>
        <v>0.38426695830790186</v>
      </c>
      <c r="T20" s="182">
        <f ca="1">IF(100*(Design!$C$29+S20+R20*IF(ISBLANK(Design!$B$43),Constants!$C$6,Design!$B$43)/1000*(1+Constants!$C$36/100*(AC20-25)))/($B20+S20-R20*AD20/1000)&gt;Design!$C$36,Design!$C$37,100*(Design!$C$29+S20+R20*IF(ISBLANK(Design!$B$43),Constants!$C$6,Design!$B$43)/1000*(1+Constants!$C$36/100*(AC20-25)))/($B20+S20-R20*AD20/1000))</f>
        <v>64.085088591093196</v>
      </c>
      <c r="U20" s="117">
        <f ca="1">IF(($B20-R20*IF(ISBLANK(Design!$B$43),Constants!$C$6,Design!$B$43)/1000*(1+Constants!$C$36/100*(AC20-25))-Design!$C$29)/(Design!$B$42/1000000)*T20/100/(IF(ISBLANK(IF(ISBLANK(Design!$B$42),Design!$B$40,Design!$B$42)),Design!$B$32,Design!$B$33)*1000000)&lt;0,0,($B20-R20*IF(ISBLANK(Design!$B$43),Constants!$C$6,Design!$B$43)/1000*(1+Constants!$C$36/100*(AC20-25))-Design!$C$29)/(IF(ISBLANK(Design!$B$42),Design!$B$40,Design!$B$42)/1000000)*T20/100/(IF(ISBLANK(Design!$B$33),Design!$B$32,Design!$B$33)*1000000))</f>
        <v>0.52105060355552946</v>
      </c>
      <c r="V20" s="183">
        <f>$B20*Constants!$C$21/1000+IF(ISBLANK(Design!$B$33),Design!$B$32,Design!$B$33)*1000000*Constants!$D$25/1000000000*($B20-Constants!$C$24)</f>
        <v>2.8964999999999987E-2</v>
      </c>
      <c r="W20" s="183">
        <f>$B20*R20*($B20/(Constants!$C$26*1000000000)*IF(ISBLANK(Design!$B$33),Design!$B$32,Design!$B$33)*1000000/2+$B20/(Constants!$C$27*1000000000)*IF(ISBLANK(Design!$B$33),Design!$B$32,Design!$B$33)*1000000/2)</f>
        <v>8.6503555555555486E-2</v>
      </c>
      <c r="X20" s="183">
        <f t="shared" ca="1" si="1"/>
        <v>0.48911489424376392</v>
      </c>
      <c r="Y20" s="183">
        <f>Constants!$D$25/1000000000*Constants!$C$24*IF(ISBLANK(Design!$B$33),Design!$B$32,Design!$B$33)*1000000</f>
        <v>1.0624999999999999E-2</v>
      </c>
      <c r="Z20" s="183">
        <f t="shared" ca="1" si="10"/>
        <v>0.61520844979931943</v>
      </c>
      <c r="AA20" s="183">
        <f t="shared" ca="1" si="7"/>
        <v>0.27601827529996759</v>
      </c>
      <c r="AB20" s="184">
        <f ca="1">$A20+AA20*Design!$B$19</f>
        <v>100.73304169209815</v>
      </c>
      <c r="AC20" s="184">
        <f ca="1">Z20*Design!$C$12+$A20</f>
        <v>105.91708729317686</v>
      </c>
      <c r="AD20" s="184">
        <f ca="1">Constants!$D$22+Constants!$D$22*Constants!$C$23/100*(AC20-25)</f>
        <v>189.7336698345415</v>
      </c>
      <c r="AE20" s="183">
        <f ca="1">IF(100*(Design!$C$29+S20+R20*IF(ISBLANK(Design!$B$43),Constants!$C$6,Design!$B$43)/1000*(1+Constants!$C$36/100*(AC20-25)))/($B20+S20-R20*AD20/1000)&gt;Design!$C$36,  (1-Constants!$C$20/1000000000*IF(ISBLANK(Design!$B$33),Design!$B$32/4,Design!$B$33/4)*1000000) * ($B20+S20-R20*AD20/1000) - (S20+R20*(1+($A20-25)*Constants!$C$36/100)*IF(ISBLANK(Design!$B$43),Constants!$C$6/1000,Design!$B$43/1000)),   (1-Constants!$C$20/1000000000*IF(ISBLANK(Design!$B$33),Design!$B$32,Design!$B$33)*1000000) * ($B20+S20-R20*AD20/1000) - (S20+R20*(1+($A20-25)*Constants!$C$36/100)*IF(ISBLANK(Design!$B$43),Constants!$C$6/1000,Design!$B$43/1000)) )</f>
        <v>7.7358648757283728</v>
      </c>
      <c r="AF20" s="117">
        <f ca="1">IF(AE20&gt;Design!$C$29,Design!$C$29,AE20)</f>
        <v>4.9990521327014221</v>
      </c>
      <c r="AG20" s="118">
        <f>Design!$D$7/3</f>
        <v>1</v>
      </c>
      <c r="AH20" s="118">
        <f ca="1">FORECAST(AG20, OFFSET(Design!$C$15:$C$17,MATCH(AG20,Design!$B$15:$B$17,1)-1,0,2), OFFSET(Design!$B$15:$B$17,MATCH(AG20,Design!$B$15:$B$17,1)-1,0,2))+(AQ20-25)*Design!$B$18/1000</f>
        <v>0.31533564602278102</v>
      </c>
      <c r="AI20" s="194">
        <f ca="1">IF(100*(Design!$C$29+AH20+AG20*IF(ISBLANK(Design!$B$43),Constants!$C$6,Design!$B$43)/1000*(1+Constants!$C$36/100*(AR20-25)))/($B20+AH20-AG20*AS20/1000)&gt;Design!$C$36,Design!$C$37,100*(Design!$C$29+AH20+AG20*IF(ISBLANK(Design!$B$43),Constants!$C$6,Design!$B$43)/1000*(1+Constants!$C$36/100*(AR20-25)))/($B20+AH20-AG20*AS20/1000))</f>
        <v>61.686181746399242</v>
      </c>
      <c r="AJ20" s="119">
        <f ca="1">IF(($B20-AG20*IF(ISBLANK(Design!$B$43),Constants!$C$6,Design!$B$43)/1000*(1+Constants!$C$36/100*(AR20-25))-Design!$C$29)/(IF(ISBLANK(Design!$B$42),Design!$B$40,Design!$B$42)/1000000)*AI20/100/(IF(ISBLANK(Design!$B$33),Design!$B$32,Design!$B$33)*1000000)&lt;0,0,($B20-AG20*IF(ISBLANK(Design!$B$43),Constants!$C$6,Design!$B$43)/1000*(1+Constants!$C$36/100*(AR20-25))-Design!$C$29)/(IF(ISBLANK(Design!$B$42),Design!$B$40,Design!$B$42)/1000000)*AI20/100/(IF(ISBLANK(Design!$B$33),Design!$B$32,Design!$B$33)*1000000))</f>
        <v>0.50952386800404581</v>
      </c>
      <c r="AK20" s="195">
        <f>$B20*Constants!$C$21/1000+IF(ISBLANK(Design!$B$33),Design!$B$32,Design!$B$33)*1000000*Constants!$D$25/1000000000*($B20-Constants!$C$24)</f>
        <v>2.8964999999999987E-2</v>
      </c>
      <c r="AL20" s="195">
        <f>$B20*AG20*($B20/(Constants!$C$26*1000000000)*IF(ISBLANK(Design!$B$33),Design!$B$32,Design!$B$33)*1000000/2+$B20/(Constants!$C$27*1000000000)*IF(ISBLANK(Design!$B$33),Design!$B$32,Design!$B$33)*1000000/2)</f>
        <v>4.3251777777777743E-2</v>
      </c>
      <c r="AM20" s="195">
        <f t="shared" ca="1" si="2"/>
        <v>0.11237215744023775</v>
      </c>
      <c r="AN20" s="195">
        <f>Constants!$D$25/1000000000*Constants!$C$24*IF(ISBLANK(Design!$B$33),Design!$B$32,Design!$B$33)*1000000</f>
        <v>1.0624999999999999E-2</v>
      </c>
      <c r="AO20" s="195">
        <f t="shared" ca="1" si="11"/>
        <v>0.19521393521801547</v>
      </c>
      <c r="AP20" s="195">
        <f t="shared" ca="1" si="9"/>
        <v>0.12081712630598616</v>
      </c>
      <c r="AQ20" s="196">
        <f ca="1">$A20+AP20*Design!$B$19</f>
        <v>91.886576199441208</v>
      </c>
      <c r="AR20" s="196">
        <f ca="1">AO20*Design!$C$12+$A20</f>
        <v>91.637273797412519</v>
      </c>
      <c r="AS20" s="196">
        <f ca="1">Constants!$D$22+Constants!$D$22*Constants!$C$23/100*(AR20-25)</f>
        <v>178.30981903793003</v>
      </c>
      <c r="AT20" s="195">
        <f ca="1">IF(100*(Design!$C$29+AH20+AG20*IF(ISBLANK(Design!$B$43),Constants!$C$6,Design!$B$43)/1000*(1+Constants!$C$36/100*(AR20-25)))/($B20+AH20-AG20*AS20/1000)&gt;Design!$C$36,  (1-Constants!$C$20/1000000000*IF(ISBLANK(Design!$B$33),Design!$B$32/4,Design!$B$33/4)*1000000) * ($B20+AH20-AG20*AS20/1000) - (AH20+AG20*(1+($A20-25)*Constants!$C$36/100)*IF(ISBLANK(Design!$B$43),Constants!$C$6/1000,Design!$B$43/1000)),   (1-Constants!$C$20/1000000000*IF(ISBLANK(Design!$B$33),Design!$B$32,Design!$B$33)*1000000) * ($B20+AH20-AG20*AS20/1000) - (AH20+AG20*(1+($A20-25)*Constants!$C$36/100)*IF(ISBLANK(Design!$B$43),Constants!$C$6/1000,Design!$B$43/1000)) )</f>
        <v>7.981115763197554</v>
      </c>
      <c r="AU20" s="119">
        <f ca="1">IF(AT20&gt;Design!$C$29,Design!$C$29,AT20)</f>
        <v>4.9990521327014221</v>
      </c>
    </row>
    <row r="21" spans="1:47" s="120" customFormat="1" ht="12.75" customHeight="1" x14ac:dyDescent="0.2">
      <c r="A21" s="112">
        <f>Design!$D$13</f>
        <v>85</v>
      </c>
      <c r="B21" s="113">
        <f t="shared" si="3"/>
        <v>8.3449999999999971</v>
      </c>
      <c r="C21" s="114">
        <f>Design!$D$7</f>
        <v>3</v>
      </c>
      <c r="D21" s="114">
        <f ca="1">FORECAST(C21, OFFSET(Design!$C$15:$C$17,MATCH(C21,Design!$B$15:$B$17,1)-1,0,2), OFFSET(Design!$B$15:$B$17,MATCH(C21,Design!$B$15:$B$17,1)-1,0,2))+(M21-25)*Design!$B$18/1000</f>
        <v>0.40344286411854957</v>
      </c>
      <c r="E21" s="173">
        <f ca="1">IF(100*(Design!$C$29+D21+C21*IF(ISBLANK(Design!$B$43),Constants!$C$6,Design!$B$43)/1000*(1+Constants!$C$36/100*(N21-25)))/($B21+D21-C21*O21/1000)&gt;Design!$C$36,Design!$C$37,100*(Design!$C$29+D21+C21*IF(ISBLANK(Design!$B$43),Constants!$C$6,Design!$B$43)/1000*(1+Constants!$C$36/100*(N21-25)))/($B21+D21-C21*O21/1000))</f>
        <v>68.752670247576518</v>
      </c>
      <c r="F21" s="115">
        <f ca="1">IF(($B21-C21*IF(ISBLANK(Design!$B$43),Constants!$C$6,Design!$B$43)/1000*(1+Constants!$C$36/100*(N21-25))-Design!$C$29)/(IF(ISBLANK(Design!$B$42),Design!$B$40,Design!$B$42)/1000000)*E21/100/(IF(ISBLANK(Design!$B$33),Design!$B$32,Design!$B$33)*1000000)&lt;0, 0, ($B21-C21*IF(ISBLANK(Design!$B$43),Constants!$C$6,Design!$B$43)/1000*(1+Constants!$C$36/100*(N21-25))-Design!$C$29)/(IF(ISBLANK(Design!$B$42),Design!$B$40,Design!$B$42)/1000000)*E21/100/(IF(ISBLANK(Design!$B$33),Design!$B$32,Design!$B$33)*1000000))</f>
        <v>0.51343363950106724</v>
      </c>
      <c r="G21" s="165">
        <f>B21*Constants!$C$21/1000+IF(ISBLANK(Design!$B$33),Design!$B$32,Design!$B$33)*1000000*Constants!$D$25/1000000000*(B21-Constants!$C$24)</f>
        <v>2.7970624999999985E-2</v>
      </c>
      <c r="H21" s="165">
        <f>B21*C21*(B21/(Constants!$C$26*1000000000)*IF(ISBLANK(Design!$B$33),Design!$B$32,Design!$B$33)*1000000/2+B21/(Constants!$C$27*1000000000)*IF(ISBLANK(Design!$B$33),Design!$B$32,Design!$B$33)*1000000/2)</f>
        <v>0.12331910677083321</v>
      </c>
      <c r="I21" s="165">
        <f t="shared" ca="1" si="0"/>
        <v>1.3237492733938312</v>
      </c>
      <c r="J21" s="165">
        <f>Constants!$D$25/1000000000*Constants!$C$24*IF(ISBLANK(Design!$B$33),Design!$B$32,Design!$B$33)*1000000</f>
        <v>1.0624999999999999E-2</v>
      </c>
      <c r="K21" s="165">
        <f t="shared" ca="1" si="4"/>
        <v>1.4856640051646646</v>
      </c>
      <c r="L21" s="165">
        <f t="shared" ca="1" si="5"/>
        <v>0.37819536634123491</v>
      </c>
      <c r="M21" s="166">
        <f ca="1">A21+L21*Design!$B$19</f>
        <v>106.55713588145039</v>
      </c>
      <c r="N21" s="166">
        <f ca="1">K21*Design!$C$12+A21</f>
        <v>135.51257617559861</v>
      </c>
      <c r="O21" s="166">
        <f ca="1">Constants!$D$22+Constants!$D$22*Constants!$C$23/100*(N21-25)</f>
        <v>213.4100609404789</v>
      </c>
      <c r="P21" s="165">
        <f ca="1">IF(100*(Design!$C$29+D21+C21*IF(ISBLANK(Design!$B$43),Constants!$C$6,Design!$B$43)/1000*(1+Constants!$C$36/100*(N21-25)))/($B21+D21-C21*O21/1000)&gt;Design!$C$36,  (1-Constants!$C$20/1000000000*IF(ISBLANK(Design!$B$33),Design!$B$32/4,Design!$B$33/4)*1000000) * ($B21+D21-C21*O21/1000) - (D21+C21*(1+($A21-25)*Constants!$C$36/100)*IF(ISBLANK(Design!$B$43),Constants!$C$6/1000,Design!$B$43/1000)),   (1-Constants!$C$20/1000000000*IF(ISBLANK(Design!$B$33),Design!$B$32,Design!$B$33)*1000000) * ($B21+D21-C21*O21/1000) - (D21+C21*(1+($A21-25)*Constants!$C$36/100)*IF(ISBLANK(Design!$B$43),Constants!$C$6/1000,Design!$B$43/1000)) )</f>
        <v>7.2291047301711888</v>
      </c>
      <c r="Q21" s="171">
        <f ca="1">IF(P21&gt;Design!$C$29,Design!$C$29,P21)</f>
        <v>4.9990521327014221</v>
      </c>
      <c r="R21" s="181">
        <f>2*Design!$D$7/3</f>
        <v>2</v>
      </c>
      <c r="S21" s="116">
        <f ca="1">FORECAST(R21, OFFSET(Design!$C$15:$C$17,MATCH(R21,Design!$B$15:$B$17,1)-1,0,2), OFFSET(Design!$B$15:$B$17,MATCH(R21,Design!$B$15:$B$17,1)-1,0,2))+(AB21-25)*Design!$B$18/1000</f>
        <v>0.38496567039531271</v>
      </c>
      <c r="T21" s="182">
        <f ca="1">IF(100*(Design!$C$29+S21+R21*IF(ISBLANK(Design!$B$43),Constants!$C$6,Design!$B$43)/1000*(1+Constants!$C$36/100*(AC21-25)))/($B21+S21-R21*AD21/1000)&gt;Design!$C$36,Design!$C$37,100*(Design!$C$29+S21+R21*IF(ISBLANK(Design!$B$43),Constants!$C$6,Design!$B$43)/1000*(1+Constants!$C$36/100*(AC21-25)))/($B21+S21-R21*AD21/1000))</f>
        <v>65.742377984972492</v>
      </c>
      <c r="U21" s="117">
        <f ca="1">IF(($B21-R21*IF(ISBLANK(Design!$B$43),Constants!$C$6,Design!$B$43)/1000*(1+Constants!$C$36/100*(AC21-25))-Design!$C$29)/(Design!$B$42/1000000)*T21/100/(IF(ISBLANK(IF(ISBLANK(Design!$B$42),Design!$B$40,Design!$B$42)),Design!$B$32,Design!$B$33)*1000000)&lt;0,0,($B21-R21*IF(ISBLANK(Design!$B$43),Constants!$C$6,Design!$B$43)/1000*(1+Constants!$C$36/100*(AC21-25))-Design!$C$29)/(IF(ISBLANK(Design!$B$42),Design!$B$40,Design!$B$42)/1000000)*T21/100/(IF(ISBLANK(Design!$B$33),Design!$B$32,Design!$B$33)*1000000))</f>
        <v>0.50125471693828683</v>
      </c>
      <c r="V21" s="183">
        <f>$B21*Constants!$C$21/1000+IF(ISBLANK(Design!$B$33),Design!$B$32,Design!$B$33)*1000000*Constants!$D$25/1000000000*($B21-Constants!$C$24)</f>
        <v>2.7970624999999985E-2</v>
      </c>
      <c r="W21" s="183">
        <f>$B21*R21*($B21/(Constants!$C$26*1000000000)*IF(ISBLANK(Design!$B$33),Design!$B$32,Design!$B$33)*1000000/2+$B21/(Constants!$C$27*1000000000)*IF(ISBLANK(Design!$B$33),Design!$B$32,Design!$B$33)*1000000/2)</f>
        <v>8.2212737847222148E-2</v>
      </c>
      <c r="X21" s="183">
        <f t="shared" ca="1" si="1"/>
        <v>0.50210760588154357</v>
      </c>
      <c r="Y21" s="183">
        <f>Constants!$D$25/1000000000*Constants!$C$24*IF(ISBLANK(Design!$B$33),Design!$B$32,Design!$B$33)*1000000</f>
        <v>1.0624999999999999E-2</v>
      </c>
      <c r="Z21" s="183">
        <f t="shared" ca="1" si="10"/>
        <v>0.62291596872876565</v>
      </c>
      <c r="AA21" s="183">
        <f t="shared" ca="1" si="7"/>
        <v>0.26376016850328576</v>
      </c>
      <c r="AB21" s="184">
        <f ca="1">$A21+AA21*Design!$B$19</f>
        <v>100.03432960468729</v>
      </c>
      <c r="AC21" s="184">
        <f ca="1">Z21*Design!$C$12+$A21</f>
        <v>106.17914293677804</v>
      </c>
      <c r="AD21" s="184">
        <f ca="1">Constants!$D$22+Constants!$D$22*Constants!$C$23/100*(AC21-25)</f>
        <v>189.94331434942245</v>
      </c>
      <c r="AE21" s="183">
        <f ca="1">IF(100*(Design!$C$29+S21+R21*IF(ISBLANK(Design!$B$43),Constants!$C$6,Design!$B$43)/1000*(1+Constants!$C$36/100*(AC21-25)))/($B21+S21-R21*AD21/1000)&gt;Design!$C$36,  (1-Constants!$C$20/1000000000*IF(ISBLANK(Design!$B$33),Design!$B$32/4,Design!$B$33/4)*1000000) * ($B21+S21-R21*AD21/1000) - (S21+R21*(1+($A21-25)*Constants!$C$36/100)*IF(ISBLANK(Design!$B$43),Constants!$C$6/1000,Design!$B$43/1000)),   (1-Constants!$C$20/1000000000*IF(ISBLANK(Design!$B$33),Design!$B$32,Design!$B$33)*1000000) * ($B21+S21-R21*AD21/1000) - (S21+R21*(1+($A21-25)*Constants!$C$36/100)*IF(ISBLANK(Design!$B$43),Constants!$C$6/1000,Design!$B$43/1000)) )</f>
        <v>7.529114929992657</v>
      </c>
      <c r="AF21" s="117">
        <f ca="1">IF(AE21&gt;Design!$C$29,Design!$C$29,AE21)</f>
        <v>4.9990521327014221</v>
      </c>
      <c r="AG21" s="118">
        <f>Design!$D$7/3</f>
        <v>1</v>
      </c>
      <c r="AH21" s="118">
        <f ca="1">FORECAST(AG21, OFFSET(Design!$C$15:$C$17,MATCH(AG21,Design!$B$15:$B$17,1)-1,0,2), OFFSET(Design!$B$15:$B$17,MATCH(AG21,Design!$B$15:$B$17,1)-1,0,2))+(AQ21-25)*Design!$B$18/1000</f>
        <v>0.31561111179314333</v>
      </c>
      <c r="AI21" s="194">
        <f ca="1">IF(100*(Design!$C$29+AH21+AG21*IF(ISBLANK(Design!$B$43),Constants!$C$6,Design!$B$43)/1000*(1+Constants!$C$36/100*(AR21-25)))/($B21+AH21-AG21*AS21/1000)&gt;Design!$C$36,Design!$C$37,100*(Design!$C$29+AH21+AG21*IF(ISBLANK(Design!$B$43),Constants!$C$6,Design!$B$43)/1000*(1+Constants!$C$36/100*(AR21-25)))/($B21+AH21-AG21*AS21/1000))</f>
        <v>63.250852343680862</v>
      </c>
      <c r="AJ21" s="119">
        <f ca="1">IF(($B21-AG21*IF(ISBLANK(Design!$B$43),Constants!$C$6,Design!$B$43)/1000*(1+Constants!$C$36/100*(AR21-25))-Design!$C$29)/(IF(ISBLANK(Design!$B$42),Design!$B$40,Design!$B$42)/1000000)*AI21/100/(IF(ISBLANK(Design!$B$33),Design!$B$32,Design!$B$33)*1000000)&lt;0,0,($B21-AG21*IF(ISBLANK(Design!$B$43),Constants!$C$6,Design!$B$43)/1000*(1+Constants!$C$36/100*(AR21-25))-Design!$C$29)/(IF(ISBLANK(Design!$B$42),Design!$B$40,Design!$B$42)/1000000)*AI21/100/(IF(ISBLANK(Design!$B$33),Design!$B$32,Design!$B$33)*1000000))</f>
        <v>0.49045083533779726</v>
      </c>
      <c r="AK21" s="195">
        <f>$B21*Constants!$C$21/1000+IF(ISBLANK(Design!$B$33),Design!$B$32,Design!$B$33)*1000000*Constants!$D$25/1000000000*($B21-Constants!$C$24)</f>
        <v>2.7970624999999985E-2</v>
      </c>
      <c r="AL21" s="195">
        <f>$B21*AG21*($B21/(Constants!$C$26*1000000000)*IF(ISBLANK(Design!$B$33),Design!$B$32,Design!$B$33)*1000000/2+$B21/(Constants!$C$27*1000000000)*IF(ISBLANK(Design!$B$33),Design!$B$32,Design!$B$33)*1000000/2)</f>
        <v>4.1106368923611074E-2</v>
      </c>
      <c r="AM21" s="195">
        <f t="shared" ca="1" si="2"/>
        <v>0.11503485168522469</v>
      </c>
      <c r="AN21" s="195">
        <f>Constants!$D$25/1000000000*Constants!$C$24*IF(ISBLANK(Design!$B$33),Design!$B$32,Design!$B$33)*1000000</f>
        <v>1.0624999999999999E-2</v>
      </c>
      <c r="AO21" s="195">
        <f t="shared" ca="1" si="11"/>
        <v>0.19473684560883575</v>
      </c>
      <c r="AP21" s="195">
        <f t="shared" ca="1" si="9"/>
        <v>0.11598439349261271</v>
      </c>
      <c r="AQ21" s="196">
        <f ca="1">$A21+AP21*Design!$B$19</f>
        <v>91.61111042907892</v>
      </c>
      <c r="AR21" s="196">
        <f ca="1">AO21*Design!$C$12+$A21</f>
        <v>91.621052750700414</v>
      </c>
      <c r="AS21" s="196">
        <f ca="1">Constants!$D$22+Constants!$D$22*Constants!$C$23/100*(AR21-25)</f>
        <v>178.29684220056032</v>
      </c>
      <c r="AT21" s="195">
        <f ca="1">IF(100*(Design!$C$29+AH21+AG21*IF(ISBLANK(Design!$B$43),Constants!$C$6,Design!$B$43)/1000*(1+Constants!$C$36/100*(AR21-25)))/($B21+AH21-AG21*AS21/1000)&gt;Design!$C$36,  (1-Constants!$C$20/1000000000*IF(ISBLANK(Design!$B$33),Design!$B$32/4,Design!$B$33/4)*1000000) * ($B21+AH21-AG21*AS21/1000) - (AH21+AG21*(1+($A21-25)*Constants!$C$36/100)*IF(ISBLANK(Design!$B$43),Constants!$C$6/1000,Design!$B$43/1000)),   (1-Constants!$C$20/1000000000*IF(ISBLANK(Design!$B$33),Design!$B$32,Design!$B$33)*1000000) * ($B21+AH21-AG21*AS21/1000) - (AH21+AG21*(1+($A21-25)*Constants!$C$36/100)*IF(ISBLANK(Design!$B$43),Constants!$C$6/1000,Design!$B$43/1000)) )</f>
        <v>7.7747977191646367</v>
      </c>
      <c r="AU21" s="119">
        <f ca="1">IF(AT21&gt;Design!$C$29,Design!$C$29,AT21)</f>
        <v>4.9990521327014221</v>
      </c>
    </row>
    <row r="22" spans="1:47" s="120" customFormat="1" ht="12.75" customHeight="1" x14ac:dyDescent="0.2">
      <c r="A22" s="112">
        <f>Design!$D$13</f>
        <v>85</v>
      </c>
      <c r="B22" s="113">
        <f t="shared" si="3"/>
        <v>8.1299999999999972</v>
      </c>
      <c r="C22" s="114">
        <f>Design!$D$7</f>
        <v>3</v>
      </c>
      <c r="D22" s="114">
        <f ca="1">FORECAST(C22, OFFSET(Design!$C$15:$C$17,MATCH(C22,Design!$B$15:$B$17,1)-1,0,2), OFFSET(Design!$B$15:$B$17,MATCH(C22,Design!$B$15:$B$17,1)-1,0,2))+(M22-25)*Design!$B$18/1000</f>
        <v>0.40469787944531316</v>
      </c>
      <c r="E22" s="173">
        <f ca="1">IF(100*(Design!$C$29+D22+C22*IF(ISBLANK(Design!$B$43),Constants!$C$6,Design!$B$43)/1000*(1+Constants!$C$36/100*(N22-25)))/($B22+D22-C22*O22/1000)&gt;Design!$C$36,Design!$C$37,100*(Design!$C$29+D22+C22*IF(ISBLANK(Design!$B$43),Constants!$C$6,Design!$B$43)/1000*(1+Constants!$C$36/100*(N22-25)))/($B22+D22-C22*O22/1000))</f>
        <v>70.663090362685594</v>
      </c>
      <c r="F22" s="115">
        <f ca="1">IF(($B22-C22*IF(ISBLANK(Design!$B$43),Constants!$C$6,Design!$B$43)/1000*(1+Constants!$C$36/100*(N22-25))-Design!$C$29)/(IF(ISBLANK(Design!$B$42),Design!$B$40,Design!$B$42)/1000000)*E22/100/(IF(ISBLANK(Design!$B$33),Design!$B$32,Design!$B$33)*1000000)&lt;0, 0, ($B22-C22*IF(ISBLANK(Design!$B$43),Constants!$C$6,Design!$B$43)/1000*(1+Constants!$C$36/100*(N22-25))-Design!$C$29)/(IF(ISBLANK(Design!$B$42),Design!$B$40,Design!$B$42)/1000000)*E22/100/(IF(ISBLANK(Design!$B$33),Design!$B$32,Design!$B$33)*1000000))</f>
        <v>0.49185881912753143</v>
      </c>
      <c r="G22" s="165">
        <f>B22*Constants!$C$21/1000+IF(ISBLANK(Design!$B$33),Design!$B$32,Design!$B$33)*1000000*Constants!$D$25/1000000000*(B22-Constants!$C$24)</f>
        <v>2.6976249999999986E-2</v>
      </c>
      <c r="H22" s="165">
        <f>B22*C22*(B22/(Constants!$C$26*1000000000)*IF(ISBLANK(Design!$B$33),Design!$B$32,Design!$B$33)*1000000/2+B22/(Constants!$C$27*1000000000)*IF(ISBLANK(Design!$B$33),Design!$B$32,Design!$B$33)*1000000/2)</f>
        <v>0.11704659374999994</v>
      </c>
      <c r="I22" s="165">
        <f t="shared" ca="1" si="0"/>
        <v>1.3663928084735033</v>
      </c>
      <c r="J22" s="165">
        <f>Constants!$D$25/1000000000*Constants!$C$24*IF(ISBLANK(Design!$B$33),Design!$B$32,Design!$B$33)*1000000</f>
        <v>1.0624999999999999E-2</v>
      </c>
      <c r="K22" s="165">
        <f t="shared" ca="1" si="4"/>
        <v>1.5210406522235034</v>
      </c>
      <c r="L22" s="165">
        <f t="shared" ca="1" si="5"/>
        <v>0.35617755359099729</v>
      </c>
      <c r="M22" s="166">
        <f ca="1">A22+L22*Design!$B$19</f>
        <v>105.30212055468684</v>
      </c>
      <c r="N22" s="166">
        <f ca="1">K22*Design!$C$12+A22</f>
        <v>136.71538217559913</v>
      </c>
      <c r="O22" s="166">
        <f ca="1">Constants!$D$22+Constants!$D$22*Constants!$C$23/100*(N22-25)</f>
        <v>214.37230574047931</v>
      </c>
      <c r="P22" s="165">
        <f ca="1">IF(100*(Design!$C$29+D22+C22*IF(ISBLANK(Design!$B$43),Constants!$C$6,Design!$B$43)/1000*(1+Constants!$C$36/100*(N22-25)))/($B22+D22-C22*O22/1000)&gt;Design!$C$36,  (1-Constants!$C$20/1000000000*IF(ISBLANK(Design!$B$33),Design!$B$32/4,Design!$B$33/4)*1000000) * ($B22+D22-C22*O22/1000) - (D22+C22*(1+($A22-25)*Constants!$C$36/100)*IF(ISBLANK(Design!$B$43),Constants!$C$6/1000,Design!$B$43/1000)),   (1-Constants!$C$20/1000000000*IF(ISBLANK(Design!$B$33),Design!$B$32,Design!$B$33)*1000000) * ($B22+D22-C22*O22/1000) - (D22+C22*(1+($A22-25)*Constants!$C$36/100)*IF(ISBLANK(Design!$B$43),Constants!$C$6/1000,Design!$B$43/1000)) )</f>
        <v>7.0199645014287713</v>
      </c>
      <c r="Q22" s="171">
        <f ca="1">IF(P22&gt;Design!$C$29,Design!$C$29,P22)</f>
        <v>4.9990521327014221</v>
      </c>
      <c r="R22" s="181">
        <f>2*Design!$D$7/3</f>
        <v>2</v>
      </c>
      <c r="S22" s="116">
        <f ca="1">FORECAST(R22, OFFSET(Design!$C$15:$C$17,MATCH(R22,Design!$B$15:$B$17,1)-1,0,2), OFFSET(Design!$B$15:$B$17,MATCH(R22,Design!$B$15:$B$17,1)-1,0,2))+(AB22-25)*Design!$B$18/1000</f>
        <v>0.38570429660457417</v>
      </c>
      <c r="T22" s="182">
        <f ca="1">IF(100*(Design!$C$29+S22+R22*IF(ISBLANK(Design!$B$43),Constants!$C$6,Design!$B$43)/1000*(1+Constants!$C$36/100*(AC22-25)))/($B22+S22-R22*AD22/1000)&gt;Design!$C$36,Design!$C$37,100*(Design!$C$29+S22+R22*IF(ISBLANK(Design!$B$43),Constants!$C$6,Design!$B$43)/1000*(1+Constants!$C$36/100*(AC22-25)))/($B22+S22-R22*AD22/1000))</f>
        <v>67.487811755962554</v>
      </c>
      <c r="U22" s="117">
        <f ca="1">IF(($B22-R22*IF(ISBLANK(Design!$B$43),Constants!$C$6,Design!$B$43)/1000*(1+Constants!$C$36/100*(AC22-25))-Design!$C$29)/(Design!$B$42/1000000)*T22/100/(IF(ISBLANK(IF(ISBLANK(Design!$B$42),Design!$B$40,Design!$B$42)),Design!$B$32,Design!$B$33)*1000000)&lt;0,0,($B22-R22*IF(ISBLANK(Design!$B$43),Constants!$C$6,Design!$B$43)/1000*(1+Constants!$C$36/100*(AC22-25))-Design!$C$29)/(IF(ISBLANK(Design!$B$42),Design!$B$40,Design!$B$42)/1000000)*T22/100/(IF(ISBLANK(Design!$B$33),Design!$B$32,Design!$B$33)*1000000))</f>
        <v>0.48040739143796957</v>
      </c>
      <c r="V22" s="183">
        <f>$B22*Constants!$C$21/1000+IF(ISBLANK(Design!$B$33),Design!$B$32,Design!$B$33)*1000000*Constants!$D$25/1000000000*($B22-Constants!$C$24)</f>
        <v>2.6976249999999986E-2</v>
      </c>
      <c r="W22" s="183">
        <f>$B22*R22*($B22/(Constants!$C$26*1000000000)*IF(ISBLANK(Design!$B$33),Design!$B$32,Design!$B$33)*1000000/2+$B22/(Constants!$C$27*1000000000)*IF(ISBLANK(Design!$B$33),Design!$B$32,Design!$B$33)*1000000/2)</f>
        <v>7.8031062499999956E-2</v>
      </c>
      <c r="X22" s="183">
        <f t="shared" ca="1" si="1"/>
        <v>0.51585191013157772</v>
      </c>
      <c r="Y22" s="183">
        <f>Constants!$D$25/1000000000*Constants!$C$24*IF(ISBLANK(Design!$B$33),Design!$B$32,Design!$B$33)*1000000</f>
        <v>1.0624999999999999E-2</v>
      </c>
      <c r="Z22" s="183">
        <f t="shared" ca="1" si="10"/>
        <v>0.63148422263157766</v>
      </c>
      <c r="AA22" s="183">
        <f t="shared" ca="1" si="7"/>
        <v>0.25080181395483936</v>
      </c>
      <c r="AB22" s="184">
        <f ca="1">$A22+AA22*Design!$B$19</f>
        <v>99.295703395425846</v>
      </c>
      <c r="AC22" s="184">
        <f ca="1">Z22*Design!$C$12+$A22</f>
        <v>106.47046356947364</v>
      </c>
      <c r="AD22" s="184">
        <f ca="1">Constants!$D$22+Constants!$D$22*Constants!$C$23/100*(AC22-25)</f>
        <v>190.17637085557891</v>
      </c>
      <c r="AE22" s="183">
        <f ca="1">IF(100*(Design!$C$29+S22+R22*IF(ISBLANK(Design!$B$43),Constants!$C$6,Design!$B$43)/1000*(1+Constants!$C$36/100*(AC22-25)))/($B22+S22-R22*AD22/1000)&gt;Design!$C$36,  (1-Constants!$C$20/1000000000*IF(ISBLANK(Design!$B$33),Design!$B$32/4,Design!$B$33/4)*1000000) * ($B22+S22-R22*AD22/1000) - (S22+R22*(1+($A22-25)*Constants!$C$36/100)*IF(ISBLANK(Design!$B$43),Constants!$C$6/1000,Design!$B$43/1000)),   (1-Constants!$C$20/1000000000*IF(ISBLANK(Design!$B$33),Design!$B$32,Design!$B$33)*1000000) * ($B22+S22-R22*AD22/1000) - (S22+R22*(1+($A22-25)*Constants!$C$36/100)*IF(ISBLANK(Design!$B$43),Constants!$C$6/1000,Design!$B$43/1000)) )</f>
        <v>7.3223184392600169</v>
      </c>
      <c r="AF22" s="117">
        <f ca="1">IF(AE22&gt;Design!$C$29,Design!$C$29,AE22)</f>
        <v>4.9990521327014221</v>
      </c>
      <c r="AG22" s="118">
        <f>Design!$D$7/3</f>
        <v>1</v>
      </c>
      <c r="AH22" s="118">
        <f ca="1">FORECAST(AG22, OFFSET(Design!$C$15:$C$17,MATCH(AG22,Design!$B$15:$B$17,1)-1,0,2), OFFSET(Design!$B$15:$B$17,MATCH(AG22,Design!$B$15:$B$17,1)-1,0,2))+(AQ22-25)*Design!$B$18/1000</f>
        <v>0.31590142596444437</v>
      </c>
      <c r="AI22" s="194">
        <f ca="1">IF(100*(Design!$C$29+AH22+AG22*IF(ISBLANK(Design!$B$43),Constants!$C$6,Design!$B$43)/1000*(1+Constants!$C$36/100*(AR22-25)))/($B22+AH22-AG22*AS22/1000)&gt;Design!$C$36,Design!$C$37,100*(Design!$C$29+AH22+AG22*IF(ISBLANK(Design!$B$43),Constants!$C$6,Design!$B$43)/1000*(1+Constants!$C$36/100*(AR22-25)))/($B22+AH22-AG22*AS22/1000))</f>
        <v>64.896909826030054</v>
      </c>
      <c r="AJ22" s="119">
        <f ca="1">IF(($B22-AG22*IF(ISBLANK(Design!$B$43),Constants!$C$6,Design!$B$43)/1000*(1+Constants!$C$36/100*(AR22-25))-Design!$C$29)/(IF(ISBLANK(Design!$B$42),Design!$B$40,Design!$B$42)/1000000)*AI22/100/(IF(ISBLANK(Design!$B$33),Design!$B$32,Design!$B$33)*1000000)&lt;0,0,($B22-AG22*IF(ISBLANK(Design!$B$43),Constants!$C$6,Design!$B$43)/1000*(1+Constants!$C$36/100*(AR22-25))-Design!$C$29)/(IF(ISBLANK(Design!$B$42),Design!$B$40,Design!$B$42)/1000000)*AI22/100/(IF(ISBLANK(Design!$B$33),Design!$B$32,Design!$B$33)*1000000))</f>
        <v>0.47038449115110431</v>
      </c>
      <c r="AK22" s="195">
        <f>$B22*Constants!$C$21/1000+IF(ISBLANK(Design!$B$33),Design!$B$32,Design!$B$33)*1000000*Constants!$D$25/1000000000*($B22-Constants!$C$24)</f>
        <v>2.6976249999999986E-2</v>
      </c>
      <c r="AL22" s="195">
        <f>$B22*AG22*($B22/(Constants!$C$26*1000000000)*IF(ISBLANK(Design!$B$33),Design!$B$32,Design!$B$33)*1000000/2+$B22/(Constants!$C$27*1000000000)*IF(ISBLANK(Design!$B$33),Design!$B$32,Design!$B$33)*1000000/2)</f>
        <v>3.9015531249999978E-2</v>
      </c>
      <c r="AM22" s="195">
        <f t="shared" ca="1" si="2"/>
        <v>0.11783756106476416</v>
      </c>
      <c r="AN22" s="195">
        <f>Constants!$D$25/1000000000*Constants!$C$24*IF(ISBLANK(Design!$B$33),Design!$B$32,Design!$B$33)*1000000</f>
        <v>1.0624999999999999E-2</v>
      </c>
      <c r="AO22" s="195">
        <f t="shared" ca="1" si="11"/>
        <v>0.19445434231476411</v>
      </c>
      <c r="AP22" s="195">
        <f t="shared" ca="1" si="9"/>
        <v>0.1108911624171558</v>
      </c>
      <c r="AQ22" s="196">
        <f ca="1">$A22+AP22*Design!$B$19</f>
        <v>91.320796257777886</v>
      </c>
      <c r="AR22" s="196">
        <f ca="1">AO22*Design!$C$12+$A22</f>
        <v>91.611447638701975</v>
      </c>
      <c r="AS22" s="196">
        <f ca="1">Constants!$D$22+Constants!$D$22*Constants!$C$23/100*(AR22-25)</f>
        <v>178.28915811096158</v>
      </c>
      <c r="AT22" s="195">
        <f ca="1">IF(100*(Design!$C$29+AH22+AG22*IF(ISBLANK(Design!$B$43),Constants!$C$6,Design!$B$43)/1000*(1+Constants!$C$36/100*(AR22-25)))/($B22+AH22-AG22*AS22/1000)&gt;Design!$C$36,  (1-Constants!$C$20/1000000000*IF(ISBLANK(Design!$B$33),Design!$B$32/4,Design!$B$33/4)*1000000) * ($B22+AH22-AG22*AS22/1000) - (AH22+AG22*(1+($A22-25)*Constants!$C$36/100)*IF(ISBLANK(Design!$B$43),Constants!$C$6/1000,Design!$B$43/1000)),   (1-Constants!$C$20/1000000000*IF(ISBLANK(Design!$B$33),Design!$B$32,Design!$B$33)*1000000) * ($B22+AH22-AG22*AS22/1000) - (AH22+AG22*(1+($A22-25)*Constants!$C$36/100)*IF(ISBLANK(Design!$B$43),Constants!$C$6/1000,Design!$B$43/1000)) )</f>
        <v>7.5684739965744505</v>
      </c>
      <c r="AU22" s="119">
        <f ca="1">IF(AT22&gt;Design!$C$29,Design!$C$29,AT22)</f>
        <v>4.9990521327014221</v>
      </c>
    </row>
    <row r="23" spans="1:47" s="120" customFormat="1" ht="12.75" customHeight="1" x14ac:dyDescent="0.2">
      <c r="A23" s="112">
        <f>Design!$D$13</f>
        <v>85</v>
      </c>
      <c r="B23" s="113">
        <f t="shared" si="3"/>
        <v>7.9149999999999974</v>
      </c>
      <c r="C23" s="114">
        <f>Design!$D$7</f>
        <v>3</v>
      </c>
      <c r="D23" s="114">
        <f ca="1">FORECAST(C23, OFFSET(Design!$C$15:$C$17,MATCH(C23,Design!$B$15:$B$17,1)-1,0,2), OFFSET(Design!$B$15:$B$17,MATCH(C23,Design!$B$15:$B$17,1)-1,0,2))+(M23-25)*Design!$B$18/1000</f>
        <v>0.40603453412475571</v>
      </c>
      <c r="E23" s="173">
        <f ca="1">IF(100*(Design!$C$29+D23+C23*IF(ISBLANK(Design!$B$43),Constants!$C$6,Design!$B$43)/1000*(1+Constants!$C$36/100*(N23-25)))/($B23+D23-C23*O23/1000)&gt;Design!$C$36,Design!$C$37,100*(Design!$C$29+D23+C23*IF(ISBLANK(Design!$B$43),Constants!$C$6,Design!$B$43)/1000*(1+Constants!$C$36/100*(N23-25)))/($B23+D23-C23*O23/1000))</f>
        <v>72.684797019976173</v>
      </c>
      <c r="F23" s="115">
        <f ca="1">IF(($B23-C23*IF(ISBLANK(Design!$B$43),Constants!$C$6,Design!$B$43)/1000*(1+Constants!$C$36/100*(N23-25))-Design!$C$29)/(IF(ISBLANK(Design!$B$42),Design!$B$40,Design!$B$42)/1000000)*E23/100/(IF(ISBLANK(Design!$B$33),Design!$B$32,Design!$B$33)*1000000)&lt;0, 0, ($B23-C23*IF(ISBLANK(Design!$B$43),Constants!$C$6,Design!$B$43)/1000*(1+Constants!$C$36/100*(N23-25))-Design!$C$29)/(IF(ISBLANK(Design!$B$42),Design!$B$40,Design!$B$42)/1000000)*E23/100/(IF(ISBLANK(Design!$B$33),Design!$B$32,Design!$B$33)*1000000))</f>
        <v>0.46905538210591913</v>
      </c>
      <c r="G23" s="165">
        <f>B23*Constants!$C$21/1000+IF(ISBLANK(Design!$B$33),Design!$B$32,Design!$B$33)*1000000*Constants!$D$25/1000000000*(B23-Constants!$C$24)</f>
        <v>2.5981874999999988E-2</v>
      </c>
      <c r="H23" s="165">
        <f>B23*C23*(B23/(Constants!$C$26*1000000000)*IF(ISBLANK(Design!$B$33),Design!$B$32,Design!$B$33)*1000000/2+B23/(Constants!$C$27*1000000000)*IF(ISBLANK(Design!$B$33),Design!$B$32,Design!$B$33)*1000000/2)</f>
        <v>0.11093779427083325</v>
      </c>
      <c r="I23" s="165">
        <f t="shared" ca="1" si="0"/>
        <v>1.4120809805938375</v>
      </c>
      <c r="J23" s="165">
        <f>Constants!$D$25/1000000000*Constants!$C$24*IF(ISBLANK(Design!$B$33),Design!$B$32,Design!$B$33)*1000000</f>
        <v>1.0624999999999999E-2</v>
      </c>
      <c r="K23" s="165">
        <f t="shared" ca="1" si="4"/>
        <v>1.5596256498646708</v>
      </c>
      <c r="L23" s="165">
        <f t="shared" ca="1" si="5"/>
        <v>0.33272747149551335</v>
      </c>
      <c r="M23" s="166">
        <f ca="1">A23+L23*Design!$B$19</f>
        <v>103.96546587524426</v>
      </c>
      <c r="N23" s="166">
        <f ca="1">K23*Design!$C$12+A23</f>
        <v>138.02727209539881</v>
      </c>
      <c r="O23" s="166">
        <f ca="1">Constants!$D$22+Constants!$D$22*Constants!$C$23/100*(N23-25)</f>
        <v>215.42181767631905</v>
      </c>
      <c r="P23" s="165">
        <f ca="1">IF(100*(Design!$C$29+D23+C23*IF(ISBLANK(Design!$B$43),Constants!$C$6,Design!$B$43)/1000*(1+Constants!$C$36/100*(N23-25)))/($B23+D23-C23*O23/1000)&gt;Design!$C$36,  (1-Constants!$C$20/1000000000*IF(ISBLANK(Design!$B$33),Design!$B$32/4,Design!$B$33/4)*1000000) * ($B23+D23-C23*O23/1000) - (D23+C23*(1+($A23-25)*Constants!$C$36/100)*IF(ISBLANK(Design!$B$43),Constants!$C$6/1000,Design!$B$43/1000)),   (1-Constants!$C$20/1000000000*IF(ISBLANK(Design!$B$33),Design!$B$32,Design!$B$33)*1000000) * ($B23+D23-C23*O23/1000) - (D23+C23*(1+($A23-25)*Constants!$C$36/100)*IF(ISBLANK(Design!$B$43),Constants!$C$6/1000,Design!$B$43/1000)) )</f>
        <v>6.8105697453217964</v>
      </c>
      <c r="Q23" s="171">
        <f ca="1">IF(P23&gt;Design!$C$29,Design!$C$29,P23)</f>
        <v>4.9990521327014221</v>
      </c>
      <c r="R23" s="181">
        <f>2*Design!$D$7/3</f>
        <v>2</v>
      </c>
      <c r="S23" s="116">
        <f ca="1">FORECAST(R23, OFFSET(Design!$C$15:$C$17,MATCH(R23,Design!$B$15:$B$17,1)-1,0,2), OFFSET(Design!$B$15:$B$17,MATCH(R23,Design!$B$15:$B$17,1)-1,0,2))+(AB23-25)*Design!$B$18/1000</f>
        <v>0.38648635930445741</v>
      </c>
      <c r="T23" s="182">
        <f ca="1">IF(100*(Design!$C$29+S23+R23*IF(ISBLANK(Design!$B$43),Constants!$C$6,Design!$B$43)/1000*(1+Constants!$C$36/100*(AC23-25)))/($B23+S23-R23*AD23/1000)&gt;Design!$C$36,Design!$C$37,100*(Design!$C$29+S23+R23*IF(ISBLANK(Design!$B$43),Constants!$C$6,Design!$B$43)/1000*(1+Constants!$C$36/100*(AC23-25)))/($B23+S23-R23*AD23/1000))</f>
        <v>69.328617944247952</v>
      </c>
      <c r="U23" s="117">
        <f ca="1">IF(($B23-R23*IF(ISBLANK(Design!$B$43),Constants!$C$6,Design!$B$43)/1000*(1+Constants!$C$36/100*(AC23-25))-Design!$C$29)/(Design!$B$42/1000000)*T23/100/(IF(ISBLANK(IF(ISBLANK(Design!$B$42),Design!$B$40,Design!$B$42)),Design!$B$32,Design!$B$33)*1000000)&lt;0,0,($B23-R23*IF(ISBLANK(Design!$B$43),Constants!$C$6,Design!$B$43)/1000*(1+Constants!$C$36/100*(AC23-25))-Design!$C$29)/(IF(ISBLANK(Design!$B$42),Design!$B$40,Design!$B$42)/1000000)*T23/100/(IF(ISBLANK(Design!$B$33),Design!$B$32,Design!$B$33)*1000000))</f>
        <v>0.45842236153634075</v>
      </c>
      <c r="V23" s="183">
        <f>$B23*Constants!$C$21/1000+IF(ISBLANK(Design!$B$33),Design!$B$32,Design!$B$33)*1000000*Constants!$D$25/1000000000*($B23-Constants!$C$24)</f>
        <v>2.5981874999999988E-2</v>
      </c>
      <c r="W23" s="183">
        <f>$B23*R23*($B23/(Constants!$C$26*1000000000)*IF(ISBLANK(Design!$B$33),Design!$B$32,Design!$B$33)*1000000/2+$B23/(Constants!$C$27*1000000000)*IF(ISBLANK(Design!$B$33),Design!$B$32,Design!$B$33)*1000000/2)</f>
        <v>7.3958529513888843E-2</v>
      </c>
      <c r="X23" s="183">
        <f t="shared" ca="1" si="1"/>
        <v>0.53041500327572189</v>
      </c>
      <c r="Y23" s="183">
        <f>Constants!$D$25/1000000000*Constants!$C$24*IF(ISBLANK(Design!$B$33),Design!$B$32,Design!$B$33)*1000000</f>
        <v>1.0624999999999999E-2</v>
      </c>
      <c r="Z23" s="183">
        <f t="shared" ca="1" si="10"/>
        <v>0.64098040778961074</v>
      </c>
      <c r="AA23" s="183">
        <f t="shared" ca="1" si="7"/>
        <v>0.23708141571127347</v>
      </c>
      <c r="AB23" s="184">
        <f ca="1">$A23+AA23*Design!$B$19</f>
        <v>98.513640695542591</v>
      </c>
      <c r="AC23" s="184">
        <f ca="1">Z23*Design!$C$12+$A23</f>
        <v>106.79333386484677</v>
      </c>
      <c r="AD23" s="184">
        <f ca="1">Constants!$D$22+Constants!$D$22*Constants!$C$23/100*(AC23-25)</f>
        <v>190.43466709187743</v>
      </c>
      <c r="AE23" s="183">
        <f ca="1">IF(100*(Design!$C$29+S23+R23*IF(ISBLANK(Design!$B$43),Constants!$C$6,Design!$B$43)/1000*(1+Constants!$C$36/100*(AC23-25)))/($B23+S23-R23*AD23/1000)&gt;Design!$C$36,  (1-Constants!$C$20/1000000000*IF(ISBLANK(Design!$B$33),Design!$B$32/4,Design!$B$33/4)*1000000) * ($B23+S23-R23*AD23/1000) - (S23+R23*(1+($A23-25)*Constants!$C$36/100)*IF(ISBLANK(Design!$B$43),Constants!$C$6/1000,Design!$B$43/1000)),   (1-Constants!$C$20/1000000000*IF(ISBLANK(Design!$B$33),Design!$B$32,Design!$B$33)*1000000) * ($B23+S23-R23*AD23/1000) - (S23+R23*(1+($A23-25)*Constants!$C$36/100)*IF(ISBLANK(Design!$B$43),Constants!$C$6/1000,Design!$B$43/1000)) )</f>
        <v>7.115471753426994</v>
      </c>
      <c r="AF23" s="117">
        <f ca="1">IF(AE23&gt;Design!$C$29,Design!$C$29,AE23)</f>
        <v>4.9990521327014221</v>
      </c>
      <c r="AG23" s="118">
        <f>Design!$D$7/3</f>
        <v>1</v>
      </c>
      <c r="AH23" s="118">
        <f ca="1">FORECAST(AG23, OFFSET(Design!$C$15:$C$17,MATCH(AG23,Design!$B$15:$B$17,1)-1,0,2), OFFSET(Design!$B$15:$B$17,MATCH(AG23,Design!$B$15:$B$17,1)-1,0,2))+(AQ23-25)*Design!$B$18/1000</f>
        <v>0.31620782106680717</v>
      </c>
      <c r="AI23" s="194">
        <f ca="1">IF(100*(Design!$C$29+AH23+AG23*IF(ISBLANK(Design!$B$43),Constants!$C$6,Design!$B$43)/1000*(1+Constants!$C$36/100*(AR23-25)))/($B23+AH23-AG23*AS23/1000)&gt;Design!$C$36,Design!$C$37,100*(Design!$C$29+AH23+AG23*IF(ISBLANK(Design!$B$43),Constants!$C$6,Design!$B$43)/1000*(1+Constants!$C$36/100*(AR23-25)))/($B23+AH23-AG23*AS23/1000))</f>
        <v>66.630866564862487</v>
      </c>
      <c r="AJ23" s="119">
        <f ca="1">IF(($B23-AG23*IF(ISBLANK(Design!$B$43),Constants!$C$6,Design!$B$43)/1000*(1+Constants!$C$36/100*(AR23-25))-Design!$C$29)/(IF(ISBLANK(Design!$B$42),Design!$B$40,Design!$B$42)/1000000)*AI23/100/(IF(ISBLANK(Design!$B$33),Design!$B$32,Design!$B$33)*1000000)&lt;0,0,($B23-AG23*IF(ISBLANK(Design!$B$43),Constants!$C$6,Design!$B$43)/1000*(1+Constants!$C$36/100*(AR23-25))-Design!$C$29)/(IF(ISBLANK(Design!$B$42),Design!$B$40,Design!$B$42)/1000000)*AI23/100/(IF(ISBLANK(Design!$B$33),Design!$B$32,Design!$B$33)*1000000))</f>
        <v>0.44924520605922436</v>
      </c>
      <c r="AK23" s="195">
        <f>$B23*Constants!$C$21/1000+IF(ISBLANK(Design!$B$33),Design!$B$32,Design!$B$33)*1000000*Constants!$D$25/1000000000*($B23-Constants!$C$24)</f>
        <v>2.5981874999999988E-2</v>
      </c>
      <c r="AL23" s="195">
        <f>$B23*AG23*($B23/(Constants!$C$26*1000000000)*IF(ISBLANK(Design!$B$33),Design!$B$32,Design!$B$33)*1000000/2+$B23/(Constants!$C$27*1000000000)*IF(ISBLANK(Design!$B$33),Design!$B$32,Design!$B$33)*1000000/2)</f>
        <v>3.6979264756944422E-2</v>
      </c>
      <c r="AM23" s="195">
        <f t="shared" ca="1" si="2"/>
        <v>0.12079216642652527</v>
      </c>
      <c r="AN23" s="195">
        <f>Constants!$D$25/1000000000*Constants!$C$24*IF(ISBLANK(Design!$B$33),Design!$B$32,Design!$B$33)*1000000</f>
        <v>1.0624999999999999E-2</v>
      </c>
      <c r="AO23" s="195">
        <f t="shared" ca="1" si="11"/>
        <v>0.19437830618346968</v>
      </c>
      <c r="AP23" s="195">
        <f t="shared" ca="1" si="9"/>
        <v>0.10551580974412374</v>
      </c>
      <c r="AQ23" s="196">
        <f ca="1">$A23+AP23*Design!$B$19</f>
        <v>91.014401155415058</v>
      </c>
      <c r="AR23" s="196">
        <f ca="1">AO23*Design!$C$12+$A23</f>
        <v>91.608862410237975</v>
      </c>
      <c r="AS23" s="196">
        <f ca="1">Constants!$D$22+Constants!$D$22*Constants!$C$23/100*(AR23-25)</f>
        <v>178.28708992819037</v>
      </c>
      <c r="AT23" s="195">
        <f ca="1">IF(100*(Design!$C$29+AH23+AG23*IF(ISBLANK(Design!$B$43),Constants!$C$6,Design!$B$43)/1000*(1+Constants!$C$36/100*(AR23-25)))/($B23+AH23-AG23*AS23/1000)&gt;Design!$C$36,  (1-Constants!$C$20/1000000000*IF(ISBLANK(Design!$B$33),Design!$B$32/4,Design!$B$33/4)*1000000) * ($B23+AH23-AG23*AS23/1000) - (AH23+AG23*(1+($A23-25)*Constants!$C$36/100)*IF(ISBLANK(Design!$B$43),Constants!$C$6/1000,Design!$B$43/1000)),   (1-Constants!$C$20/1000000000*IF(ISBLANK(Design!$B$33),Design!$B$32,Design!$B$33)*1000000) * ($B23+AH23-AG23*AS23/1000) - (AH23+AG23*(1+($A23-25)*Constants!$C$36/100)*IF(ISBLANK(Design!$B$43),Constants!$C$6/1000,Design!$B$43/1000)) )</f>
        <v>7.3621442355520852</v>
      </c>
      <c r="AU23" s="119">
        <f ca="1">IF(AT23&gt;Design!$C$29,Design!$C$29,AT23)</f>
        <v>4.9990521327014221</v>
      </c>
    </row>
    <row r="24" spans="1:47" s="120" customFormat="1" ht="12.75" customHeight="1" x14ac:dyDescent="0.2">
      <c r="A24" s="112">
        <f>Design!$D$13</f>
        <v>85</v>
      </c>
      <c r="B24" s="113">
        <f t="shared" si="3"/>
        <v>7.6999999999999975</v>
      </c>
      <c r="C24" s="114">
        <f>Design!$D$7</f>
        <v>3</v>
      </c>
      <c r="D24" s="114">
        <f ca="1">FORECAST(C24, OFFSET(Design!$C$15:$C$17,MATCH(C24,Design!$B$15:$B$17,1)-1,0,2), OFFSET(Design!$B$15:$B$17,MATCH(C24,Design!$B$15:$B$17,1)-1,0,2))+(M24-25)*Design!$B$18/1000</f>
        <v>0.40746120682152898</v>
      </c>
      <c r="E24" s="173">
        <f ca="1">IF(100*(Design!$C$29+D24+C24*IF(ISBLANK(Design!$B$43),Constants!$C$6,Design!$B$43)/1000*(1+Constants!$C$36/100*(N24-25)))/($B24+D24-C24*O24/1000)&gt;Design!$C$36,Design!$C$37,100*(Design!$C$29+D24+C24*IF(ISBLANK(Design!$B$43),Constants!$C$6,Design!$B$43)/1000*(1+Constants!$C$36/100*(N24-25)))/($B24+D24-C24*O24/1000))</f>
        <v>74.828022824688844</v>
      </c>
      <c r="F24" s="115">
        <f ca="1">IF(($B24-C24*IF(ISBLANK(Design!$B$43),Constants!$C$6,Design!$B$43)/1000*(1+Constants!$C$36/100*(N24-25))-Design!$C$29)/(IF(ISBLANK(Design!$B$42),Design!$B$40,Design!$B$42)/1000000)*E24/100/(IF(ISBLANK(Design!$B$33),Design!$B$32,Design!$B$33)*1000000)&lt;0, 0, ($B24-C24*IF(ISBLANK(Design!$B$43),Constants!$C$6,Design!$B$43)/1000*(1+Constants!$C$36/100*(N24-25))-Design!$C$29)/(IF(ISBLANK(Design!$B$42),Design!$B$40,Design!$B$42)/1000000)*E24/100/(IF(ISBLANK(Design!$B$33),Design!$B$32,Design!$B$33)*1000000))</f>
        <v>0.44491309488793823</v>
      </c>
      <c r="G24" s="165">
        <f>B24*Constants!$C$21/1000+IF(ISBLANK(Design!$B$33),Design!$B$32,Design!$B$33)*1000000*Constants!$D$25/1000000000*(B24-Constants!$C$24)</f>
        <v>2.4987499999999989E-2</v>
      </c>
      <c r="H24" s="165">
        <f>B24*C24*(B24/(Constants!$C$26*1000000000)*IF(ISBLANK(Design!$B$33),Design!$B$32,Design!$B$33)*1000000/2+B24/(Constants!$C$27*1000000000)*IF(ISBLANK(Design!$B$33),Design!$B$32,Design!$B$33)*1000000/2)</f>
        <v>0.10499270833333328</v>
      </c>
      <c r="I24" s="165">
        <f t="shared" ca="1" si="0"/>
        <v>1.4611541716830911</v>
      </c>
      <c r="J24" s="165">
        <f>Constants!$D$25/1000000000*Constants!$C$24*IF(ISBLANK(Design!$B$33),Design!$B$32,Design!$B$33)*1000000</f>
        <v>1.0624999999999999E-2</v>
      </c>
      <c r="K24" s="165">
        <f t="shared" ca="1" si="4"/>
        <v>1.6017593800164245</v>
      </c>
      <c r="L24" s="165">
        <f t="shared" ca="1" si="5"/>
        <v>0.30769812593808799</v>
      </c>
      <c r="M24" s="166">
        <f ca="1">A24+L24*Design!$B$19</f>
        <v>102.53879317847101</v>
      </c>
      <c r="N24" s="166">
        <f ca="1">K24*Design!$C$12+A24</f>
        <v>139.45981892055843</v>
      </c>
      <c r="O24" s="166">
        <f ca="1">Constants!$D$22+Constants!$D$22*Constants!$C$23/100*(N24-25)</f>
        <v>216.56785513644675</v>
      </c>
      <c r="P24" s="165">
        <f ca="1">IF(100*(Design!$C$29+D24+C24*IF(ISBLANK(Design!$B$43),Constants!$C$6,Design!$B$43)/1000*(1+Constants!$C$36/100*(N24-25)))/($B24+D24-C24*O24/1000)&gt;Design!$C$36,  (1-Constants!$C$20/1000000000*IF(ISBLANK(Design!$B$33),Design!$B$32/4,Design!$B$33/4)*1000000) * ($B24+D24-C24*O24/1000) - (D24+C24*(1+($A24-25)*Constants!$C$36/100)*IF(ISBLANK(Design!$B$43),Constants!$C$6/1000,Design!$B$43/1000)),   (1-Constants!$C$20/1000000000*IF(ISBLANK(Design!$B$33),Design!$B$32,Design!$B$33)*1000000) * ($B24+D24-C24*O24/1000) - (D24+C24*(1+($A24-25)*Constants!$C$36/100)*IF(ISBLANK(Design!$B$43),Constants!$C$6/1000,Design!$B$43/1000)) )</f>
        <v>6.6008934698186392</v>
      </c>
      <c r="Q24" s="171">
        <f ca="1">IF(P24&gt;Design!$C$29,Design!$C$29,P24)</f>
        <v>4.9990521327014221</v>
      </c>
      <c r="R24" s="181">
        <f>2*Design!$D$7/3</f>
        <v>2</v>
      </c>
      <c r="S24" s="116">
        <f ca="1">FORECAST(R24, OFFSET(Design!$C$15:$C$17,MATCH(R24,Design!$B$15:$B$17,1)-1,0,2), OFFSET(Design!$B$15:$B$17,MATCH(R24,Design!$B$15:$B$17,1)-1,0,2))+(AB24-25)*Design!$B$18/1000</f>
        <v>0.38731580821493472</v>
      </c>
      <c r="T24" s="182">
        <f ca="1">IF(100*(Design!$C$29+S24+R24*IF(ISBLANK(Design!$B$43),Constants!$C$6,Design!$B$43)/1000*(1+Constants!$C$36/100*(AC24-25)))/($B24+S24-R24*AD24/1000)&gt;Design!$C$36,Design!$C$37,100*(Design!$C$29+S24+R24*IF(ISBLANK(Design!$B$43),Constants!$C$6,Design!$B$43)/1000*(1+Constants!$C$36/100*(AC24-25)))/($B24+S24-R24*AD24/1000))</f>
        <v>71.272837859970224</v>
      </c>
      <c r="U24" s="117">
        <f ca="1">IF(($B24-R24*IF(ISBLANK(Design!$B$43),Constants!$C$6,Design!$B$43)/1000*(1+Constants!$C$36/100*(AC24-25))-Design!$C$29)/(Design!$B$42/1000000)*T24/100/(IF(ISBLANK(IF(ISBLANK(Design!$B$42),Design!$B$40,Design!$B$42)),Design!$B$32,Design!$B$33)*1000000)&lt;0,0,($B24-R24*IF(ISBLANK(Design!$B$43),Constants!$C$6,Design!$B$43)/1000*(1+Constants!$C$36/100*(AC24-25))-Design!$C$29)/(IF(ISBLANK(Design!$B$42),Design!$B$40,Design!$B$42)/1000000)*T24/100/(IF(ISBLANK(Design!$B$33),Design!$B$32,Design!$B$33)*1000000))</f>
        <v>0.43520365446411707</v>
      </c>
      <c r="V24" s="183">
        <f>$B24*Constants!$C$21/1000+IF(ISBLANK(Design!$B$33),Design!$B$32,Design!$B$33)*1000000*Constants!$D$25/1000000000*($B24-Constants!$C$24)</f>
        <v>2.4987499999999989E-2</v>
      </c>
      <c r="W24" s="183">
        <f>$B24*R24*($B24/(Constants!$C$26*1000000000)*IF(ISBLANK(Design!$B$33),Design!$B$32,Design!$B$33)*1000000/2+$B24/(Constants!$C$27*1000000000)*IF(ISBLANK(Design!$B$33),Design!$B$32,Design!$B$33)*1000000/2)</f>
        <v>6.999513888888885E-2</v>
      </c>
      <c r="X24" s="183">
        <f t="shared" ca="1" si="1"/>
        <v>0.54587244275782054</v>
      </c>
      <c r="Y24" s="183">
        <f>Constants!$D$25/1000000000*Constants!$C$24*IF(ISBLANK(Design!$B$33),Design!$B$32,Design!$B$33)*1000000</f>
        <v>1.0624999999999999E-2</v>
      </c>
      <c r="Z24" s="183">
        <f t="shared" ca="1" si="10"/>
        <v>0.65148008164670934</v>
      </c>
      <c r="AA24" s="183">
        <f t="shared" ca="1" si="7"/>
        <v>0.22252968043974208</v>
      </c>
      <c r="AB24" s="184">
        <f ca="1">$A24+AA24*Design!$B$19</f>
        <v>97.684191785065295</v>
      </c>
      <c r="AC24" s="184">
        <f ca="1">Z24*Design!$C$12+$A24</f>
        <v>107.15032277598812</v>
      </c>
      <c r="AD24" s="184">
        <f ca="1">Constants!$D$22+Constants!$D$22*Constants!$C$23/100*(AC24-25)</f>
        <v>190.7202582207905</v>
      </c>
      <c r="AE24" s="183">
        <f ca="1">IF(100*(Design!$C$29+S24+R24*IF(ISBLANK(Design!$B$43),Constants!$C$6,Design!$B$43)/1000*(1+Constants!$C$36/100*(AC24-25)))/($B24+S24-R24*AD24/1000)&gt;Design!$C$36,  (1-Constants!$C$20/1000000000*IF(ISBLANK(Design!$B$33),Design!$B$32/4,Design!$B$33/4)*1000000) * ($B24+S24-R24*AD24/1000) - (S24+R24*(1+($A24-25)*Constants!$C$36/100)*IF(ISBLANK(Design!$B$43),Constants!$C$6/1000,Design!$B$43/1000)),   (1-Constants!$C$20/1000000000*IF(ISBLANK(Design!$B$33),Design!$B$32,Design!$B$33)*1000000) * ($B24+S24-R24*AD24/1000) - (S24+R24*(1+($A24-25)*Constants!$C$36/100)*IF(ISBLANK(Design!$B$43),Constants!$C$6/1000,Design!$B$43/1000)) )</f>
        <v>6.9085707686530666</v>
      </c>
      <c r="AF24" s="117">
        <f ca="1">IF(AE24&gt;Design!$C$29,Design!$C$29,AE24)</f>
        <v>4.9990521327014221</v>
      </c>
      <c r="AG24" s="118">
        <f>Design!$D$7/3</f>
        <v>1</v>
      </c>
      <c r="AH24" s="118">
        <f ca="1">FORECAST(AG24, OFFSET(Design!$C$15:$C$17,MATCH(AG24,Design!$B$15:$B$17,1)-1,0,2), OFFSET(Design!$B$15:$B$17,MATCH(AG24,Design!$B$15:$B$17,1)-1,0,2))+(AQ24-25)*Design!$B$18/1000</f>
        <v>0.31653166978185665</v>
      </c>
      <c r="AI24" s="194">
        <f ca="1">IF(100*(Design!$C$29+AH24+AG24*IF(ISBLANK(Design!$B$43),Constants!$C$6,Design!$B$43)/1000*(1+Constants!$C$36/100*(AR24-25)))/($B24+AH24-AG24*AS24/1000)&gt;Design!$C$36,Design!$C$37,100*(Design!$C$29+AH24+AG24*IF(ISBLANK(Design!$B$43),Constants!$C$6,Design!$B$43)/1000*(1+Constants!$C$36/100*(AR24-25)))/($B24+AH24-AG24*AS24/1000))</f>
        <v>68.459947970277298</v>
      </c>
      <c r="AJ24" s="119">
        <f ca="1">IF(($B24-AG24*IF(ISBLANK(Design!$B$43),Constants!$C$6,Design!$B$43)/1000*(1+Constants!$C$36/100*(AR24-25))-Design!$C$29)/(IF(ISBLANK(Design!$B$42),Design!$B$40,Design!$B$42)/1000000)*AI24/100/(IF(ISBLANK(Design!$B$33),Design!$B$32,Design!$B$33)*1000000)&lt;0,0,($B24-AG24*IF(ISBLANK(Design!$B$43),Constants!$C$6,Design!$B$43)/1000*(1+Constants!$C$36/100*(AR24-25))-Design!$C$29)/(IF(ISBLANK(Design!$B$42),Design!$B$40,Design!$B$42)/1000000)*AI24/100/(IF(ISBLANK(Design!$B$33),Design!$B$32,Design!$B$33)*1000000))</f>
        <v>0.42694461593205302</v>
      </c>
      <c r="AK24" s="195">
        <f>$B24*Constants!$C$21/1000+IF(ISBLANK(Design!$B$33),Design!$B$32,Design!$B$33)*1000000*Constants!$D$25/1000000000*($B24-Constants!$C$24)</f>
        <v>2.4987499999999989E-2</v>
      </c>
      <c r="AL24" s="195">
        <f>$B24*AG24*($B24/(Constants!$C$26*1000000000)*IF(ISBLANK(Design!$B$33),Design!$B$32,Design!$B$33)*1000000/2+$B24/(Constants!$C$27*1000000000)*IF(ISBLANK(Design!$B$33),Design!$B$32,Design!$B$33)*1000000/2)</f>
        <v>3.4997569444444425E-2</v>
      </c>
      <c r="AM24" s="195">
        <f t="shared" ca="1" si="2"/>
        <v>0.12391200333611764</v>
      </c>
      <c r="AN24" s="195">
        <f>Constants!$D$25/1000000000*Constants!$C$24*IF(ISBLANK(Design!$B$33),Design!$B$32,Design!$B$33)*1000000</f>
        <v>1.0624999999999999E-2</v>
      </c>
      <c r="AO24" s="195">
        <f t="shared" ca="1" si="11"/>
        <v>0.19452207278056205</v>
      </c>
      <c r="AP24" s="195">
        <f t="shared" ca="1" si="9"/>
        <v>9.9834253339747631E-2</v>
      </c>
      <c r="AQ24" s="196">
        <f ca="1">$A24+AP24*Design!$B$19</f>
        <v>90.690552440365622</v>
      </c>
      <c r="AR24" s="196">
        <f ca="1">AO24*Design!$C$12+$A24</f>
        <v>91.613750474539103</v>
      </c>
      <c r="AS24" s="196">
        <f ca="1">Constants!$D$22+Constants!$D$22*Constants!$C$23/100*(AR24-25)</f>
        <v>178.29100037963127</v>
      </c>
      <c r="AT24" s="195">
        <f ca="1">IF(100*(Design!$C$29+AH24+AG24*IF(ISBLANK(Design!$B$43),Constants!$C$6,Design!$B$43)/1000*(1+Constants!$C$36/100*(AR24-25)))/($B24+AH24-AG24*AS24/1000)&gt;Design!$C$36,  (1-Constants!$C$20/1000000000*IF(ISBLANK(Design!$B$33),Design!$B$32/4,Design!$B$33/4)*1000000) * ($B24+AH24-AG24*AS24/1000) - (AH24+AG24*(1+($A24-25)*Constants!$C$36/100)*IF(ISBLANK(Design!$B$43),Constants!$C$6/1000,Design!$B$43/1000)),   (1-Constants!$C$20/1000000000*IF(ISBLANK(Design!$B$33),Design!$B$32,Design!$B$33)*1000000) * ($B24+AH24-AG24*AS24/1000) - (AH24+AG24*(1+($A24-25)*Constants!$C$36/100)*IF(ISBLANK(Design!$B$43),Constants!$C$6/1000,Design!$B$43/1000)) )</f>
        <v>7.1558080325932512</v>
      </c>
      <c r="AU24" s="119">
        <f ca="1">IF(AT24&gt;Design!$C$29,Design!$C$29,AT24)</f>
        <v>4.9990521327014221</v>
      </c>
    </row>
    <row r="25" spans="1:47" s="120" customFormat="1" ht="12.75" customHeight="1" x14ac:dyDescent="0.2">
      <c r="A25" s="112">
        <f>Design!$D$13</f>
        <v>85</v>
      </c>
      <c r="B25" s="113">
        <f t="shared" si="3"/>
        <v>7.4849999999999977</v>
      </c>
      <c r="C25" s="114">
        <f>Design!$D$7</f>
        <v>3</v>
      </c>
      <c r="D25" s="114">
        <f ca="1">FORECAST(C25, OFFSET(Design!$C$15:$C$17,MATCH(C25,Design!$B$15:$B$17,1)-1,0,2), OFFSET(Design!$B$15:$B$17,MATCH(C25,Design!$B$15:$B$17,1)-1,0,2))+(M25-25)*Design!$B$18/1000</f>
        <v>0.40898748825775399</v>
      </c>
      <c r="E25" s="173">
        <f ca="1">IF(100*(Design!$C$29+D25+C25*IF(ISBLANK(Design!$B$43),Constants!$C$6,Design!$B$43)/1000*(1+Constants!$C$36/100*(N25-25)))/($B25+D25-C25*O25/1000)&gt;Design!$C$36,Design!$C$37,100*(Design!$C$29+D25+C25*IF(ISBLANK(Design!$B$43),Constants!$C$6,Design!$B$43)/1000*(1+Constants!$C$36/100*(N25-25)))/($B25+D25-C25*O25/1000))</f>
        <v>77.10433149331854</v>
      </c>
      <c r="F25" s="115">
        <f ca="1">IF(($B25-C25*IF(ISBLANK(Design!$B$43),Constants!$C$6,Design!$B$43)/1000*(1+Constants!$C$36/100*(N25-25))-Design!$C$29)/(IF(ISBLANK(Design!$B$42),Design!$B$40,Design!$B$42)/1000000)*E25/100/(IF(ISBLANK(Design!$B$33),Design!$B$32,Design!$B$33)*1000000)&lt;0, 0, ($B25-C25*IF(ISBLANK(Design!$B$43),Constants!$C$6,Design!$B$43)/1000*(1+Constants!$C$36/100*(N25-25))-Design!$C$29)/(IF(ISBLANK(Design!$B$42),Design!$B$40,Design!$B$42)/1000000)*E25/100/(IF(ISBLANK(Design!$B$33),Design!$B$32,Design!$B$33)*1000000))</f>
        <v>0.41930783321928761</v>
      </c>
      <c r="G25" s="165">
        <f>B25*Constants!$C$21/1000+IF(ISBLANK(Design!$B$33),Design!$B$32,Design!$B$33)*1000000*Constants!$D$25/1000000000*(B25-Constants!$C$24)</f>
        <v>2.399312499999999E-2</v>
      </c>
      <c r="H25" s="165">
        <f>B25*C25*(B25/(Constants!$C$26*1000000000)*IF(ISBLANK(Design!$B$33),Design!$B$32,Design!$B$33)*1000000/2+B25/(Constants!$C$27*1000000000)*IF(ISBLANK(Design!$B$33),Design!$B$32,Design!$B$33)*1000000/2)</f>
        <v>9.9211335937499923E-2</v>
      </c>
      <c r="I25" s="165">
        <f t="shared" ca="1" si="0"/>
        <v>1.5140065235580351</v>
      </c>
      <c r="J25" s="165">
        <f>Constants!$D$25/1000000000*Constants!$C$24*IF(ISBLANK(Design!$B$33),Design!$B$32,Design!$B$33)*1000000</f>
        <v>1.0624999999999999E-2</v>
      </c>
      <c r="K25" s="165">
        <f t="shared" ca="1" si="4"/>
        <v>1.647835984495535</v>
      </c>
      <c r="L25" s="165">
        <f t="shared" ca="1" si="5"/>
        <v>0.28092125863589429</v>
      </c>
      <c r="M25" s="166">
        <f ca="1">A25+L25*Design!$B$19</f>
        <v>101.01251174224598</v>
      </c>
      <c r="N25" s="166">
        <f ca="1">K25*Design!$C$12+A25</f>
        <v>141.02642347284819</v>
      </c>
      <c r="O25" s="166">
        <f ca="1">Constants!$D$22+Constants!$D$22*Constants!$C$23/100*(N25-25)</f>
        <v>217.82113877827857</v>
      </c>
      <c r="P25" s="165">
        <f ca="1">IF(100*(Design!$C$29+D25+C25*IF(ISBLANK(Design!$B$43),Constants!$C$6,Design!$B$43)/1000*(1+Constants!$C$36/100*(N25-25)))/($B25+D25-C25*O25/1000)&gt;Design!$C$36,  (1-Constants!$C$20/1000000000*IF(ISBLANK(Design!$B$33),Design!$B$32/4,Design!$B$33/4)*1000000) * ($B25+D25-C25*O25/1000) - (D25+C25*(1+($A25-25)*Constants!$C$36/100)*IF(ISBLANK(Design!$B$43),Constants!$C$6/1000,Design!$B$43/1000)),   (1-Constants!$C$20/1000000000*IF(ISBLANK(Design!$B$33),Design!$B$32,Design!$B$33)*1000000) * ($B25+D25-C25*O25/1000) - (D25+C25*(1+($A25-25)*Constants!$C$36/100)*IF(ISBLANK(Design!$B$43),Constants!$C$6/1000,Design!$B$43/1000)) )</f>
        <v>6.390904424261274</v>
      </c>
      <c r="Q25" s="171">
        <f ca="1">IF(P25&gt;Design!$C$29,Design!$C$29,P25)</f>
        <v>4.9990521327014221</v>
      </c>
      <c r="R25" s="181">
        <f>2*Design!$D$7/3</f>
        <v>2</v>
      </c>
      <c r="S25" s="116">
        <f ca="1">FORECAST(R25, OFFSET(Design!$C$15:$C$17,MATCH(R25,Design!$B$15:$B$17,1)-1,0,2), OFFSET(Design!$B$15:$B$17,MATCH(R25,Design!$B$15:$B$17,1)-1,0,2))+(AB25-25)*Design!$B$18/1000</f>
        <v>0.38819708731223035</v>
      </c>
      <c r="T25" s="182">
        <f ca="1">IF(100*(Design!$C$29+S25+R25*IF(ISBLANK(Design!$B$43),Constants!$C$6,Design!$B$43)/1000*(1+Constants!$C$36/100*(AC25-25)))/($B25+S25-R25*AD25/1000)&gt;Design!$C$36,Design!$C$37,100*(Design!$C$29+S25+R25*IF(ISBLANK(Design!$B$43),Constants!$C$6,Design!$B$43)/1000*(1+Constants!$C$36/100*(AC25-25)))/($B25+S25-R25*AD25/1000))</f>
        <v>73.329443932878419</v>
      </c>
      <c r="U25" s="117">
        <f ca="1">IF(($B25-R25*IF(ISBLANK(Design!$B$43),Constants!$C$6,Design!$B$43)/1000*(1+Constants!$C$36/100*(AC25-25))-Design!$C$29)/(Design!$B$42/1000000)*T25/100/(IF(ISBLANK(IF(ISBLANK(Design!$B$42),Design!$B$40,Design!$B$42)),Design!$B$32,Design!$B$33)*1000000)&lt;0,0,($B25-R25*IF(ISBLANK(Design!$B$43),Constants!$C$6,Design!$B$43)/1000*(1+Constants!$C$36/100*(AC25-25))-Design!$C$29)/(IF(ISBLANK(Design!$B$42),Design!$B$40,Design!$B$42)/1000000)*T25/100/(IF(ISBLANK(Design!$B$33),Design!$B$32,Design!$B$33)*1000000))</f>
        <v>0.41064418379337625</v>
      </c>
      <c r="V25" s="183">
        <f>$B25*Constants!$C$21/1000+IF(ISBLANK(Design!$B$33),Design!$B$32,Design!$B$33)*1000000*Constants!$D$25/1000000000*($B25-Constants!$C$24)</f>
        <v>2.399312499999999E-2</v>
      </c>
      <c r="W25" s="183">
        <f>$B25*R25*($B25/(Constants!$C$26*1000000000)*IF(ISBLANK(Design!$B$33),Design!$B$32,Design!$B$33)*1000000/2+$B25/(Constants!$C$27*1000000000)*IF(ISBLANK(Design!$B$33),Design!$B$32,Design!$B$33)*1000000/2)</f>
        <v>6.6140890624999948E-2</v>
      </c>
      <c r="X25" s="183">
        <f t="shared" ca="1" si="1"/>
        <v>0.56230950525382772</v>
      </c>
      <c r="Y25" s="183">
        <f>Constants!$D$25/1000000000*Constants!$C$24*IF(ISBLANK(Design!$B$33),Design!$B$32,Design!$B$33)*1000000</f>
        <v>1.0624999999999999E-2</v>
      </c>
      <c r="Z25" s="183">
        <f t="shared" ca="1" si="10"/>
        <v>0.66306852087882762</v>
      </c>
      <c r="AA25" s="183">
        <f t="shared" ca="1" si="7"/>
        <v>0.2070686436450826</v>
      </c>
      <c r="AB25" s="184">
        <f ca="1">$A25+AA25*Design!$B$19</f>
        <v>96.802912687769705</v>
      </c>
      <c r="AC25" s="184">
        <f ca="1">Z25*Design!$C$12+$A25</f>
        <v>107.54432970988015</v>
      </c>
      <c r="AD25" s="184">
        <f ca="1">Constants!$D$22+Constants!$D$22*Constants!$C$23/100*(AC25-25)</f>
        <v>191.0354637679041</v>
      </c>
      <c r="AE25" s="183">
        <f ca="1">IF(100*(Design!$C$29+S25+R25*IF(ISBLANK(Design!$B$43),Constants!$C$6,Design!$B$43)/1000*(1+Constants!$C$36/100*(AC25-25)))/($B25+S25-R25*AD25/1000)&gt;Design!$C$36,  (1-Constants!$C$20/1000000000*IF(ISBLANK(Design!$B$33),Design!$B$32/4,Design!$B$33/4)*1000000) * ($B25+S25-R25*AD25/1000) - (S25+R25*(1+($A25-25)*Constants!$C$36/100)*IF(ISBLANK(Design!$B$43),Constants!$C$6/1000,Design!$B$43/1000)),   (1-Constants!$C$20/1000000000*IF(ISBLANK(Design!$B$33),Design!$B$32,Design!$B$33)*1000000) * ($B25+S25-R25*AD25/1000) - (S25+R25*(1+($A25-25)*Constants!$C$36/100)*IF(ISBLANK(Design!$B$43),Constants!$C$6/1000,Design!$B$43/1000)) )</f>
        <v>6.7016108537632162</v>
      </c>
      <c r="AF25" s="117">
        <f ca="1">IF(AE25&gt;Design!$C$29,Design!$C$29,AE25)</f>
        <v>4.9990521327014221</v>
      </c>
      <c r="AG25" s="118">
        <f>Design!$D$7/3</f>
        <v>1</v>
      </c>
      <c r="AH25" s="118">
        <f ca="1">FORECAST(AG25, OFFSET(Design!$C$15:$C$17,MATCH(AG25,Design!$B$15:$B$17,1)-1,0,2), OFFSET(Design!$B$15:$B$17,MATCH(AG25,Design!$B$15:$B$17,1)-1,0,2))+(AQ25-25)*Design!$B$18/1000</f>
        <v>0.31687450542558171</v>
      </c>
      <c r="AI25" s="194">
        <f ca="1">IF(100*(Design!$C$29+AH25+AG25*IF(ISBLANK(Design!$B$43),Constants!$C$6,Design!$B$43)/1000*(1+Constants!$C$36/100*(AR25-25)))/($B25+AH25-AG25*AS25/1000)&gt;Design!$C$36,Design!$C$37,100*(Design!$C$29+AH25+AG25*IF(ISBLANK(Design!$B$43),Constants!$C$6,Design!$B$43)/1000*(1+Constants!$C$36/100*(AR25-25)))/($B25+AH25-AG25*AS25/1000))</f>
        <v>70.392192708115715</v>
      </c>
      <c r="AJ25" s="119">
        <f ca="1">IF(($B25-AG25*IF(ISBLANK(Design!$B$43),Constants!$C$6,Design!$B$43)/1000*(1+Constants!$C$36/100*(AR25-25))-Design!$C$29)/(IF(ISBLANK(Design!$B$42),Design!$B$40,Design!$B$42)/1000000)*AI25/100/(IF(ISBLANK(Design!$B$33),Design!$B$32,Design!$B$33)*1000000)&lt;0,0,($B25-AG25*IF(ISBLANK(Design!$B$43),Constants!$C$6,Design!$B$43)/1000*(1+Constants!$C$36/100*(AR25-25))-Design!$C$29)/(IF(ISBLANK(Design!$B$42),Design!$B$40,Design!$B$42)/1000000)*AI25/100/(IF(ISBLANK(Design!$B$33),Design!$B$32,Design!$B$33)*1000000))</f>
        <v>0.40338439190727693</v>
      </c>
      <c r="AK25" s="195">
        <f>$B25*Constants!$C$21/1000+IF(ISBLANK(Design!$B$33),Design!$B$32,Design!$B$33)*1000000*Constants!$D$25/1000000000*($B25-Constants!$C$24)</f>
        <v>2.399312499999999E-2</v>
      </c>
      <c r="AL25" s="195">
        <f>$B25*AG25*($B25/(Constants!$C$26*1000000000)*IF(ISBLANK(Design!$B$33),Design!$B$32,Design!$B$33)*1000000/2+$B25/(Constants!$C$27*1000000000)*IF(ISBLANK(Design!$B$33),Design!$B$32,Design!$B$33)*1000000/2)</f>
        <v>3.3070445312499974E-2</v>
      </c>
      <c r="AM25" s="195">
        <f t="shared" ca="1" si="2"/>
        <v>0.12721210089579843</v>
      </c>
      <c r="AN25" s="195">
        <f>Constants!$D$25/1000000000*Constants!$C$24*IF(ISBLANK(Design!$B$33),Design!$B$32,Design!$B$33)*1000000</f>
        <v>1.0624999999999999E-2</v>
      </c>
      <c r="AO25" s="195">
        <f t="shared" ca="1" si="11"/>
        <v>0.1949006712082984</v>
      </c>
      <c r="AP25" s="195">
        <f t="shared" ca="1" si="9"/>
        <v>9.3819592923517631E-2</v>
      </c>
      <c r="AQ25" s="196">
        <f ca="1">$A25+AP25*Design!$B$19</f>
        <v>90.347716796640498</v>
      </c>
      <c r="AR25" s="196">
        <f ca="1">AO25*Design!$C$12+$A25</f>
        <v>91.626622821082151</v>
      </c>
      <c r="AS25" s="196">
        <f ca="1">Constants!$D$22+Constants!$D$22*Constants!$C$23/100*(AR25-25)</f>
        <v>178.30129825686572</v>
      </c>
      <c r="AT25" s="195">
        <f ca="1">IF(100*(Design!$C$29+AH25+AG25*IF(ISBLANK(Design!$B$43),Constants!$C$6,Design!$B$43)/1000*(1+Constants!$C$36/100*(AR25-25)))/($B25+AH25-AG25*AS25/1000)&gt;Design!$C$36,  (1-Constants!$C$20/1000000000*IF(ISBLANK(Design!$B$33),Design!$B$32/4,Design!$B$33/4)*1000000) * ($B25+AH25-AG25*AS25/1000) - (AH25+AG25*(1+($A25-25)*Constants!$C$36/100)*IF(ISBLANK(Design!$B$43),Constants!$C$6/1000,Design!$B$43/1000)),   (1-Constants!$C$20/1000000000*IF(ISBLANK(Design!$B$33),Design!$B$32,Design!$B$33)*1000000) * ($B25+AH25-AG25*AS25/1000) - (AH25+AG25*(1+($A25-25)*Constants!$C$36/100)*IF(ISBLANK(Design!$B$43),Constants!$C$6/1000,Design!$B$43/1000)) )</f>
        <v>6.9494649335036947</v>
      </c>
      <c r="AU25" s="119">
        <f ca="1">IF(AT25&gt;Design!$C$29,Design!$C$29,AT25)</f>
        <v>4.9990521327014221</v>
      </c>
    </row>
    <row r="26" spans="1:47" s="120" customFormat="1" ht="12.75" customHeight="1" x14ac:dyDescent="0.2">
      <c r="A26" s="112">
        <f>Design!$D$13</f>
        <v>85</v>
      </c>
      <c r="B26" s="113">
        <f t="shared" si="3"/>
        <v>7.2699999999999978</v>
      </c>
      <c r="C26" s="114">
        <f>Design!$D$7</f>
        <v>3</v>
      </c>
      <c r="D26" s="114">
        <f ca="1">FORECAST(C26, OFFSET(Design!$C$15:$C$17,MATCH(C26,Design!$B$15:$B$17,1)-1,0,2), OFFSET(Design!$B$15:$B$17,MATCH(C26,Design!$B$15:$B$17,1)-1,0,2))+(M26-25)*Design!$B$18/1000</f>
        <v>0.41062441410951378</v>
      </c>
      <c r="E26" s="173">
        <f ca="1">IF(100*(Design!$C$29+D26+C26*IF(ISBLANK(Design!$B$43),Constants!$C$6,Design!$B$43)/1000*(1+Constants!$C$36/100*(N26-25)))/($B26+D26-C26*O26/1000)&gt;Design!$C$36,Design!$C$37,100*(Design!$C$29+D26+C26*IF(ISBLANK(Design!$B$43),Constants!$C$6,Design!$B$43)/1000*(1+Constants!$C$36/100*(N26-25)))/($B26+D26-C26*O26/1000))</f>
        <v>79.526849632688325</v>
      </c>
      <c r="F26" s="115">
        <f ca="1">IF(($B26-C26*IF(ISBLANK(Design!$B$43),Constants!$C$6,Design!$B$43)/1000*(1+Constants!$C$36/100*(N26-25))-Design!$C$29)/(IF(ISBLANK(Design!$B$42),Design!$B$40,Design!$B$42)/1000000)*E26/100/(IF(ISBLANK(Design!$B$33),Design!$B$32,Design!$B$33)*1000000)&lt;0, 0, ($B26-C26*IF(ISBLANK(Design!$B$43),Constants!$C$6,Design!$B$43)/1000*(1+Constants!$C$36/100*(N26-25))-Design!$C$29)/(IF(ISBLANK(Design!$B$42),Design!$B$40,Design!$B$42)/1000000)*E26/100/(IF(ISBLANK(Design!$B$33),Design!$B$32,Design!$B$33)*1000000))</f>
        <v>0.39209925635081927</v>
      </c>
      <c r="G26" s="165">
        <f>B26*Constants!$C$21/1000+IF(ISBLANK(Design!$B$33),Design!$B$32,Design!$B$33)*1000000*Constants!$D$25/1000000000*(B26-Constants!$C$24)</f>
        <v>2.2998749999999988E-2</v>
      </c>
      <c r="H26" s="165">
        <f>B26*C26*(B26/(Constants!$C$26*1000000000)*IF(ISBLANK(Design!$B$33),Design!$B$32,Design!$B$33)*1000000/2+B26/(Constants!$C$27*1000000000)*IF(ISBLANK(Design!$B$33),Design!$B$32,Design!$B$33)*1000000/2)</f>
        <v>9.3593677083333285E-2</v>
      </c>
      <c r="I26" s="165">
        <f t="shared" ca="1" si="0"/>
        <v>1.5710972102072116</v>
      </c>
      <c r="J26" s="165">
        <f>Constants!$D$25/1000000000*Constants!$C$24*IF(ISBLANK(Design!$B$33),Design!$B$32,Design!$B$33)*1000000</f>
        <v>1.0624999999999999E-2</v>
      </c>
      <c r="K26" s="165">
        <f t="shared" ca="1" si="4"/>
        <v>1.6983146372905449</v>
      </c>
      <c r="L26" s="165">
        <f t="shared" ca="1" si="5"/>
        <v>0.25220326123660003</v>
      </c>
      <c r="M26" s="166">
        <f ca="1">A26+L26*Design!$B$19</f>
        <v>99.375585890486207</v>
      </c>
      <c r="N26" s="166">
        <f ca="1">K26*Design!$C$12+A26</f>
        <v>142.74269766787853</v>
      </c>
      <c r="O26" s="166">
        <f ca="1">Constants!$D$22+Constants!$D$22*Constants!$C$23/100*(N26-25)</f>
        <v>219.19415813430282</v>
      </c>
      <c r="P26" s="165">
        <f ca="1">IF(100*(Design!$C$29+D26+C26*IF(ISBLANK(Design!$B$43),Constants!$C$6,Design!$B$43)/1000*(1+Constants!$C$36/100*(N26-25)))/($B26+D26-C26*O26/1000)&gt;Design!$C$36,  (1-Constants!$C$20/1000000000*IF(ISBLANK(Design!$B$33),Design!$B$32/4,Design!$B$33/4)*1000000) * ($B26+D26-C26*O26/1000) - (D26+C26*(1+($A26-25)*Constants!$C$36/100)*IF(ISBLANK(Design!$B$43),Constants!$C$6/1000,Design!$B$43/1000)),   (1-Constants!$C$20/1000000000*IF(ISBLANK(Design!$B$33),Design!$B$32,Design!$B$33)*1000000) * ($B26+D26-C26*O26/1000) - (D26+C26*(1+($A26-25)*Constants!$C$36/100)*IF(ISBLANK(Design!$B$43),Constants!$C$6/1000,Design!$B$43/1000)) )</f>
        <v>6.1805662072814354</v>
      </c>
      <c r="Q26" s="171">
        <f ca="1">IF(P26&gt;Design!$C$29,Design!$C$29,P26)</f>
        <v>4.9990521327014221</v>
      </c>
      <c r="R26" s="181">
        <f>2*Design!$D$7/3</f>
        <v>2</v>
      </c>
      <c r="S26" s="116">
        <f ca="1">FORECAST(R26, OFFSET(Design!$C$15:$C$17,MATCH(R26,Design!$B$15:$B$17,1)-1,0,2), OFFSET(Design!$B$15:$B$17,MATCH(R26,Design!$B$15:$B$17,1)-1,0,2))+(AB26-25)*Design!$B$18/1000</f>
        <v>0.38913521472679863</v>
      </c>
      <c r="T26" s="182">
        <f ca="1">IF(100*(Design!$C$29+S26+R26*IF(ISBLANK(Design!$B$43),Constants!$C$6,Design!$B$43)/1000*(1+Constants!$C$36/100*(AC26-25)))/($B26+S26-R26*AD26/1000)&gt;Design!$C$36,Design!$C$37,100*(Design!$C$29+S26+R26*IF(ISBLANK(Design!$B$43),Constants!$C$6,Design!$B$43)/1000*(1+Constants!$C$36/100*(AC26-25)))/($B26+S26-R26*AD26/1000))</f>
        <v>75.508478706466605</v>
      </c>
      <c r="U26" s="117">
        <f ca="1">IF(($B26-R26*IF(ISBLANK(Design!$B$43),Constants!$C$6,Design!$B$43)/1000*(1+Constants!$C$36/100*(AC26-25))-Design!$C$29)/(Design!$B$42/1000000)*T26/100/(IF(ISBLANK(IF(ISBLANK(Design!$B$42),Design!$B$40,Design!$B$42)),Design!$B$32,Design!$B$33)*1000000)&lt;0,0,($B26-R26*IF(ISBLANK(Design!$B$43),Constants!$C$6,Design!$B$43)/1000*(1+Constants!$C$36/100*(AC26-25))-Design!$C$29)/(IF(ISBLANK(Design!$B$42),Design!$B$40,Design!$B$42)/1000000)*T26/100/(IF(ISBLANK(Design!$B$33),Design!$B$32,Design!$B$33)*1000000))</f>
        <v>0.38462409085280469</v>
      </c>
      <c r="V26" s="183">
        <f>$B26*Constants!$C$21/1000+IF(ISBLANK(Design!$B$33),Design!$B$32,Design!$B$33)*1000000*Constants!$D$25/1000000000*($B26-Constants!$C$24)</f>
        <v>2.2998749999999988E-2</v>
      </c>
      <c r="W26" s="183">
        <f>$B26*R26*($B26/(Constants!$C$26*1000000000)*IF(ISBLANK(Design!$B$33),Design!$B$32,Design!$B$33)*1000000/2+$B26/(Constants!$C$27*1000000000)*IF(ISBLANK(Design!$B$33),Design!$B$32,Design!$B$33)*1000000/2)</f>
        <v>6.2395784722222181E-2</v>
      </c>
      <c r="X26" s="183">
        <f t="shared" ca="1" si="1"/>
        <v>0.57982282124361784</v>
      </c>
      <c r="Y26" s="183">
        <f>Constants!$D$25/1000000000*Constants!$C$24*IF(ISBLANK(Design!$B$33),Design!$B$32,Design!$B$33)*1000000</f>
        <v>1.0624999999999999E-2</v>
      </c>
      <c r="Z26" s="183">
        <f t="shared" ca="1" si="10"/>
        <v>0.67584235596583997</v>
      </c>
      <c r="AA26" s="183">
        <f t="shared" ca="1" si="7"/>
        <v>0.19061026795090155</v>
      </c>
      <c r="AB26" s="184">
        <f ca="1">$A26+AA26*Design!$B$19</f>
        <v>95.864785273201392</v>
      </c>
      <c r="AC26" s="184">
        <f ca="1">Z26*Design!$C$12+$A26</f>
        <v>107.97864010283855</v>
      </c>
      <c r="AD26" s="184">
        <f ca="1">Constants!$D$22+Constants!$D$22*Constants!$C$23/100*(AC26-25)</f>
        <v>191.38291208227085</v>
      </c>
      <c r="AE26" s="183">
        <f ca="1">IF(100*(Design!$C$29+S26+R26*IF(ISBLANK(Design!$B$43),Constants!$C$6,Design!$B$43)/1000*(1+Constants!$C$36/100*(AC26-25)))/($B26+S26-R26*AD26/1000)&gt;Design!$C$36,  (1-Constants!$C$20/1000000000*IF(ISBLANK(Design!$B$33),Design!$B$32/4,Design!$B$33/4)*1000000) * ($B26+S26-R26*AD26/1000) - (S26+R26*(1+($A26-25)*Constants!$C$36/100)*IF(ISBLANK(Design!$B$43),Constants!$C$6/1000,Design!$B$43/1000)),   (1-Constants!$C$20/1000000000*IF(ISBLANK(Design!$B$33),Design!$B$32,Design!$B$33)*1000000) * ($B26+S26-R26*AD26/1000) - (S26+R26*(1+($A26-25)*Constants!$C$36/100)*IF(ISBLANK(Design!$B$43),Constants!$C$6/1000,Design!$B$43/1000)) )</f>
        <v>6.4945867616915045</v>
      </c>
      <c r="AF26" s="117">
        <f ca="1">IF(AE26&gt;Design!$C$29,Design!$C$29,AE26)</f>
        <v>4.9990521327014221</v>
      </c>
      <c r="AG26" s="118">
        <f>Design!$D$7/3</f>
        <v>1</v>
      </c>
      <c r="AH26" s="118">
        <f ca="1">FORECAST(AG26, OFFSET(Design!$C$15:$C$17,MATCH(AG26,Design!$B$15:$B$17,1)-1,0,2), OFFSET(Design!$B$15:$B$17,MATCH(AG26,Design!$B$15:$B$17,1)-1,0,2))+(AQ26-25)*Design!$B$18/1000</f>
        <v>0.31723804612793149</v>
      </c>
      <c r="AI26" s="194">
        <f ca="1">IF(100*(Design!$C$29+AH26+AG26*IF(ISBLANK(Design!$B$43),Constants!$C$6,Design!$B$43)/1000*(1+Constants!$C$36/100*(AR26-25)))/($B26+AH26-AG26*AS26/1000)&gt;Design!$C$36,Design!$C$37,100*(Design!$C$29+AH26+AG26*IF(ISBLANK(Design!$B$43),Constants!$C$6,Design!$B$43)/1000*(1+Constants!$C$36/100*(AR26-25)))/($B26+AH26-AG26*AS26/1000))</f>
        <v>72.43657028782502</v>
      </c>
      <c r="AJ26" s="119">
        <f ca="1">IF(($B26-AG26*IF(ISBLANK(Design!$B$43),Constants!$C$6,Design!$B$43)/1000*(1+Constants!$C$36/100*(AR26-25))-Design!$C$29)/(IF(ISBLANK(Design!$B$42),Design!$B$40,Design!$B$42)/1000000)*AI26/100/(IF(ISBLANK(Design!$B$33),Design!$B$32,Design!$B$33)*1000000)&lt;0,0,($B26-AG26*IF(ISBLANK(Design!$B$43),Constants!$C$6,Design!$B$43)/1000*(1+Constants!$C$36/100*(AR26-25))-Design!$C$29)/(IF(ISBLANK(Design!$B$42),Design!$B$40,Design!$B$42)/1000000)*AI26/100/(IF(ISBLANK(Design!$B$33),Design!$B$32,Design!$B$33)*1000000))</f>
        <v>0.37845479680172645</v>
      </c>
      <c r="AK26" s="195">
        <f>$B26*Constants!$C$21/1000+IF(ISBLANK(Design!$B$33),Design!$B$32,Design!$B$33)*1000000*Constants!$D$25/1000000000*($B26-Constants!$C$24)</f>
        <v>2.2998749999999988E-2</v>
      </c>
      <c r="AL26" s="195">
        <f>$B26*AG26*($B26/(Constants!$C$26*1000000000)*IF(ISBLANK(Design!$B$33),Design!$B$32,Design!$B$33)*1000000/2+$B26/(Constants!$C$27*1000000000)*IF(ISBLANK(Design!$B$33),Design!$B$32,Design!$B$33)*1000000/2)</f>
        <v>3.119789236111109E-2</v>
      </c>
      <c r="AM26" s="195">
        <f t="shared" ca="1" si="2"/>
        <v>0.13070947043167019</v>
      </c>
      <c r="AN26" s="195">
        <f>Constants!$D$25/1000000000*Constants!$C$24*IF(ISBLANK(Design!$B$33),Design!$B$32,Design!$B$33)*1000000</f>
        <v>1.0624999999999999E-2</v>
      </c>
      <c r="AO26" s="195">
        <f t="shared" ca="1" si="11"/>
        <v>0.19553111279278126</v>
      </c>
      <c r="AP26" s="195">
        <f t="shared" ca="1" si="9"/>
        <v>8.7441685864749638E-2</v>
      </c>
      <c r="AQ26" s="196">
        <f ca="1">$A26+AP26*Design!$B$19</f>
        <v>89.984176094290731</v>
      </c>
      <c r="AR26" s="196">
        <f ca="1">AO26*Design!$C$12+$A26</f>
        <v>91.648057834954557</v>
      </c>
      <c r="AS26" s="196">
        <f ca="1">Constants!$D$22+Constants!$D$22*Constants!$C$23/100*(AR26-25)</f>
        <v>178.31844626796365</v>
      </c>
      <c r="AT26" s="195">
        <f ca="1">IF(100*(Design!$C$29+AH26+AG26*IF(ISBLANK(Design!$B$43),Constants!$C$6,Design!$B$43)/1000*(1+Constants!$C$36/100*(AR26-25)))/($B26+AH26-AG26*AS26/1000)&gt;Design!$C$36,  (1-Constants!$C$20/1000000000*IF(ISBLANK(Design!$B$33),Design!$B$32/4,Design!$B$33/4)*1000000) * ($B26+AH26-AG26*AS26/1000) - (AH26+AG26*(1+($A26-25)*Constants!$C$36/100)*IF(ISBLANK(Design!$B$43),Constants!$C$6/1000,Design!$B$43/1000)),   (1-Constants!$C$20/1000000000*IF(ISBLANK(Design!$B$33),Design!$B$32,Design!$B$33)*1000000) * ($B26+AH26-AG26*AS26/1000) - (AH26+AG26*(1+($A26-25)*Constants!$C$36/100)*IF(ISBLANK(Design!$B$43),Constants!$C$6/1000,Design!$B$43/1000)) )</f>
        <v>6.7431144248876871</v>
      </c>
      <c r="AU26" s="119">
        <f ca="1">IF(AT26&gt;Design!$C$29,Design!$C$29,AT26)</f>
        <v>4.9990521327014221</v>
      </c>
    </row>
    <row r="27" spans="1:47" s="120" customFormat="1" ht="12.75" customHeight="1" x14ac:dyDescent="0.2">
      <c r="A27" s="112">
        <f>Design!$D$13</f>
        <v>85</v>
      </c>
      <c r="B27" s="113">
        <f t="shared" si="3"/>
        <v>7.0549999999999979</v>
      </c>
      <c r="C27" s="114">
        <f>Design!$D$7</f>
        <v>3</v>
      </c>
      <c r="D27" s="114">
        <f ca="1">FORECAST(C27, OFFSET(Design!$C$15:$C$17,MATCH(C27,Design!$B$15:$B$17,1)-1,0,2), OFFSET(Design!$B$15:$B$17,MATCH(C27,Design!$B$15:$B$17,1)-1,0,2))+(M27-25)*Design!$B$18/1000</f>
        <v>0.41238475527311547</v>
      </c>
      <c r="E27" s="173">
        <f ca="1">IF(100*(Design!$C$29+D27+C27*IF(ISBLANK(Design!$B$43),Constants!$C$6,Design!$B$43)/1000*(1+Constants!$C$36/100*(N27-25)))/($B27+D27-C27*O27/1000)&gt;Design!$C$36,Design!$C$37,100*(Design!$C$29+D27+C27*IF(ISBLANK(Design!$B$43),Constants!$C$6,Design!$B$43)/1000*(1+Constants!$C$36/100*(N27-25)))/($B27+D27-C27*O27/1000))</f>
        <v>82.110550879342298</v>
      </c>
      <c r="F27" s="115">
        <f ca="1">IF(($B27-C27*IF(ISBLANK(Design!$B$43),Constants!$C$6,Design!$B$43)/1000*(1+Constants!$C$36/100*(N27-25))-Design!$C$29)/(IF(ISBLANK(Design!$B$42),Design!$B$40,Design!$B$42)/1000000)*E27/100/(IF(ISBLANK(Design!$B$33),Design!$B$32,Design!$B$33)*1000000)&lt;0, 0, ($B27-C27*IF(ISBLANK(Design!$B$43),Constants!$C$6,Design!$B$43)/1000*(1+Constants!$C$36/100*(N27-25))-Design!$C$29)/(IF(ISBLANK(Design!$B$42),Design!$B$40,Design!$B$42)/1000000)*E27/100/(IF(ISBLANK(Design!$B$33),Design!$B$32,Design!$B$33)*1000000))</f>
        <v>0.36312797949476955</v>
      </c>
      <c r="G27" s="165">
        <f>B27*Constants!$C$21/1000+IF(ISBLANK(Design!$B$33),Design!$B$32,Design!$B$33)*1000000*Constants!$D$25/1000000000*(B27-Constants!$C$24)</f>
        <v>2.2004374999999993E-2</v>
      </c>
      <c r="H27" s="165">
        <f>B27*C27*(B27/(Constants!$C$26*1000000000)*IF(ISBLANK(Design!$B$33),Design!$B$32,Design!$B$33)*1000000/2+B27/(Constants!$C$27*1000000000)*IF(ISBLANK(Design!$B$33),Design!$B$32,Design!$B$33)*1000000/2)</f>
        <v>8.8139731770833257E-2</v>
      </c>
      <c r="I27" s="165">
        <f t="shared" ca="1" si="0"/>
        <v>1.6329647299375267</v>
      </c>
      <c r="J27" s="165">
        <f>Constants!$D$25/1000000000*Constants!$C$24*IF(ISBLANK(Design!$B$33),Design!$B$32,Design!$B$33)*1000000</f>
        <v>1.0624999999999999E-2</v>
      </c>
      <c r="K27" s="165">
        <f t="shared" ca="1" si="4"/>
        <v>1.7537338367083601</v>
      </c>
      <c r="L27" s="165">
        <f t="shared" ca="1" si="5"/>
        <v>0.22132008292779826</v>
      </c>
      <c r="M27" s="166">
        <f ca="1">A27+L27*Design!$B$19</f>
        <v>97.615244726884498</v>
      </c>
      <c r="N27" s="166">
        <f ca="1">K27*Design!$C$12+A27</f>
        <v>144.62695044808424</v>
      </c>
      <c r="O27" s="166">
        <f ca="1">Constants!$D$22+Constants!$D$22*Constants!$C$23/100*(N27-25)</f>
        <v>220.70156035846742</v>
      </c>
      <c r="P27" s="165">
        <f ca="1">IF(100*(Design!$C$29+D27+C27*IF(ISBLANK(Design!$B$43),Constants!$C$6,Design!$B$43)/1000*(1+Constants!$C$36/100*(N27-25)))/($B27+D27-C27*O27/1000)&gt;Design!$C$36,  (1-Constants!$C$20/1000000000*IF(ISBLANK(Design!$B$33),Design!$B$32/4,Design!$B$33/4)*1000000) * ($B27+D27-C27*O27/1000) - (D27+C27*(1+($A27-25)*Constants!$C$36/100)*IF(ISBLANK(Design!$B$43),Constants!$C$6/1000,Design!$B$43/1000)),   (1-Constants!$C$20/1000000000*IF(ISBLANK(Design!$B$33),Design!$B$32,Design!$B$33)*1000000) * ($B27+D27-C27*O27/1000) - (D27+C27*(1+($A27-25)*Constants!$C$36/100)*IF(ISBLANK(Design!$B$43),Constants!$C$6/1000,Design!$B$43/1000)) )</f>
        <v>5.9698361359288619</v>
      </c>
      <c r="Q27" s="171">
        <f ca="1">IF(P27&gt;Design!$C$29,Design!$C$29,P27)</f>
        <v>4.9990521327014221</v>
      </c>
      <c r="R27" s="181">
        <f>2*Design!$D$7/3</f>
        <v>2</v>
      </c>
      <c r="S27" s="116">
        <f ca="1">FORECAST(R27, OFFSET(Design!$C$15:$C$17,MATCH(R27,Design!$B$15:$B$17,1)-1,0,2), OFFSET(Design!$B$15:$B$17,MATCH(R27,Design!$B$15:$B$17,1)-1,0,2))+(AB27-25)*Design!$B$18/1000</f>
        <v>0.3901358786817955</v>
      </c>
      <c r="T27" s="182">
        <f ca="1">IF(100*(Design!$C$29+S27+R27*IF(ISBLANK(Design!$B$43),Constants!$C$6,Design!$B$43)/1000*(1+Constants!$C$36/100*(AC27-25)))/($B27+S27-R27*AD27/1000)&gt;Design!$C$36,Design!$C$37,100*(Design!$C$29+S27+R27*IF(ISBLANK(Design!$B$43),Constants!$C$6,Design!$B$43)/1000*(1+Constants!$C$36/100*(AC27-25)))/($B27+S27-R27*AD27/1000))</f>
        <v>77.821219551349188</v>
      </c>
      <c r="U27" s="117">
        <f ca="1">IF(($B27-R27*IF(ISBLANK(Design!$B$43),Constants!$C$6,Design!$B$43)/1000*(1+Constants!$C$36/100*(AC27-25))-Design!$C$29)/(Design!$B$42/1000000)*T27/100/(IF(ISBLANK(IF(ISBLANK(Design!$B$42),Design!$B$40,Design!$B$42)),Design!$B$32,Design!$B$33)*1000000)&lt;0,0,($B27-R27*IF(ISBLANK(Design!$B$43),Constants!$C$6,Design!$B$43)/1000*(1+Constants!$C$36/100*(AC27-25))-Design!$C$29)/(IF(ISBLANK(Design!$B$42),Design!$B$40,Design!$B$42)/1000000)*T27/100/(IF(ISBLANK(Design!$B$33),Design!$B$32,Design!$B$33)*1000000))</f>
        <v>0.35700877947628268</v>
      </c>
      <c r="V27" s="183">
        <f>$B27*Constants!$C$21/1000+IF(ISBLANK(Design!$B$33),Design!$B$32,Design!$B$33)*1000000*Constants!$D$25/1000000000*($B27-Constants!$C$24)</f>
        <v>2.2004374999999993E-2</v>
      </c>
      <c r="W27" s="183">
        <f>$B27*R27*($B27/(Constants!$C$26*1000000000)*IF(ISBLANK(Design!$B$33),Design!$B$32,Design!$B$33)*1000000/2+$B27/(Constants!$C$27*1000000000)*IF(ISBLANK(Design!$B$33),Design!$B$32,Design!$B$33)*1000000/2)</f>
        <v>5.8759821180555512E-2</v>
      </c>
      <c r="X27" s="183">
        <f t="shared" ca="1" si="1"/>
        <v>0.59852235470064064</v>
      </c>
      <c r="Y27" s="183">
        <f>Constants!$D$25/1000000000*Constants!$C$24*IF(ISBLANK(Design!$B$33),Design!$B$32,Design!$B$33)*1000000</f>
        <v>1.0624999999999999E-2</v>
      </c>
      <c r="Z27" s="183">
        <f t="shared" ca="1" si="10"/>
        <v>0.68991155088119616</v>
      </c>
      <c r="AA27" s="183">
        <f t="shared" ca="1" si="7"/>
        <v>0.17305475996850025</v>
      </c>
      <c r="AB27" s="184">
        <f ca="1">$A27+AA27*Design!$B$19</f>
        <v>94.864121318204511</v>
      </c>
      <c r="AC27" s="184">
        <f ca="1">Z27*Design!$C$12+$A27</f>
        <v>108.45699272996066</v>
      </c>
      <c r="AD27" s="184">
        <f ca="1">Constants!$D$22+Constants!$D$22*Constants!$C$23/100*(AC27-25)</f>
        <v>191.76559418396852</v>
      </c>
      <c r="AE27" s="183">
        <f ca="1">IF(100*(Design!$C$29+S27+R27*IF(ISBLANK(Design!$B$43),Constants!$C$6,Design!$B$43)/1000*(1+Constants!$C$36/100*(AC27-25)))/($B27+S27-R27*AD27/1000)&gt;Design!$C$36,  (1-Constants!$C$20/1000000000*IF(ISBLANK(Design!$B$33),Design!$B$32/4,Design!$B$33/4)*1000000) * ($B27+S27-R27*AD27/1000) - (S27+R27*(1+($A27-25)*Constants!$C$36/100)*IF(ISBLANK(Design!$B$43),Constants!$C$6/1000,Design!$B$43/1000)),   (1-Constants!$C$20/1000000000*IF(ISBLANK(Design!$B$33),Design!$B$32,Design!$B$33)*1000000) * ($B27+S27-R27*AD27/1000) - (S27+R27*(1+($A27-25)*Constants!$C$36/100)*IF(ISBLANK(Design!$B$43),Constants!$C$6/1000,Design!$B$43/1000)) )</f>
        <v>6.2874925222606386</v>
      </c>
      <c r="AF27" s="117">
        <f ca="1">IF(AE27&gt;Design!$C$29,Design!$C$29,AE27)</f>
        <v>4.9990521327014221</v>
      </c>
      <c r="AG27" s="118">
        <f>Design!$D$7/3</f>
        <v>1</v>
      </c>
      <c r="AH27" s="118">
        <f ca="1">FORECAST(AG27, OFFSET(Design!$C$15:$C$17,MATCH(AG27,Design!$B$15:$B$17,1)-1,0,2), OFFSET(Design!$B$15:$B$17,MATCH(AG27,Design!$B$15:$B$17,1)-1,0,2))+(AQ27-25)*Design!$B$18/1000</f>
        <v>0.31762422351091946</v>
      </c>
      <c r="AI27" s="194">
        <f ca="1">IF(100*(Design!$C$29+AH27+AG27*IF(ISBLANK(Design!$B$43),Constants!$C$6,Design!$B$43)/1000*(1+Constants!$C$36/100*(AR27-25)))/($B27+AH27-AG27*AS27/1000)&gt;Design!$C$36,Design!$C$37,100*(Design!$C$29+AH27+AG27*IF(ISBLANK(Design!$B$43),Constants!$C$6,Design!$B$43)/1000*(1+Constants!$C$36/100*(AR27-25)))/($B27+AH27-AG27*AS27/1000))</f>
        <v>74.603119634176608</v>
      </c>
      <c r="AJ27" s="119">
        <f ca="1">IF(($B27-AG27*IF(ISBLANK(Design!$B$43),Constants!$C$6,Design!$B$43)/1000*(1+Constants!$C$36/100*(AR27-25))-Design!$C$29)/(IF(ISBLANK(Design!$B$42),Design!$B$40,Design!$B$42)/1000000)*AI27/100/(IF(ISBLANK(Design!$B$33),Design!$B$32,Design!$B$33)*1000000)&lt;0,0,($B27-AG27*IF(ISBLANK(Design!$B$43),Constants!$C$6,Design!$B$43)/1000*(1+Constants!$C$36/100*(AR27-25))-Design!$C$29)/(IF(ISBLANK(Design!$B$42),Design!$B$40,Design!$B$42)/1000000)*AI27/100/(IF(ISBLANK(Design!$B$33),Design!$B$32,Design!$B$33)*1000000))</f>
        <v>0.35203298340951766</v>
      </c>
      <c r="AK27" s="195">
        <f>$B27*Constants!$C$21/1000+IF(ISBLANK(Design!$B$33),Design!$B$32,Design!$B$33)*1000000*Constants!$D$25/1000000000*($B27-Constants!$C$24)</f>
        <v>2.2004374999999993E-2</v>
      </c>
      <c r="AL27" s="195">
        <f>$B27*AG27*($B27/(Constants!$C$26*1000000000)*IF(ISBLANK(Design!$B$33),Design!$B$32,Design!$B$33)*1000000/2+$B27/(Constants!$C$27*1000000000)*IF(ISBLANK(Design!$B$33),Design!$B$32,Design!$B$33)*1000000/2)</f>
        <v>2.9379910590277756E-2</v>
      </c>
      <c r="AM27" s="195">
        <f t="shared" ca="1" si="2"/>
        <v>0.13442345678490189</v>
      </c>
      <c r="AN27" s="195">
        <f>Constants!$D$25/1000000000*Constants!$C$24*IF(ISBLANK(Design!$B$33),Design!$B$32,Design!$B$33)*1000000</f>
        <v>1.0624999999999999E-2</v>
      </c>
      <c r="AO27" s="195">
        <f t="shared" ca="1" si="11"/>
        <v>0.19643274237517963</v>
      </c>
      <c r="AP27" s="195">
        <f t="shared" ca="1" si="9"/>
        <v>8.0666644057943715E-2</v>
      </c>
      <c r="AQ27" s="196">
        <f ca="1">$A27+AP27*Design!$B$19</f>
        <v>89.597998711302793</v>
      </c>
      <c r="AR27" s="196">
        <f ca="1">AO27*Design!$C$12+$A27</f>
        <v>91.67871324075611</v>
      </c>
      <c r="AS27" s="196">
        <f ca="1">Constants!$D$22+Constants!$D$22*Constants!$C$23/100*(AR27-25)</f>
        <v>178.3429705926049</v>
      </c>
      <c r="AT27" s="195">
        <f ca="1">IF(100*(Design!$C$29+AH27+AG27*IF(ISBLANK(Design!$B$43),Constants!$C$6,Design!$B$43)/1000*(1+Constants!$C$36/100*(AR27-25)))/($B27+AH27-AG27*AS27/1000)&gt;Design!$C$36,  (1-Constants!$C$20/1000000000*IF(ISBLANK(Design!$B$33),Design!$B$32/4,Design!$B$33/4)*1000000) * ($B27+AH27-AG27*AS27/1000) - (AH27+AG27*(1+($A27-25)*Constants!$C$36/100)*IF(ISBLANK(Design!$B$43),Constants!$C$6/1000,Design!$B$43/1000)),   (1-Constants!$C$20/1000000000*IF(ISBLANK(Design!$B$33),Design!$B$32,Design!$B$33)*1000000) * ($B27+AH27-AG27*AS27/1000) - (AH27+AG27*(1+($A27-25)*Constants!$C$36/100)*IF(ISBLANK(Design!$B$43),Constants!$C$6/1000,Design!$B$43/1000)) )</f>
        <v>6.5367559238208148</v>
      </c>
      <c r="AU27" s="119">
        <f ca="1">IF(AT27&gt;Design!$C$29,Design!$C$29,AT27)</f>
        <v>4.9990521327014221</v>
      </c>
    </row>
    <row r="28" spans="1:47" s="120" customFormat="1" ht="12.75" customHeight="1" x14ac:dyDescent="0.2">
      <c r="A28" s="112">
        <f>Design!$D$13</f>
        <v>85</v>
      </c>
      <c r="B28" s="113">
        <f t="shared" si="3"/>
        <v>6.8399999999999981</v>
      </c>
      <c r="C28" s="114">
        <f>Design!$D$7</f>
        <v>3</v>
      </c>
      <c r="D28" s="114">
        <f ca="1">FORECAST(C28, OFFSET(Design!$C$15:$C$17,MATCH(C28,Design!$B$15:$B$17,1)-1,0,2), OFFSET(Design!$B$15:$B$17,MATCH(C28,Design!$B$15:$B$17,1)-1,0,2))+(M28-25)*Design!$B$18/1000</f>
        <v>0.41428338320738789</v>
      </c>
      <c r="E28" s="173">
        <f ca="1">IF(100*(Design!$C$29+D28+C28*IF(ISBLANK(Design!$B$43),Constants!$C$6,Design!$B$43)/1000*(1+Constants!$C$36/100*(N28-25)))/($B28+D28-C28*O28/1000)&gt;Design!$C$36,Design!$C$37,100*(Design!$C$29+D28+C28*IF(ISBLANK(Design!$B$43),Constants!$C$6,Design!$B$43)/1000*(1+Constants!$C$36/100*(N28-25)))/($B28+D28-C28*O28/1000))</f>
        <v>84.872607451495554</v>
      </c>
      <c r="F28" s="115">
        <f ca="1">IF(($B28-C28*IF(ISBLANK(Design!$B$43),Constants!$C$6,Design!$B$43)/1000*(1+Constants!$C$36/100*(N28-25))-Design!$C$29)/(IF(ISBLANK(Design!$B$42),Design!$B$40,Design!$B$42)/1000000)*E28/100/(IF(ISBLANK(Design!$B$33),Design!$B$32,Design!$B$33)*1000000)&lt;0, 0, ($B28-C28*IF(ISBLANK(Design!$B$43),Constants!$C$6,Design!$B$43)/1000*(1+Constants!$C$36/100*(N28-25))-Design!$C$29)/(IF(ISBLANK(Design!$B$42),Design!$B$40,Design!$B$42)/1000000)*E28/100/(IF(ISBLANK(Design!$B$33),Design!$B$32,Design!$B$33)*1000000))</f>
        <v>0.33221210746100693</v>
      </c>
      <c r="G28" s="165">
        <f>B28*Constants!$C$21/1000+IF(ISBLANK(Design!$B$33),Design!$B$32,Design!$B$33)*1000000*Constants!$D$25/1000000000*(B28-Constants!$C$24)</f>
        <v>2.100999999999999E-2</v>
      </c>
      <c r="H28" s="165">
        <f>B28*C28*(B28/(Constants!$C$26*1000000000)*IF(ISBLANK(Design!$B$33),Design!$B$32,Design!$B$33)*1000000/2+B28/(Constants!$C$27*1000000000)*IF(ISBLANK(Design!$B$33),Design!$B$32,Design!$B$33)*1000000/2)</f>
        <v>8.2849499999999951E-2</v>
      </c>
      <c r="I28" s="165">
        <f t="shared" ca="1" si="0"/>
        <v>1.700245225027988</v>
      </c>
      <c r="J28" s="165">
        <f>Constants!$D$25/1000000000*Constants!$C$24*IF(ISBLANK(Design!$B$33),Design!$B$32,Design!$B$33)*1000000</f>
        <v>1.0624999999999999E-2</v>
      </c>
      <c r="K28" s="165">
        <f t="shared" ca="1" si="4"/>
        <v>1.8147297250279881</v>
      </c>
      <c r="L28" s="165">
        <f t="shared" ca="1" si="5"/>
        <v>0.1880108209230196</v>
      </c>
      <c r="M28" s="166">
        <f ca="1">A28+L28*Design!$B$19</f>
        <v>95.716616792612115</v>
      </c>
      <c r="N28" s="166">
        <f ca="1">K28*Design!$C$12+A28</f>
        <v>146.70081065095161</v>
      </c>
      <c r="O28" s="166">
        <f ca="1">Constants!$D$22+Constants!$D$22*Constants!$C$23/100*(N28-25)</f>
        <v>222.36064852076129</v>
      </c>
      <c r="P28" s="165">
        <f ca="1">IF(100*(Design!$C$29+D28+C28*IF(ISBLANK(Design!$B$43),Constants!$C$6,Design!$B$43)/1000*(1+Constants!$C$36/100*(N28-25)))/($B28+D28-C28*O28/1000)&gt;Design!$C$36,  (1-Constants!$C$20/1000000000*IF(ISBLANK(Design!$B$33),Design!$B$32/4,Design!$B$33/4)*1000000) * ($B28+D28-C28*O28/1000) - (D28+C28*(1+($A28-25)*Constants!$C$36/100)*IF(ISBLANK(Design!$B$43),Constants!$C$6/1000,Design!$B$43/1000)),   (1-Constants!$C$20/1000000000*IF(ISBLANK(Design!$B$33),Design!$B$32,Design!$B$33)*1000000) * ($B28+D28-C28*O28/1000) - (D28+C28*(1+($A28-25)*Constants!$C$36/100)*IF(ISBLANK(Design!$B$43),Constants!$C$6/1000,Design!$B$43/1000)) )</f>
        <v>5.7586637963927929</v>
      </c>
      <c r="Q28" s="171">
        <f ca="1">IF(P28&gt;Design!$C$29,Design!$C$29,P28)</f>
        <v>4.9990521327014221</v>
      </c>
      <c r="R28" s="181">
        <f>2*Design!$D$7/3</f>
        <v>2</v>
      </c>
      <c r="S28" s="116">
        <f ca="1">FORECAST(R28, OFFSET(Design!$C$15:$C$17,MATCH(R28,Design!$B$15:$B$17,1)-1,0,2), OFFSET(Design!$B$15:$B$17,MATCH(R28,Design!$B$15:$B$17,1)-1,0,2))+(AB28-25)*Design!$B$18/1000</f>
        <v>0.39120555336682311</v>
      </c>
      <c r="T28" s="182">
        <f ca="1">IF(100*(Design!$C$29+S28+R28*IF(ISBLANK(Design!$B$43),Constants!$C$6,Design!$B$43)/1000*(1+Constants!$C$36/100*(AC28-25)))/($B28+S28-R28*AD28/1000)&gt;Design!$C$36,Design!$C$37,100*(Design!$C$29+S28+R28*IF(ISBLANK(Design!$B$43),Constants!$C$6,Design!$B$43)/1000*(1+Constants!$C$36/100*(AC28-25)))/($B28+S28-R28*AD28/1000))</f>
        <v>80.280374844336109</v>
      </c>
      <c r="U28" s="117">
        <f ca="1">IF(($B28-R28*IF(ISBLANK(Design!$B$43),Constants!$C$6,Design!$B$43)/1000*(1+Constants!$C$36/100*(AC28-25))-Design!$C$29)/(Design!$B$42/1000000)*T28/100/(IF(ISBLANK(IF(ISBLANK(Design!$B$42),Design!$B$40,Design!$B$42)),Design!$B$32,Design!$B$33)*1000000)&lt;0,0,($B28-R28*IF(ISBLANK(Design!$B$43),Constants!$C$6,Design!$B$43)/1000*(1+Constants!$C$36/100*(AC28-25))-Design!$C$29)/(IF(ISBLANK(Design!$B$42),Design!$B$40,Design!$B$42)/1000000)*T28/100/(IF(ISBLANK(Design!$B$33),Design!$B$32,Design!$B$33)*1000000))</f>
        <v>0.32764657567029493</v>
      </c>
      <c r="V28" s="183">
        <f>$B28*Constants!$C$21/1000+IF(ISBLANK(Design!$B$33),Design!$B$32,Design!$B$33)*1000000*Constants!$D$25/1000000000*($B28-Constants!$C$24)</f>
        <v>2.100999999999999E-2</v>
      </c>
      <c r="W28" s="183">
        <f>$B28*R28*($B28/(Constants!$C$26*1000000000)*IF(ISBLANK(Design!$B$33),Design!$B$32,Design!$B$33)*1000000/2+$B28/(Constants!$C$27*1000000000)*IF(ISBLANK(Design!$B$33),Design!$B$32,Design!$B$33)*1000000/2)</f>
        <v>5.5232999999999963E-2</v>
      </c>
      <c r="X28" s="183">
        <f t="shared" ca="1" si="1"/>
        <v>0.61853381684991304</v>
      </c>
      <c r="Y28" s="183">
        <f>Constants!$D$25/1000000000*Constants!$C$24*IF(ISBLANK(Design!$B$33),Design!$B$32,Design!$B$33)*1000000</f>
        <v>1.0624999999999999E-2</v>
      </c>
      <c r="Z28" s="183">
        <f t="shared" ca="1" si="10"/>
        <v>0.70540181684991299</v>
      </c>
      <c r="AA28" s="183">
        <f t="shared" ca="1" si="7"/>
        <v>0.15428853742415635</v>
      </c>
      <c r="AB28" s="184">
        <f ca="1">$A28+AA28*Design!$B$19</f>
        <v>93.794446633176918</v>
      </c>
      <c r="AC28" s="184">
        <f ca="1">Z28*Design!$C$12+$A28</f>
        <v>108.98366177289704</v>
      </c>
      <c r="AD28" s="184">
        <f ca="1">Constants!$D$22+Constants!$D$22*Constants!$C$23/100*(AC28-25)</f>
        <v>192.18692941831762</v>
      </c>
      <c r="AE28" s="183">
        <f ca="1">IF(100*(Design!$C$29+S28+R28*IF(ISBLANK(Design!$B$43),Constants!$C$6,Design!$B$43)/1000*(1+Constants!$C$36/100*(AC28-25)))/($B28+S28-R28*AD28/1000)&gt;Design!$C$36,  (1-Constants!$C$20/1000000000*IF(ISBLANK(Design!$B$33),Design!$B$32/4,Design!$B$33/4)*1000000) * ($B28+S28-R28*AD28/1000) - (S28+R28*(1+($A28-25)*Constants!$C$36/100)*IF(ISBLANK(Design!$B$43),Constants!$C$6/1000,Design!$B$43/1000)),   (1-Constants!$C$20/1000000000*IF(ISBLANK(Design!$B$33),Design!$B$32,Design!$B$33)*1000000) * ($B28+S28-R28*AD28/1000) - (S28+R28*(1+($A28-25)*Constants!$C$36/100)*IF(ISBLANK(Design!$B$43),Constants!$C$6/1000,Design!$B$43/1000)) )</f>
        <v>6.0803213114967072</v>
      </c>
      <c r="AF28" s="117">
        <f ca="1">IF(AE28&gt;Design!$C$29,Design!$C$29,AE28)</f>
        <v>4.9990521327014221</v>
      </c>
      <c r="AG28" s="118">
        <f>Design!$D$7/3</f>
        <v>1</v>
      </c>
      <c r="AH28" s="118">
        <f ca="1">FORECAST(AG28, OFFSET(Design!$C$15:$C$17,MATCH(AG28,Design!$B$15:$B$17,1)-1,0,2), OFFSET(Design!$B$15:$B$17,MATCH(AG28,Design!$B$15:$B$17,1)-1,0,2))+(AQ28-25)*Design!$B$18/1000</f>
        <v>0.31803521687193503</v>
      </c>
      <c r="AI28" s="194">
        <f ca="1">IF(100*(Design!$C$29+AH28+AG28*IF(ISBLANK(Design!$B$43),Constants!$C$6,Design!$B$43)/1000*(1+Constants!$C$36/100*(AR28-25)))/($B28+AH28-AG28*AS28/1000)&gt;Design!$C$36,Design!$C$37,100*(Design!$C$29+AH28+AG28*IF(ISBLANK(Design!$B$43),Constants!$C$6,Design!$B$43)/1000*(1+Constants!$C$36/100*(AR28-25)))/($B28+AH28-AG28*AS28/1000))</f>
        <v>76.903113140094817</v>
      </c>
      <c r="AJ28" s="119">
        <f ca="1">IF(($B28-AG28*IF(ISBLANK(Design!$B$43),Constants!$C$6,Design!$B$43)/1000*(1+Constants!$C$36/100*(AR28-25))-Design!$C$29)/(IF(ISBLANK(Design!$B$42),Design!$B$40,Design!$B$42)/1000000)*AI28/100/(IF(ISBLANK(Design!$B$33),Design!$B$32,Design!$B$33)*1000000)&lt;0,0,($B28-AG28*IF(ISBLANK(Design!$B$43),Constants!$C$6,Design!$B$43)/1000*(1+Constants!$C$36/100*(AR28-25))-Design!$C$29)/(IF(ISBLANK(Design!$B$42),Design!$B$40,Design!$B$42)/1000000)*AI28/100/(IF(ISBLANK(Design!$B$33),Design!$B$32,Design!$B$33)*1000000))</f>
        <v>0.32398097926300873</v>
      </c>
      <c r="AK28" s="195">
        <f>$B28*Constants!$C$21/1000+IF(ISBLANK(Design!$B$33),Design!$B$32,Design!$B$33)*1000000*Constants!$D$25/1000000000*($B28-Constants!$C$24)</f>
        <v>2.100999999999999E-2</v>
      </c>
      <c r="AL28" s="195">
        <f>$B28*AG28*($B28/(Constants!$C$26*1000000000)*IF(ISBLANK(Design!$B$33),Design!$B$32,Design!$B$33)*1000000/2+$B28/(Constants!$C$27*1000000000)*IF(ISBLANK(Design!$B$33),Design!$B$32,Design!$B$33)*1000000/2)</f>
        <v>2.7616499999999981E-2</v>
      </c>
      <c r="AM28" s="195">
        <f t="shared" ca="1" si="2"/>
        <v>0.13837616880696202</v>
      </c>
      <c r="AN28" s="195">
        <f>Constants!$D$25/1000000000*Constants!$C$24*IF(ISBLANK(Design!$B$33),Design!$B$32,Design!$B$33)*1000000</f>
        <v>1.0624999999999999E-2</v>
      </c>
      <c r="AO28" s="195">
        <f t="shared" ca="1" si="11"/>
        <v>0.19762766880696198</v>
      </c>
      <c r="AP28" s="195">
        <f t="shared" ca="1" si="9"/>
        <v>7.3456234215564922E-2</v>
      </c>
      <c r="AQ28" s="196">
        <f ca="1">$A28+AP28*Design!$B$19</f>
        <v>89.187005350287194</v>
      </c>
      <c r="AR28" s="196">
        <f ca="1">AO28*Design!$C$12+$A28</f>
        <v>91.719340739436703</v>
      </c>
      <c r="AS28" s="196">
        <f ca="1">Constants!$D$22+Constants!$D$22*Constants!$C$23/100*(AR28-25)</f>
        <v>178.37547259154937</v>
      </c>
      <c r="AT28" s="195">
        <f ca="1">IF(100*(Design!$C$29+AH28+AG28*IF(ISBLANK(Design!$B$43),Constants!$C$6,Design!$B$43)/1000*(1+Constants!$C$36/100*(AR28-25)))/($B28+AH28-AG28*AS28/1000)&gt;Design!$C$36,  (1-Constants!$C$20/1000000000*IF(ISBLANK(Design!$B$33),Design!$B$32/4,Design!$B$33/4)*1000000) * ($B28+AH28-AG28*AS28/1000) - (AH28+AG28*(1+($A28-25)*Constants!$C$36/100)*IF(ISBLANK(Design!$B$43),Constants!$C$6/1000,Design!$B$43/1000)),   (1-Constants!$C$20/1000000000*IF(ISBLANK(Design!$B$33),Design!$B$32,Design!$B$33)*1000000) * ($B28+AH28-AG28*AS28/1000) - (AH28+AG28*(1+($A28-25)*Constants!$C$36/100)*IF(ISBLANK(Design!$B$43),Constants!$C$6/1000,Design!$B$43/1000)) )</f>
        <v>6.3303887652331277</v>
      </c>
      <c r="AU28" s="119">
        <f ca="1">IF(AT28&gt;Design!$C$29,Design!$C$29,AT28)</f>
        <v>4.9990521327014221</v>
      </c>
    </row>
    <row r="29" spans="1:47" s="120" customFormat="1" ht="12.75" customHeight="1" x14ac:dyDescent="0.2">
      <c r="A29" s="112">
        <f>Design!$D$13</f>
        <v>85</v>
      </c>
      <c r="B29" s="113">
        <f t="shared" si="3"/>
        <v>6.6249999999999982</v>
      </c>
      <c r="C29" s="114">
        <f>Design!$D$7</f>
        <v>3</v>
      </c>
      <c r="D29" s="114">
        <f ca="1">FORECAST(C29, OFFSET(Design!$C$15:$C$17,MATCH(C29,Design!$B$15:$B$17,1)-1,0,2), OFFSET(Design!$B$15:$B$17,MATCH(C29,Design!$B$15:$B$17,1)-1,0,2))+(M29-25)*Design!$B$18/1000</f>
        <v>0.41633773479845376</v>
      </c>
      <c r="E29" s="173">
        <f ca="1">IF(100*(Design!$C$29+D29+C29*IF(ISBLANK(Design!$B$43),Constants!$C$6,Design!$B$43)/1000*(1+Constants!$C$36/100*(N29-25)))/($B29+D29-C29*O29/1000)&gt;Design!$C$36,Design!$C$37,100*(Design!$C$29+D29+C29*IF(ISBLANK(Design!$B$43),Constants!$C$6,Design!$B$43)/1000*(1+Constants!$C$36/100*(N29-25)))/($B29+D29-C29*O29/1000))</f>
        <v>87.832829596627448</v>
      </c>
      <c r="F29" s="115">
        <f ca="1">IF(($B29-C29*IF(ISBLANK(Design!$B$43),Constants!$C$6,Design!$B$43)/1000*(1+Constants!$C$36/100*(N29-25))-Design!$C$29)/(IF(ISBLANK(Design!$B$42),Design!$B$40,Design!$B$42)/1000000)*E29/100/(IF(ISBLANK(Design!$B$33),Design!$B$32,Design!$B$33)*1000000)&lt;0, 0, ($B29-C29*IF(ISBLANK(Design!$B$43),Constants!$C$6,Design!$B$43)/1000*(1+Constants!$C$36/100*(N29-25))-Design!$C$29)/(IF(ISBLANK(Design!$B$42),Design!$B$40,Design!$B$42)/1000000)*E29/100/(IF(ISBLANK(Design!$B$33),Design!$B$32,Design!$B$33)*1000000))</f>
        <v>0.29914294549392734</v>
      </c>
      <c r="G29" s="165">
        <f>B29*Constants!$C$21/1000+IF(ISBLANK(Design!$B$33),Design!$B$32,Design!$B$33)*1000000*Constants!$D$25/1000000000*(B29-Constants!$C$24)</f>
        <v>2.0015624999999995E-2</v>
      </c>
      <c r="H29" s="165">
        <f>B29*C29*(B29/(Constants!$C$26*1000000000)*IF(ISBLANK(Design!$B$33),Design!$B$32,Design!$B$33)*1000000/2+B29/(Constants!$C$27*1000000000)*IF(ISBLANK(Design!$B$33),Design!$B$32,Design!$B$33)*1000000/2)</f>
        <v>7.7722981770833283E-2</v>
      </c>
      <c r="I29" s="165">
        <f t="shared" ca="1" si="0"/>
        <v>1.7736962479408775</v>
      </c>
      <c r="J29" s="165">
        <f>Constants!$D$25/1000000000*Constants!$C$24*IF(ISBLANK(Design!$B$33),Design!$B$32,Design!$B$33)*1000000</f>
        <v>1.0624999999999999E-2</v>
      </c>
      <c r="K29" s="165">
        <f t="shared" ca="1" si="4"/>
        <v>1.8820598547117109</v>
      </c>
      <c r="L29" s="165">
        <f t="shared" ca="1" si="5"/>
        <v>0.1519695649394075</v>
      </c>
      <c r="M29" s="166">
        <f ca="1">A29+L29*Design!$B$19</f>
        <v>93.662265201546234</v>
      </c>
      <c r="N29" s="166">
        <f ca="1">K29*Design!$C$12+A29</f>
        <v>148.99003506019818</v>
      </c>
      <c r="O29" s="166">
        <f ca="1">Constants!$D$22+Constants!$D$22*Constants!$C$23/100*(N29-25)</f>
        <v>224.19202804815853</v>
      </c>
      <c r="P29" s="165">
        <f ca="1">IF(100*(Design!$C$29+D29+C29*IF(ISBLANK(Design!$B$43),Constants!$C$6,Design!$B$43)/1000*(1+Constants!$C$36/100*(N29-25)))/($B29+D29-C29*O29/1000)&gt;Design!$C$36,  (1-Constants!$C$20/1000000000*IF(ISBLANK(Design!$B$33),Design!$B$32/4,Design!$B$33/4)*1000000) * ($B29+D29-C29*O29/1000) - (D29+C29*(1+($A29-25)*Constants!$C$36/100)*IF(ISBLANK(Design!$B$43),Constants!$C$6/1000,Design!$B$43/1000)),   (1-Constants!$C$20/1000000000*IF(ISBLANK(Design!$B$33),Design!$B$32,Design!$B$33)*1000000) * ($B29+D29-C29*O29/1000) - (D29+C29*(1+($A29-25)*Constants!$C$36/100)*IF(ISBLANK(Design!$B$43),Constants!$C$6/1000,Design!$B$43/1000)) )</f>
        <v>5.5469891642103679</v>
      </c>
      <c r="Q29" s="171">
        <f ca="1">IF(P29&gt;Design!$C$29,Design!$C$29,P29)</f>
        <v>4.9990521327014221</v>
      </c>
      <c r="R29" s="181">
        <f>2*Design!$D$7/3</f>
        <v>2</v>
      </c>
      <c r="S29" s="116">
        <f ca="1">FORECAST(R29, OFFSET(Design!$C$15:$C$17,MATCH(R29,Design!$B$15:$B$17,1)-1,0,2), OFFSET(Design!$B$15:$B$17,MATCH(R29,Design!$B$15:$B$17,1)-1,0,2))+(AB29-25)*Design!$B$18/1000</f>
        <v>0.39235163976426624</v>
      </c>
      <c r="T29" s="182">
        <f ca="1">IF(100*(Design!$C$29+S29+R29*IF(ISBLANK(Design!$B$43),Constants!$C$6,Design!$B$43)/1000*(1+Constants!$C$36/100*(AC29-25)))/($B29+S29-R29*AD29/1000)&gt;Design!$C$36,Design!$C$37,100*(Design!$C$29+S29+R29*IF(ISBLANK(Design!$B$43),Constants!$C$6,Design!$B$43)/1000*(1+Constants!$C$36/100*(AC29-25)))/($B29+S29-R29*AD29/1000))</f>
        <v>82.900318882028245</v>
      </c>
      <c r="U29" s="117">
        <f ca="1">IF(($B29-R29*IF(ISBLANK(Design!$B$43),Constants!$C$6,Design!$B$43)/1000*(1+Constants!$C$36/100*(AC29-25))-Design!$C$29)/(Design!$B$42/1000000)*T29/100/(IF(ISBLANK(IF(ISBLANK(Design!$B$42),Design!$B$40,Design!$B$42)),Design!$B$32,Design!$B$33)*1000000)&lt;0,0,($B29-R29*IF(ISBLANK(Design!$B$43),Constants!$C$6,Design!$B$43)/1000*(1+Constants!$C$36/100*(AC29-25))-Design!$C$29)/(IF(ISBLANK(Design!$B$42),Design!$B$40,Design!$B$42)/1000000)*T29/100/(IF(ISBLANK(Design!$B$33),Design!$B$32,Design!$B$33)*1000000))</f>
        <v>0.29636592570799319</v>
      </c>
      <c r="V29" s="183">
        <f>$B29*Constants!$C$21/1000+IF(ISBLANK(Design!$B$33),Design!$B$32,Design!$B$33)*1000000*Constants!$D$25/1000000000*($B29-Constants!$C$24)</f>
        <v>2.0015624999999995E-2</v>
      </c>
      <c r="W29" s="183">
        <f>$B29*R29*($B29/(Constants!$C$26*1000000000)*IF(ISBLANK(Design!$B$33),Design!$B$32,Design!$B$33)*1000000/2+$B29/(Constants!$C$27*1000000000)*IF(ISBLANK(Design!$B$33),Design!$B$32,Design!$B$33)*1000000/2)</f>
        <v>5.1815321180555526E-2</v>
      </c>
      <c r="X29" s="183">
        <f t="shared" ca="1" si="1"/>
        <v>0.64000163036521673</v>
      </c>
      <c r="Y29" s="183">
        <f>Constants!$D$25/1000000000*Constants!$C$24*IF(ISBLANK(Design!$B$33),Design!$B$32,Design!$B$33)*1000000</f>
        <v>1.0624999999999999E-2</v>
      </c>
      <c r="Z29" s="183">
        <f t="shared" ca="1" si="10"/>
        <v>0.72245757654577225</v>
      </c>
      <c r="AA29" s="183">
        <f t="shared" ca="1" si="7"/>
        <v>0.13418175852164557</v>
      </c>
      <c r="AB29" s="184">
        <f ca="1">$A29+AA29*Design!$B$19</f>
        <v>92.648360235733804</v>
      </c>
      <c r="AC29" s="184">
        <f ca="1">Z29*Design!$C$12+$A29</f>
        <v>109.56355760255626</v>
      </c>
      <c r="AD29" s="184">
        <f ca="1">Constants!$D$22+Constants!$D$22*Constants!$C$23/100*(AC29-25)</f>
        <v>192.65084608204501</v>
      </c>
      <c r="AE29" s="183">
        <f ca="1">IF(100*(Design!$C$29+S29+R29*IF(ISBLANK(Design!$B$43),Constants!$C$6,Design!$B$43)/1000*(1+Constants!$C$36/100*(AC29-25)))/($B29+S29-R29*AD29/1000)&gt;Design!$C$36,  (1-Constants!$C$20/1000000000*IF(ISBLANK(Design!$B$33),Design!$B$32/4,Design!$B$33/4)*1000000) * ($B29+S29-R29*AD29/1000) - (S29+R29*(1+($A29-25)*Constants!$C$36/100)*IF(ISBLANK(Design!$B$43),Constants!$C$6/1000,Design!$B$43/1000)),   (1-Constants!$C$20/1000000000*IF(ISBLANK(Design!$B$33),Design!$B$32,Design!$B$33)*1000000) * ($B29+S29-R29*AD29/1000) - (S29+R29*(1+($A29-25)*Constants!$C$36/100)*IF(ISBLANK(Design!$B$43),Constants!$C$6/1000,Design!$B$43/1000)) )</f>
        <v>5.8730652912015513</v>
      </c>
      <c r="AF29" s="117">
        <f ca="1">IF(AE29&gt;Design!$C$29,Design!$C$29,AE29)</f>
        <v>4.9990521327014221</v>
      </c>
      <c r="AG29" s="118">
        <f>Design!$D$7/3</f>
        <v>1</v>
      </c>
      <c r="AH29" s="118">
        <f ca="1">FORECAST(AG29, OFFSET(Design!$C$15:$C$17,MATCH(AG29,Design!$B$15:$B$17,1)-1,0,2), OFFSET(Design!$B$15:$B$17,MATCH(AG29,Design!$B$15:$B$17,1)-1,0,2))+(AQ29-25)*Design!$B$18/1000</f>
        <v>0.31847349414470877</v>
      </c>
      <c r="AI29" s="194">
        <f ca="1">IF(100*(Design!$C$29+AH29+AG29*IF(ISBLANK(Design!$B$43),Constants!$C$6,Design!$B$43)/1000*(1+Constants!$C$36/100*(AR29-25)))/($B29+AH29-AG29*AS29/1000)&gt;Design!$C$36,Design!$C$37,100*(Design!$C$29+AH29+AG29*IF(ISBLANK(Design!$B$43),Constants!$C$6,Design!$B$43)/1000*(1+Constants!$C$36/100*(AR29-25)))/($B29+AH29-AG29*AS29/1000))</f>
        <v>79.349251832952021</v>
      </c>
      <c r="AJ29" s="119">
        <f ca="1">IF(($B29-AG29*IF(ISBLANK(Design!$B$43),Constants!$C$6,Design!$B$43)/1000*(1+Constants!$C$36/100*(AR29-25))-Design!$C$29)/(IF(ISBLANK(Design!$B$42),Design!$B$40,Design!$B$42)/1000000)*AI29/100/(IF(ISBLANK(Design!$B$33),Design!$B$32,Design!$B$33)*1000000)&lt;0,0,($B29-AG29*IF(ISBLANK(Design!$B$43),Constants!$C$6,Design!$B$43)/1000*(1+Constants!$C$36/100*(AR29-25))-Design!$C$29)/(IF(ISBLANK(Design!$B$42),Design!$B$40,Design!$B$42)/1000000)*AI29/100/(IF(ISBLANK(Design!$B$33),Design!$B$32,Design!$B$33)*1000000))</f>
        <v>0.29414328841857423</v>
      </c>
      <c r="AK29" s="195">
        <f>$B29*Constants!$C$21/1000+IF(ISBLANK(Design!$B$33),Design!$B$32,Design!$B$33)*1000000*Constants!$D$25/1000000000*($B29-Constants!$C$24)</f>
        <v>2.0015624999999995E-2</v>
      </c>
      <c r="AL29" s="195">
        <f>$B29*AG29*($B29/(Constants!$C$26*1000000000)*IF(ISBLANK(Design!$B$33),Design!$B$32,Design!$B$33)*1000000/2+$B29/(Constants!$C$27*1000000000)*IF(ISBLANK(Design!$B$33),Design!$B$32,Design!$B$33)*1000000/2)</f>
        <v>2.5907660590277763E-2</v>
      </c>
      <c r="AM29" s="195">
        <f t="shared" ca="1" si="2"/>
        <v>0.14259301088767259</v>
      </c>
      <c r="AN29" s="195">
        <f>Constants!$D$25/1000000000*Constants!$C$24*IF(ISBLANK(Design!$B$33),Design!$B$32,Design!$B$33)*1000000</f>
        <v>1.0624999999999999E-2</v>
      </c>
      <c r="AO29" s="195">
        <f t="shared" ca="1" si="11"/>
        <v>0.19914129647795034</v>
      </c>
      <c r="AP29" s="195">
        <f t="shared" ca="1" si="9"/>
        <v>6.5767159254622107E-2</v>
      </c>
      <c r="AQ29" s="196">
        <f ca="1">$A29+AP29*Design!$B$19</f>
        <v>88.748728077513462</v>
      </c>
      <c r="AR29" s="196">
        <f ca="1">AO29*Design!$C$12+$A29</f>
        <v>91.770804080250315</v>
      </c>
      <c r="AS29" s="196">
        <f ca="1">Constants!$D$22+Constants!$D$22*Constants!$C$23/100*(AR29-25)</f>
        <v>178.41664326420025</v>
      </c>
      <c r="AT29" s="195">
        <f ca="1">IF(100*(Design!$C$29+AH29+AG29*IF(ISBLANK(Design!$B$43),Constants!$C$6,Design!$B$43)/1000*(1+Constants!$C$36/100*(AR29-25)))/($B29+AH29-AG29*AS29/1000)&gt;Design!$C$36,  (1-Constants!$C$20/1000000000*IF(ISBLANK(Design!$B$33),Design!$B$32/4,Design!$B$33/4)*1000000) * ($B29+AH29-AG29*AS29/1000) - (AH29+AG29*(1+($A29-25)*Constants!$C$36/100)*IF(ISBLANK(Design!$B$43),Constants!$C$6/1000,Design!$B$43/1000)),   (1-Constants!$C$20/1000000000*IF(ISBLANK(Design!$B$33),Design!$B$32,Design!$B$33)*1000000) * ($B29+AH29-AG29*AS29/1000) - (AH29+AG29*(1+($A29-25)*Constants!$C$36/100)*IF(ISBLANK(Design!$B$43),Constants!$C$6/1000,Design!$B$43/1000)) )</f>
        <v>6.1240121863814974</v>
      </c>
      <c r="AU29" s="119">
        <f ca="1">IF(AT29&gt;Design!$C$29,Design!$C$29,AT29)</f>
        <v>4.9990521327014221</v>
      </c>
    </row>
    <row r="30" spans="1:47" s="120" customFormat="1" ht="12.75" customHeight="1" x14ac:dyDescent="0.2">
      <c r="A30" s="112">
        <f>Design!$D$13</f>
        <v>85</v>
      </c>
      <c r="B30" s="113">
        <f t="shared" si="3"/>
        <v>6.4099999999999984</v>
      </c>
      <c r="C30" s="114">
        <f>Design!$D$7</f>
        <v>3</v>
      </c>
      <c r="D30" s="114">
        <f ca="1">FORECAST(C30, OFFSET(Design!$C$15:$C$17,MATCH(C30,Design!$B$15:$B$17,1)-1,0,2), OFFSET(Design!$B$15:$B$17,MATCH(C30,Design!$B$15:$B$17,1)-1,0,2))+(M30-25)*Design!$B$18/1000</f>
        <v>0.41856841106253273</v>
      </c>
      <c r="E30" s="173">
        <f ca="1">IF(100*(Design!$C$29+D30+C30*IF(ISBLANK(Design!$B$43),Constants!$C$6,Design!$B$43)/1000*(1+Constants!$C$36/100*(N30-25)))/($B30+D30-C30*O30/1000)&gt;Design!$C$36,Design!$C$37,100*(Design!$C$29+D30+C30*IF(ISBLANK(Design!$B$43),Constants!$C$6,Design!$B$43)/1000*(1+Constants!$C$36/100*(N30-25)))/($B30+D30-C30*O30/1000))</f>
        <v>91.014221279197358</v>
      </c>
      <c r="F30" s="115">
        <f ca="1">IF(($B30-C30*IF(ISBLANK(Design!$B$43),Constants!$C$6,Design!$B$43)/1000*(1+Constants!$C$36/100*(N30-25))-Design!$C$29)/(IF(ISBLANK(Design!$B$42),Design!$B$40,Design!$B$42)/1000000)*E30/100/(IF(ISBLANK(Design!$B$33),Design!$B$32,Design!$B$33)*1000000)&lt;0, 0, ($B30-C30*IF(ISBLANK(Design!$B$43),Constants!$C$6,Design!$B$43)/1000*(1+Constants!$C$36/100*(N30-25))-Design!$C$29)/(IF(ISBLANK(Design!$B$42),Design!$B$40,Design!$B$42)/1000000)*E30/100/(IF(ISBLANK(Design!$B$33),Design!$B$32,Design!$B$33)*1000000))</f>
        <v>0.26367963645405346</v>
      </c>
      <c r="G30" s="165">
        <f>B30*Constants!$C$21/1000+IF(ISBLANK(Design!$B$33),Design!$B$32,Design!$B$33)*1000000*Constants!$D$25/1000000000*(B30-Constants!$C$24)</f>
        <v>1.902124999999999E-2</v>
      </c>
      <c r="H30" s="165">
        <f>B30*C30*(B30/(Constants!$C$26*1000000000)*IF(ISBLANK(Design!$B$33),Design!$B$32,Design!$B$33)*1000000/2+B30/(Constants!$C$27*1000000000)*IF(ISBLANK(Design!$B$33),Design!$B$32,Design!$B$33)*1000000/2)</f>
        <v>7.2760177083333294E-2</v>
      </c>
      <c r="I30" s="165">
        <f t="shared" ca="1" si="0"/>
        <v>1.8542280075149871</v>
      </c>
      <c r="J30" s="165">
        <f>Constants!$D$25/1000000000*Constants!$C$24*IF(ISBLANK(Design!$B$33),Design!$B$32,Design!$B$33)*1000000</f>
        <v>1.0624999999999999E-2</v>
      </c>
      <c r="K30" s="165">
        <f t="shared" ca="1" si="4"/>
        <v>1.9566344345983204</v>
      </c>
      <c r="L30" s="165">
        <f t="shared" ca="1" si="5"/>
        <v>0.11283489363977636</v>
      </c>
      <c r="M30" s="166">
        <f ca="1">A30+L30*Design!$B$19</f>
        <v>91.431588937467254</v>
      </c>
      <c r="N30" s="166">
        <f ca="1">K30*Design!$C$12+A30</f>
        <v>151.52557077634287</v>
      </c>
      <c r="O30" s="166">
        <f ca="1">Constants!$D$22+Constants!$D$22*Constants!$C$23/100*(N30-25)</f>
        <v>226.22045662107431</v>
      </c>
      <c r="P30" s="165">
        <f ca="1">IF(100*(Design!$C$29+D30+C30*IF(ISBLANK(Design!$B$43),Constants!$C$6,Design!$B$43)/1000*(1+Constants!$C$36/100*(N30-25)))/($B30+D30-C30*O30/1000)&gt;Design!$C$36,  (1-Constants!$C$20/1000000000*IF(ISBLANK(Design!$B$33),Design!$B$32/4,Design!$B$33/4)*1000000) * ($B30+D30-C30*O30/1000) - (D30+C30*(1+($A30-25)*Constants!$C$36/100)*IF(ISBLANK(Design!$B$43),Constants!$C$6/1000,Design!$B$43/1000)),   (1-Constants!$C$20/1000000000*IF(ISBLANK(Design!$B$33),Design!$B$32,Design!$B$33)*1000000) * ($B30+D30-C30*O30/1000) - (D30+C30*(1+($A30-25)*Constants!$C$36/100)*IF(ISBLANK(Design!$B$43),Constants!$C$6/1000,Design!$B$43/1000)) )</f>
        <v>5.3347401333483528</v>
      </c>
      <c r="Q30" s="171">
        <f ca="1">IF(P30&gt;Design!$C$29,Design!$C$29,P30)</f>
        <v>4.9990521327014221</v>
      </c>
      <c r="R30" s="181">
        <f>2*Design!$D$7/3</f>
        <v>2</v>
      </c>
      <c r="S30" s="116">
        <f ca="1">FORECAST(R30, OFFSET(Design!$C$15:$C$17,MATCH(R30,Design!$B$15:$B$17,1)-1,0,2), OFFSET(Design!$B$15:$B$17,MATCH(R30,Design!$B$15:$B$17,1)-1,0,2))+(AB30-25)*Design!$B$18/1000</f>
        <v>0.39358263794693471</v>
      </c>
      <c r="T30" s="182">
        <f ca="1">IF(100*(Design!$C$29+S30+R30*IF(ISBLANK(Design!$B$43),Constants!$C$6,Design!$B$43)/1000*(1+Constants!$C$36/100*(AC30-25)))/($B30+S30-R30*AD30/1000)&gt;Design!$C$36,Design!$C$37,100*(Design!$C$29+S30+R30*IF(ISBLANK(Design!$B$43),Constants!$C$6,Design!$B$43)/1000*(1+Constants!$C$36/100*(AC30-25)))/($B30+S30-R30*AD30/1000))</f>
        <v>85.697374792258486</v>
      </c>
      <c r="U30" s="117">
        <f ca="1">IF(($B30-R30*IF(ISBLANK(Design!$B$43),Constants!$C$6,Design!$B$43)/1000*(1+Constants!$C$36/100*(AC30-25))-Design!$C$29)/(Design!$B$42/1000000)*T30/100/(IF(ISBLANK(IF(ISBLANK(Design!$B$42),Design!$B$40,Design!$B$42)),Design!$B$32,Design!$B$33)*1000000)&lt;0,0,($B30-R30*IF(ISBLANK(Design!$B$43),Constants!$C$6,Design!$B$43)/1000*(1+Constants!$C$36/100*(AC30-25))-Design!$C$29)/(IF(ISBLANK(Design!$B$42),Design!$B$40,Design!$B$42)/1000000)*T30/100/(IF(ISBLANK(Design!$B$33),Design!$B$32,Design!$B$33)*1000000))</f>
        <v>0.26297202249598406</v>
      </c>
      <c r="V30" s="183">
        <f>$B30*Constants!$C$21/1000+IF(ISBLANK(Design!$B$33),Design!$B$32,Design!$B$33)*1000000*Constants!$D$25/1000000000*($B30-Constants!$C$24)</f>
        <v>1.902124999999999E-2</v>
      </c>
      <c r="W30" s="183">
        <f>$B30*R30*($B30/(Constants!$C$26*1000000000)*IF(ISBLANK(Design!$B$33),Design!$B$32,Design!$B$33)*1000000/2+$B30/(Constants!$C$27*1000000000)*IF(ISBLANK(Design!$B$33),Design!$B$32,Design!$B$33)*1000000/2)</f>
        <v>4.8506784722222196E-2</v>
      </c>
      <c r="X30" s="183">
        <f t="shared" ca="1" si="1"/>
        <v>0.66309259775235929</v>
      </c>
      <c r="Y30" s="183">
        <f>Constants!$D$25/1000000000*Constants!$C$24*IF(ISBLANK(Design!$B$33),Design!$B$32,Design!$B$33)*1000000</f>
        <v>1.0624999999999999E-2</v>
      </c>
      <c r="Z30" s="183">
        <f t="shared" ca="1" si="10"/>
        <v>0.74124563247458142</v>
      </c>
      <c r="AA30" s="183">
        <f t="shared" ca="1" si="7"/>
        <v>0.11258529917658461</v>
      </c>
      <c r="AB30" s="184">
        <f ca="1">$A30+AA30*Design!$B$19</f>
        <v>91.417362053065318</v>
      </c>
      <c r="AC30" s="184">
        <f ca="1">Z30*Design!$C$12+$A30</f>
        <v>110.20235150413578</v>
      </c>
      <c r="AD30" s="184">
        <f ca="1">Constants!$D$22+Constants!$D$22*Constants!$C$23/100*(AC30-25)</f>
        <v>193.16188120330861</v>
      </c>
      <c r="AE30" s="183">
        <f ca="1">IF(100*(Design!$C$29+S30+R30*IF(ISBLANK(Design!$B$43),Constants!$C$6,Design!$B$43)/1000*(1+Constants!$C$36/100*(AC30-25)))/($B30+S30-R30*AD30/1000)&gt;Design!$C$36,  (1-Constants!$C$20/1000000000*IF(ISBLANK(Design!$B$33),Design!$B$32/4,Design!$B$33/4)*1000000) * ($B30+S30-R30*AD30/1000) - (S30+R30*(1+($A30-25)*Constants!$C$36/100)*IF(ISBLANK(Design!$B$43),Constants!$C$6/1000,Design!$B$43/1000)),   (1-Constants!$C$20/1000000000*IF(ISBLANK(Design!$B$33),Design!$B$32,Design!$B$33)*1000000) * ($B30+S30-R30*AD30/1000) - (S30+R30*(1+($A30-25)*Constants!$C$36/100)*IF(ISBLANK(Design!$B$43),Constants!$C$6/1000,Design!$B$43/1000)) )</f>
        <v>5.6657154104934406</v>
      </c>
      <c r="AF30" s="117">
        <f ca="1">IF(AE30&gt;Design!$C$29,Design!$C$29,AE30)</f>
        <v>4.9990521327014221</v>
      </c>
      <c r="AG30" s="118">
        <f>Design!$D$7/3</f>
        <v>1</v>
      </c>
      <c r="AH30" s="118">
        <f ca="1">FORECAST(AG30, OFFSET(Design!$C$15:$C$17,MATCH(AG30,Design!$B$15:$B$17,1)-1,0,2), OFFSET(Design!$B$15:$B$17,MATCH(AG30,Design!$B$15:$B$17,1)-1,0,2))+(AQ30-25)*Design!$B$18/1000</f>
        <v>0.31894186125768675</v>
      </c>
      <c r="AI30" s="194">
        <f ca="1">IF(100*(Design!$C$29+AH30+AG30*IF(ISBLANK(Design!$B$43),Constants!$C$6,Design!$B$43)/1000*(1+Constants!$C$36/100*(AR30-25)))/($B30+AH30-AG30*AS30/1000)&gt;Design!$C$36,Design!$C$37,100*(Design!$C$29+AH30+AG30*IF(ISBLANK(Design!$B$43),Constants!$C$6,Design!$B$43)/1000*(1+Constants!$C$36/100*(AR30-25)))/($B30+AH30-AG30*AS30/1000))</f>
        <v>81.955898754295546</v>
      </c>
      <c r="AJ30" s="119">
        <f ca="1">IF(($B30-AG30*IF(ISBLANK(Design!$B$43),Constants!$C$6,Design!$B$43)/1000*(1+Constants!$C$36/100*(AR30-25))-Design!$C$29)/(IF(ISBLANK(Design!$B$42),Design!$B$40,Design!$B$42)/1000000)*AI30/100/(IF(ISBLANK(Design!$B$33),Design!$B$32,Design!$B$33)*1000000)&lt;0,0,($B30-AG30*IF(ISBLANK(Design!$B$43),Constants!$C$6,Design!$B$43)/1000*(1+Constants!$C$36/100*(AR30-25))-Design!$C$29)/(IF(ISBLANK(Design!$B$42),Design!$B$40,Design!$B$42)/1000000)*AI30/100/(IF(ISBLANK(Design!$B$33),Design!$B$32,Design!$B$33)*1000000))</f>
        <v>0.26234402270332929</v>
      </c>
      <c r="AK30" s="195">
        <f>$B30*Constants!$C$21/1000+IF(ISBLANK(Design!$B$33),Design!$B$32,Design!$B$33)*1000000*Constants!$D$25/1000000000*($B30-Constants!$C$24)</f>
        <v>1.902124999999999E-2</v>
      </c>
      <c r="AL30" s="195">
        <f>$B30*AG30*($B30/(Constants!$C$26*1000000000)*IF(ISBLANK(Design!$B$33),Design!$B$32,Design!$B$33)*1000000/2+$B30/(Constants!$C$27*1000000000)*IF(ISBLANK(Design!$B$33),Design!$B$32,Design!$B$33)*1000000/2)</f>
        <v>2.4253392361111098E-2</v>
      </c>
      <c r="AM30" s="195">
        <f t="shared" ca="1" si="2"/>
        <v>0.14710334449011467</v>
      </c>
      <c r="AN30" s="195">
        <f>Constants!$D$25/1000000000*Constants!$C$24*IF(ISBLANK(Design!$B$33),Design!$B$32,Design!$B$33)*1000000</f>
        <v>1.0624999999999999E-2</v>
      </c>
      <c r="AO30" s="195">
        <f t="shared" ca="1" si="11"/>
        <v>0.20100298685122575</v>
      </c>
      <c r="AP30" s="195">
        <f t="shared" ca="1" si="9"/>
        <v>5.7550192360271236E-2</v>
      </c>
      <c r="AQ30" s="196">
        <f ca="1">$A30+AP30*Design!$B$19</f>
        <v>88.280360964535461</v>
      </c>
      <c r="AR30" s="196">
        <f ca="1">AO30*Design!$C$12+$A30</f>
        <v>91.834101552941675</v>
      </c>
      <c r="AS30" s="196">
        <f ca="1">Constants!$D$22+Constants!$D$22*Constants!$C$23/100*(AR30-25)</f>
        <v>178.46728124235335</v>
      </c>
      <c r="AT30" s="195">
        <f ca="1">IF(100*(Design!$C$29+AH30+AG30*IF(ISBLANK(Design!$B$43),Constants!$C$6,Design!$B$43)/1000*(1+Constants!$C$36/100*(AR30-25)))/($B30+AH30-AG30*AS30/1000)&gt;Design!$C$36,  (1-Constants!$C$20/1000000000*IF(ISBLANK(Design!$B$33),Design!$B$32/4,Design!$B$33/4)*1000000) * ($B30+AH30-AG30*AS30/1000) - (AH30+AG30*(1+($A30-25)*Constants!$C$36/100)*IF(ISBLANK(Design!$B$43),Constants!$C$6/1000,Design!$B$43/1000)),   (1-Constants!$C$20/1000000000*IF(ISBLANK(Design!$B$33),Design!$B$32,Design!$B$33)*1000000) * ($B30+AH30-AG30*AS30/1000) - (AH30+AG30*(1+($A30-25)*Constants!$C$36/100)*IF(ISBLANK(Design!$B$43),Constants!$C$6/1000,Design!$B$43/1000)) )</f>
        <v>5.9176253075895264</v>
      </c>
      <c r="AU30" s="119">
        <f ca="1">IF(AT30&gt;Design!$C$29,Design!$C$29,AT30)</f>
        <v>4.9990521327014221</v>
      </c>
    </row>
    <row r="31" spans="1:47" s="120" customFormat="1" ht="12.75" customHeight="1" x14ac:dyDescent="0.2">
      <c r="A31" s="112">
        <f>Design!$D$13</f>
        <v>85</v>
      </c>
      <c r="B31" s="113">
        <f t="shared" si="3"/>
        <v>6.1949999999999985</v>
      </c>
      <c r="C31" s="114">
        <f>Design!$D$7</f>
        <v>3</v>
      </c>
      <c r="D31" s="114">
        <f ca="1">FORECAST(C31, OFFSET(Design!$C$15:$C$17,MATCH(C31,Design!$B$15:$B$17,1)-1,0,2), OFFSET(Design!$B$15:$B$17,MATCH(C31,Design!$B$15:$B$17,1)-1,0,2))+(M31-25)*Design!$B$18/1000</f>
        <v>0.42099995875680457</v>
      </c>
      <c r="E31" s="173">
        <f ca="1">IF(100*(Design!$C$29+D31+C31*IF(ISBLANK(Design!$B$43),Constants!$C$6,Design!$B$43)/1000*(1+Constants!$C$36/100*(N31-25)))/($B31+D31-C31*O31/1000)&gt;Design!$C$36,Design!$C$37,100*(Design!$C$29+D31+C31*IF(ISBLANK(Design!$B$43),Constants!$C$6,Design!$B$43)/1000*(1+Constants!$C$36/100*(N31-25)))/($B31+D31-C31*O31/1000))</f>
        <v>94.44369207948381</v>
      </c>
      <c r="F31" s="115">
        <f ca="1">IF(($B31-C31*IF(ISBLANK(Design!$B$43),Constants!$C$6,Design!$B$43)/1000*(1+Constants!$C$36/100*(N31-25))-Design!$C$29)/(IF(ISBLANK(Design!$B$42),Design!$B$40,Design!$B$42)/1000000)*E31/100/(IF(ISBLANK(Design!$B$33),Design!$B$32,Design!$B$33)*1000000)&lt;0, 0, ($B31-C31*IF(ISBLANK(Design!$B$43),Constants!$C$6,Design!$B$43)/1000*(1+Constants!$C$36/100*(N31-25))-Design!$C$29)/(IF(ISBLANK(Design!$B$42),Design!$B$40,Design!$B$42)/1000000)*E31/100/(IF(ISBLANK(Design!$B$33),Design!$B$32,Design!$B$33)*1000000))</f>
        <v>0.2255423761714517</v>
      </c>
      <c r="G31" s="165">
        <f>B31*Constants!$C$21/1000+IF(ISBLANK(Design!$B$33),Design!$B$32,Design!$B$33)*1000000*Constants!$D$25/1000000000*(B31-Constants!$C$24)</f>
        <v>1.8026874999999994E-2</v>
      </c>
      <c r="H31" s="165">
        <f>B31*C31*(B31/(Constants!$C$26*1000000000)*IF(ISBLANK(Design!$B$33),Design!$B$32,Design!$B$33)*1000000/2+B31/(Constants!$C$27*1000000000)*IF(ISBLANK(Design!$B$33),Design!$B$32,Design!$B$33)*1000000/2)</f>
        <v>6.7961085937499957E-2</v>
      </c>
      <c r="I31" s="165">
        <f t="shared" ca="1" si="0"/>
        <v>1.9429450658424012</v>
      </c>
      <c r="J31" s="165">
        <f>Constants!$D$25/1000000000*Constants!$C$24*IF(ISBLANK(Design!$B$33),Design!$B$32,Design!$B$33)*1000000</f>
        <v>1.0624999999999999E-2</v>
      </c>
      <c r="K31" s="165">
        <f t="shared" ca="1" si="4"/>
        <v>2.0395580267799014</v>
      </c>
      <c r="L31" s="165">
        <f t="shared" ca="1" si="5"/>
        <v>7.0176162161322678E-2</v>
      </c>
      <c r="M31" s="166">
        <f ca="1">A31+L31*Design!$B$19</f>
        <v>89.000041243195398</v>
      </c>
      <c r="N31" s="166">
        <f ca="1">K31*Design!$C$12+A31</f>
        <v>154.34497291051665</v>
      </c>
      <c r="O31" s="166">
        <f ca="1">Constants!$D$22+Constants!$D$22*Constants!$C$23/100*(N31-25)</f>
        <v>228.47597832841331</v>
      </c>
      <c r="P31" s="165">
        <f ca="1">IF(100*(Design!$C$29+D31+C31*IF(ISBLANK(Design!$B$43),Constants!$C$6,Design!$B$43)/1000*(1+Constants!$C$36/100*(N31-25)))/($B31+D31-C31*O31/1000)&gt;Design!$C$36,  (1-Constants!$C$20/1000000000*IF(ISBLANK(Design!$B$33),Design!$B$32/4,Design!$B$33/4)*1000000) * ($B31+D31-C31*O31/1000) - (D31+C31*(1+($A31-25)*Constants!$C$36/100)*IF(ISBLANK(Design!$B$43),Constants!$C$6/1000,Design!$B$43/1000)),   (1-Constants!$C$20/1000000000*IF(ISBLANK(Design!$B$33),Design!$B$32,Design!$B$33)*1000000) * ($B31+D31-C31*O31/1000) - (D31+C31*(1+($A31-25)*Constants!$C$36/100)*IF(ISBLANK(Design!$B$43),Constants!$C$6/1000,Design!$B$43/1000)) )</f>
        <v>5.1218292195549822</v>
      </c>
      <c r="Q31" s="171">
        <f ca="1">IF(P31&gt;Design!$C$29,Design!$C$29,P31)</f>
        <v>4.9990521327014221</v>
      </c>
      <c r="R31" s="181">
        <f>2*Design!$D$7/3</f>
        <v>2</v>
      </c>
      <c r="S31" s="116">
        <f ca="1">FORECAST(R31, OFFSET(Design!$C$15:$C$17,MATCH(R31,Design!$B$15:$B$17,1)-1,0,2), OFFSET(Design!$B$15:$B$17,MATCH(R31,Design!$B$15:$B$17,1)-1,0,2))+(AB31-25)*Design!$B$18/1000</f>
        <v>0.39490835939423541</v>
      </c>
      <c r="T31" s="182">
        <f ca="1">IF(100*(Design!$C$29+S31+R31*IF(ISBLANK(Design!$B$43),Constants!$C$6,Design!$B$43)/1000*(1+Constants!$C$36/100*(AC31-25)))/($B31+S31-R31*AD31/1000)&gt;Design!$C$36,Design!$C$37,100*(Design!$C$29+S31+R31*IF(ISBLANK(Design!$B$43),Constants!$C$6,Design!$B$43)/1000*(1+Constants!$C$36/100*(AC31-25)))/($B31+S31-R31*AD31/1000))</f>
        <v>88.69015734329713</v>
      </c>
      <c r="U31" s="117">
        <f ca="1">IF(($B31-R31*IF(ISBLANK(Design!$B$43),Constants!$C$6,Design!$B$43)/1000*(1+Constants!$C$36/100*(AC31-25))-Design!$C$29)/(Design!$B$42/1000000)*T31/100/(IF(ISBLANK(IF(ISBLANK(Design!$B$42),Design!$B$40,Design!$B$42)),Design!$B$32,Design!$B$33)*1000000)&lt;0,0,($B31-R31*IF(ISBLANK(Design!$B$43),Constants!$C$6,Design!$B$43)/1000*(1+Constants!$C$36/100*(AC31-25))-Design!$C$29)/(IF(ISBLANK(Design!$B$42),Design!$B$40,Design!$B$42)/1000000)*T31/100/(IF(ISBLANK(Design!$B$33),Design!$B$32,Design!$B$33)*1000000))</f>
        <v>0.22724271881597569</v>
      </c>
      <c r="V31" s="183">
        <f>$B31*Constants!$C$21/1000+IF(ISBLANK(Design!$B$33),Design!$B$32,Design!$B$33)*1000000*Constants!$D$25/1000000000*($B31-Constants!$C$24)</f>
        <v>1.8026874999999994E-2</v>
      </c>
      <c r="W31" s="183">
        <f>$B31*R31*($B31/(Constants!$C$26*1000000000)*IF(ISBLANK(Design!$B$33),Design!$B$32,Design!$B$33)*1000000/2+$B31/(Constants!$C$27*1000000000)*IF(ISBLANK(Design!$B$33),Design!$B$32,Design!$B$33)*1000000/2)</f>
        <v>4.5307390624999978E-2</v>
      </c>
      <c r="X31" s="183">
        <f t="shared" ca="1" si="1"/>
        <v>0.68800047920428931</v>
      </c>
      <c r="Y31" s="183">
        <f>Constants!$D$25/1000000000*Constants!$C$24*IF(ISBLANK(Design!$B$33),Design!$B$32,Design!$B$33)*1000000</f>
        <v>1.0624999999999999E-2</v>
      </c>
      <c r="Z31" s="183">
        <f t="shared" ca="1" si="10"/>
        <v>0.7619597448292893</v>
      </c>
      <c r="AA31" s="183">
        <f t="shared" ca="1" si="7"/>
        <v>8.9327028171309442E-2</v>
      </c>
      <c r="AB31" s="184">
        <f ca="1">$A31+AA31*Design!$B$19</f>
        <v>90.091640605764638</v>
      </c>
      <c r="AC31" s="184">
        <f ca="1">Z31*Design!$C$12+$A31</f>
        <v>110.90663132419584</v>
      </c>
      <c r="AD31" s="184">
        <f ca="1">Constants!$D$22+Constants!$D$22*Constants!$C$23/100*(AC31-25)</f>
        <v>193.72530505935669</v>
      </c>
      <c r="AE31" s="183">
        <f ca="1">IF(100*(Design!$C$29+S31+R31*IF(ISBLANK(Design!$B$43),Constants!$C$6,Design!$B$43)/1000*(1+Constants!$C$36/100*(AC31-25)))/($B31+S31-R31*AD31/1000)&gt;Design!$C$36,  (1-Constants!$C$20/1000000000*IF(ISBLANK(Design!$B$33),Design!$B$32/4,Design!$B$33/4)*1000000) * ($B31+S31-R31*AD31/1000) - (S31+R31*(1+($A31-25)*Constants!$C$36/100)*IF(ISBLANK(Design!$B$43),Constants!$C$6/1000,Design!$B$43/1000)),   (1-Constants!$C$20/1000000000*IF(ISBLANK(Design!$B$33),Design!$B$32,Design!$B$33)*1000000) * ($B31+S31-R31*AD31/1000) - (S31+R31*(1+($A31-25)*Constants!$C$36/100)*IF(ISBLANK(Design!$B$43),Constants!$C$6/1000,Design!$B$43/1000)) )</f>
        <v>5.4582611582542864</v>
      </c>
      <c r="AF31" s="117">
        <f ca="1">IF(AE31&gt;Design!$C$29,Design!$C$29,AE31)</f>
        <v>4.9990521327014221</v>
      </c>
      <c r="AG31" s="118">
        <f>Design!$D$7/3</f>
        <v>1</v>
      </c>
      <c r="AH31" s="118">
        <f ca="1">FORECAST(AG31, OFFSET(Design!$C$15:$C$17,MATCH(AG31,Design!$B$15:$B$17,1)-1,0,2), OFFSET(Design!$B$15:$B$17,MATCH(AG31,Design!$B$15:$B$17,1)-1,0,2))+(AQ31-25)*Design!$B$18/1000</f>
        <v>0.31944352196722631</v>
      </c>
      <c r="AI31" s="194">
        <f ca="1">IF(100*(Design!$C$29+AH31+AG31*IF(ISBLANK(Design!$B$43),Constants!$C$6,Design!$B$43)/1000*(1+Constants!$C$36/100*(AR31-25)))/($B31+AH31-AG31*AS31/1000)&gt;Design!$C$36,Design!$C$37,100*(Design!$C$29+AH31+AG31*IF(ISBLANK(Design!$B$43),Constants!$C$6,Design!$B$43)/1000*(1+Constants!$C$36/100*(AR31-25)))/($B31+AH31-AG31*AS31/1000))</f>
        <v>84.739359564902387</v>
      </c>
      <c r="AJ31" s="119">
        <f ca="1">IF(($B31-AG31*IF(ISBLANK(Design!$B$43),Constants!$C$6,Design!$B$43)/1000*(1+Constants!$C$36/100*(AR31-25))-Design!$C$29)/(IF(ISBLANK(Design!$B$42),Design!$B$40,Design!$B$42)/1000000)*AI31/100/(IF(ISBLANK(Design!$B$33),Design!$B$32,Design!$B$33)*1000000)&lt;0,0,($B31-AG31*IF(ISBLANK(Design!$B$43),Constants!$C$6,Design!$B$43)/1000*(1+Constants!$C$36/100*(AR31-25))-Design!$C$29)/(IF(ISBLANK(Design!$B$42),Design!$B$40,Design!$B$42)/1000000)*AI31/100/(IF(ISBLANK(Design!$B$33),Design!$B$32,Design!$B$33)*1000000))</f>
        <v>0.22838345123681969</v>
      </c>
      <c r="AK31" s="195">
        <f>$B31*Constants!$C$21/1000+IF(ISBLANK(Design!$B$33),Design!$B$32,Design!$B$33)*1000000*Constants!$D$25/1000000000*($B31-Constants!$C$24)</f>
        <v>1.8026874999999994E-2</v>
      </c>
      <c r="AL31" s="195">
        <f>$B31*AG31*($B31/(Constants!$C$26*1000000000)*IF(ISBLANK(Design!$B$33),Design!$B$32,Design!$B$33)*1000000/2+$B31/(Constants!$C$27*1000000000)*IF(ISBLANK(Design!$B$33),Design!$B$32,Design!$B$33)*1000000/2)</f>
        <v>2.2653695312499989E-2</v>
      </c>
      <c r="AM31" s="195">
        <f t="shared" ca="1" si="2"/>
        <v>0.15194131853331752</v>
      </c>
      <c r="AN31" s="195">
        <f>Constants!$D$25/1000000000*Constants!$C$24*IF(ISBLANK(Design!$B$33),Design!$B$32,Design!$B$33)*1000000</f>
        <v>1.0624999999999999E-2</v>
      </c>
      <c r="AO31" s="195">
        <f t="shared" ca="1" si="11"/>
        <v>0.20324688884581749</v>
      </c>
      <c r="AP31" s="195">
        <f t="shared" ca="1" si="9"/>
        <v>4.8749127280630473E-2</v>
      </c>
      <c r="AQ31" s="196">
        <f ca="1">$A31+AP31*Design!$B$19</f>
        <v>87.77870025499594</v>
      </c>
      <c r="AR31" s="196">
        <f ca="1">AO31*Design!$C$12+$A31</f>
        <v>91.910394220757794</v>
      </c>
      <c r="AS31" s="196">
        <f ca="1">Constants!$D$22+Constants!$D$22*Constants!$C$23/100*(AR31-25)</f>
        <v>178.52831537660623</v>
      </c>
      <c r="AT31" s="195">
        <f ca="1">IF(100*(Design!$C$29+AH31+AG31*IF(ISBLANK(Design!$B$43),Constants!$C$6,Design!$B$43)/1000*(1+Constants!$C$36/100*(AR31-25)))/($B31+AH31-AG31*AS31/1000)&gt;Design!$C$36,  (1-Constants!$C$20/1000000000*IF(ISBLANK(Design!$B$33),Design!$B$32/4,Design!$B$33/4)*1000000) * ($B31+AH31-AG31*AS31/1000) - (AH31+AG31*(1+($A31-25)*Constants!$C$36/100)*IF(ISBLANK(Design!$B$43),Constants!$C$6/1000,Design!$B$43/1000)),   (1-Constants!$C$20/1000000000*IF(ISBLANK(Design!$B$33),Design!$B$32,Design!$B$33)*1000000) * ($B31+AH31-AG31*AS31/1000) - (AH31+AG31*(1+($A31-25)*Constants!$C$36/100)*IF(ISBLANK(Design!$B$43),Constants!$C$6/1000,Design!$B$43/1000)) )</f>
        <v>5.7112271081572956</v>
      </c>
      <c r="AU31" s="119">
        <f ca="1">IF(AT31&gt;Design!$C$29,Design!$C$29,AT31)</f>
        <v>4.9990521327014221</v>
      </c>
    </row>
    <row r="32" spans="1:47" s="120" customFormat="1" ht="12.75" customHeight="1" x14ac:dyDescent="0.2">
      <c r="A32" s="112">
        <f>Design!$D$13</f>
        <v>85</v>
      </c>
      <c r="B32" s="113">
        <f t="shared" si="3"/>
        <v>5.9799999999999986</v>
      </c>
      <c r="C32" s="114">
        <f>Design!$D$7</f>
        <v>3</v>
      </c>
      <c r="D32" s="114">
        <f ca="1">FORECAST(C32, OFFSET(Design!$C$15:$C$17,MATCH(C32,Design!$B$15:$B$17,1)-1,0,2), OFFSET(Design!$B$15:$B$17,MATCH(C32,Design!$B$15:$B$17,1)-1,0,2))+(M32-25)*Design!$B$18/1000</f>
        <v>0.424267700690243</v>
      </c>
      <c r="E32" s="173">
        <f ca="1">IF(100*(Design!$C$29+D32+C32*IF(ISBLANK(Design!$B$43),Constants!$C$6,Design!$B$43)/1000*(1+Constants!$C$36/100*(N32-25)))/($B32+D32-C32*O32/1000)&gt;Design!$C$36,Design!$C$37,100*(Design!$C$29+D32+C32*IF(ISBLANK(Design!$B$43),Constants!$C$6,Design!$B$43)/1000*(1+Constants!$C$36/100*(N32-25)))/($B32+D32-C32*O32/1000))</f>
        <v>98.990624999999994</v>
      </c>
      <c r="F32" s="115">
        <f ca="1">IF(($B32-C32*IF(ISBLANK(Design!$B$43),Constants!$C$6,Design!$B$43)/1000*(1+Constants!$C$36/100*(N32-25))-Design!$C$29)/(IF(ISBLANK(Design!$B$42),Design!$B$40,Design!$B$42)/1000000)*E32/100/(IF(ISBLANK(Design!$B$33),Design!$B$32,Design!$B$33)*1000000)&lt;0, 0, ($B32-C32*IF(ISBLANK(Design!$B$43),Constants!$C$6,Design!$B$43)/1000*(1+Constants!$C$36/100*(N32-25))-Design!$C$29)/(IF(ISBLANK(Design!$B$42),Design!$B$40,Design!$B$42)/1000000)*E32/100/(IF(ISBLANK(Design!$B$33),Design!$B$32,Design!$B$33)*1000000))</f>
        <v>0.18589149770349392</v>
      </c>
      <c r="G32" s="165">
        <f>B32*Constants!$C$21/1000+IF(ISBLANK(Design!$B$33),Design!$B$32,Design!$B$33)*1000000*Constants!$D$25/1000000000*(B32-Constants!$C$24)</f>
        <v>1.7032499999999992E-2</v>
      </c>
      <c r="H32" s="165">
        <f>B32*C32*(B32/(Constants!$C$26*1000000000)*IF(ISBLANK(Design!$B$33),Design!$B$32,Design!$B$33)*1000000/2+B32/(Constants!$C$27*1000000000)*IF(ISBLANK(Design!$B$33),Design!$B$32,Design!$B$33)*1000000/2)</f>
        <v>6.3325708333333314E-2</v>
      </c>
      <c r="I32" s="165">
        <f t="shared" ca="1" si="0"/>
        <v>2.064210273024119</v>
      </c>
      <c r="J32" s="165">
        <f>Constants!$D$25/1000000000*Constants!$C$24*IF(ISBLANK(Design!$B$33),Design!$B$32,Design!$B$33)*1000000</f>
        <v>1.0624999999999999E-2</v>
      </c>
      <c r="K32" s="165">
        <f t="shared" ca="1" si="4"/>
        <v>2.1551934813574523</v>
      </c>
      <c r="L32" s="165">
        <f t="shared" ca="1" si="5"/>
        <v>1.2847356311526436E-2</v>
      </c>
      <c r="M32" s="166">
        <f ca="1">A32+L32*Design!$B$19</f>
        <v>85.732299309757011</v>
      </c>
      <c r="N32" s="166">
        <f ca="1">K32*Design!$C$12+A32</f>
        <v>158.27657836615339</v>
      </c>
      <c r="O32" s="166">
        <f ca="1">Constants!$D$22+Constants!$D$22*Constants!$C$23/100*(N32-25)</f>
        <v>231.6212626929227</v>
      </c>
      <c r="P32" s="165">
        <f ca="1">IF(100*(Design!$C$29+D32+C32*IF(ISBLANK(Design!$B$43),Constants!$C$6,Design!$B$43)/1000*(1+Constants!$C$36/100*(N32-25)))/($B32+D32-C32*O32/1000)&gt;Design!$C$36,  (1-Constants!$C$20/1000000000*IF(ISBLANK(Design!$B$33),Design!$B$32/4,Design!$B$33/4)*1000000) * ($B32+D32-C32*O32/1000) - (D32+C32*(1+($A32-25)*Constants!$C$36/100)*IF(ISBLANK(Design!$B$43),Constants!$C$6/1000,Design!$B$43/1000)),   (1-Constants!$C$20/1000000000*IF(ISBLANK(Design!$B$33),Design!$B$32,Design!$B$33)*1000000) * ($B32+D32-C32*O32/1000) - (D32+C32*(1+($A32-25)*Constants!$C$36/100)*IF(ISBLANK(Design!$B$43),Constants!$C$6/1000,Design!$B$43/1000)) )</f>
        <v>5.0792109161783081</v>
      </c>
      <c r="Q32" s="171">
        <f ca="1">IF(P32&gt;Design!$C$29,Design!$C$29,P32)</f>
        <v>4.9990521327014221</v>
      </c>
      <c r="R32" s="181">
        <f>2*Design!$D$7/3</f>
        <v>2</v>
      </c>
      <c r="S32" s="116">
        <f ca="1">FORECAST(R32, OFFSET(Design!$C$15:$C$17,MATCH(R32,Design!$B$15:$B$17,1)-1,0,2), OFFSET(Design!$B$15:$B$17,MATCH(R32,Design!$B$15:$B$17,1)-1,0,2))+(AB32-25)*Design!$B$18/1000</f>
        <v>0.39634019064474885</v>
      </c>
      <c r="T32" s="182">
        <f ca="1">IF(100*(Design!$C$29+S32+R32*IF(ISBLANK(Design!$B$43),Constants!$C$6,Design!$B$43)/1000*(1+Constants!$C$36/100*(AC32-25)))/($B32+S32-R32*AD32/1000)&gt;Design!$C$36,Design!$C$37,100*(Design!$C$29+S32+R32*IF(ISBLANK(Design!$B$43),Constants!$C$6,Design!$B$43)/1000*(1+Constants!$C$36/100*(AC32-25)))/($B32+S32-R32*AD32/1000))</f>
        <v>91.899991069966461</v>
      </c>
      <c r="U32" s="117">
        <f ca="1">IF(($B32-R32*IF(ISBLANK(Design!$B$43),Constants!$C$6,Design!$B$43)/1000*(1+Constants!$C$36/100*(AC32-25))-Design!$C$29)/(Design!$B$42/1000000)*T32/100/(IF(ISBLANK(IF(ISBLANK(Design!$B$42),Design!$B$40,Design!$B$42)),Design!$B$32,Design!$B$33)*1000000)&lt;0,0,($B32-R32*IF(ISBLANK(Design!$B$43),Constants!$C$6,Design!$B$43)/1000*(1+Constants!$C$36/100*(AC32-25))-Design!$C$29)/(IF(ISBLANK(Design!$B$42),Design!$B$40,Design!$B$42)/1000000)*T32/100/(IF(ISBLANK(Design!$B$33),Design!$B$32,Design!$B$33)*1000000))</f>
        <v>0.18892354439589271</v>
      </c>
      <c r="V32" s="183">
        <f>$B32*Constants!$C$21/1000+IF(ISBLANK(Design!$B$33),Design!$B$32,Design!$B$33)*1000000*Constants!$D$25/1000000000*($B32-Constants!$C$24)</f>
        <v>1.7032499999999992E-2</v>
      </c>
      <c r="W32" s="183">
        <f>$B32*R32*($B32/(Constants!$C$26*1000000000)*IF(ISBLANK(Design!$B$33),Design!$B$32,Design!$B$33)*1000000/2+$B32/(Constants!$C$27*1000000000)*IF(ISBLANK(Design!$B$33),Design!$B$32,Design!$B$33)*1000000/2)</f>
        <v>4.2217138888888874E-2</v>
      </c>
      <c r="X32" s="183">
        <f t="shared" ca="1" si="1"/>
        <v>0.71495175717442228</v>
      </c>
      <c r="Y32" s="183">
        <f>Constants!$D$25/1000000000*Constants!$C$24*IF(ISBLANK(Design!$B$33),Design!$B$32,Design!$B$33)*1000000</f>
        <v>1.0624999999999999E-2</v>
      </c>
      <c r="Z32" s="183">
        <f t="shared" ca="1" si="10"/>
        <v>0.78482639606331117</v>
      </c>
      <c r="AA32" s="183">
        <f t="shared" ca="1" si="7"/>
        <v>6.4207181671073241E-2</v>
      </c>
      <c r="AB32" s="184">
        <f ca="1">$A32+AA32*Design!$B$19</f>
        <v>88.65980935525117</v>
      </c>
      <c r="AC32" s="184">
        <f ca="1">Z32*Design!$C$12+$A32</f>
        <v>111.68409746615258</v>
      </c>
      <c r="AD32" s="184">
        <f ca="1">Constants!$D$22+Constants!$D$22*Constants!$C$23/100*(AC32-25)</f>
        <v>194.34727797292209</v>
      </c>
      <c r="AE32" s="183">
        <f ca="1">IF(100*(Design!$C$29+S32+R32*IF(ISBLANK(Design!$B$43),Constants!$C$6,Design!$B$43)/1000*(1+Constants!$C$36/100*(AC32-25)))/($B32+S32-R32*AD32/1000)&gt;Design!$C$36,  (1-Constants!$C$20/1000000000*IF(ISBLANK(Design!$B$33),Design!$B$32/4,Design!$B$33/4)*1000000) * ($B32+S32-R32*AD32/1000) - (S32+R32*(1+($A32-25)*Constants!$C$36/100)*IF(ISBLANK(Design!$B$43),Constants!$C$6/1000,Design!$B$43/1000)),   (1-Constants!$C$20/1000000000*IF(ISBLANK(Design!$B$33),Design!$B$32,Design!$B$33)*1000000) * ($B32+S32-R32*AD32/1000) - (S32+R32*(1+($A32-25)*Constants!$C$36/100)*IF(ISBLANK(Design!$B$43),Constants!$C$6/1000,Design!$B$43/1000)) )</f>
        <v>5.2506902515531859</v>
      </c>
      <c r="AF32" s="117">
        <f ca="1">IF(AE32&gt;Design!$C$29,Design!$C$29,AE32)</f>
        <v>4.9990521327014221</v>
      </c>
      <c r="AG32" s="118">
        <f>Design!$D$7/3</f>
        <v>1</v>
      </c>
      <c r="AH32" s="118">
        <f ca="1">FORECAST(AG32, OFFSET(Design!$C$15:$C$17,MATCH(AG32,Design!$B$15:$B$17,1)-1,0,2), OFFSET(Design!$B$15:$B$17,MATCH(AG32,Design!$B$15:$B$17,1)-1,0,2))+(AQ32-25)*Design!$B$18/1000</f>
        <v>0.31998215085139037</v>
      </c>
      <c r="AI32" s="194">
        <f ca="1">IF(100*(Design!$C$29+AH32+AG32*IF(ISBLANK(Design!$B$43),Constants!$C$6,Design!$B$43)/1000*(1+Constants!$C$36/100*(AR32-25)))/($B32+AH32-AG32*AS32/1000)&gt;Design!$C$36,Design!$C$37,100*(Design!$C$29+AH32+AG32*IF(ISBLANK(Design!$B$43),Constants!$C$6,Design!$B$43)/1000*(1+Constants!$C$36/100*(AR32-25)))/($B32+AH32-AG32*AS32/1000))</f>
        <v>87.71822189790052</v>
      </c>
      <c r="AJ32" s="119">
        <f ca="1">IF(($B32-AG32*IF(ISBLANK(Design!$B$43),Constants!$C$6,Design!$B$43)/1000*(1+Constants!$C$36/100*(AR32-25))-Design!$C$29)/(IF(ISBLANK(Design!$B$42),Design!$B$40,Design!$B$42)/1000000)*AI32/100/(IF(ISBLANK(Design!$B$33),Design!$B$32,Design!$B$33)*1000000)&lt;0,0,($B32-AG32*IF(ISBLANK(Design!$B$43),Constants!$C$6,Design!$B$43)/1000*(1+Constants!$C$36/100*(AR32-25))-Design!$C$29)/(IF(ISBLANK(Design!$B$42),Design!$B$40,Design!$B$42)/1000000)*AI32/100/(IF(ISBLANK(Design!$B$33),Design!$B$32,Design!$B$33)*1000000))</f>
        <v>0.19203382600858093</v>
      </c>
      <c r="AK32" s="195">
        <f>$B32*Constants!$C$21/1000+IF(ISBLANK(Design!$B$33),Design!$B$32,Design!$B$33)*1000000*Constants!$D$25/1000000000*($B32-Constants!$C$24)</f>
        <v>1.7032499999999992E-2</v>
      </c>
      <c r="AL32" s="195">
        <f>$B32*AG32*($B32/(Constants!$C$26*1000000000)*IF(ISBLANK(Design!$B$33),Design!$B$32,Design!$B$33)*1000000/2+$B32/(Constants!$C$27*1000000000)*IF(ISBLANK(Design!$B$33),Design!$B$32,Design!$B$33)*1000000/2)</f>
        <v>2.1108569444444437E-2</v>
      </c>
      <c r="AM32" s="195">
        <f t="shared" ca="1" si="2"/>
        <v>0.1571469212413639</v>
      </c>
      <c r="AN32" s="195">
        <f>Constants!$D$25/1000000000*Constants!$C$24*IF(ISBLANK(Design!$B$33),Design!$B$32,Design!$B$33)*1000000</f>
        <v>1.0624999999999999E-2</v>
      </c>
      <c r="AO32" s="195">
        <f t="shared" ca="1" si="11"/>
        <v>0.20591299068580832</v>
      </c>
      <c r="AP32" s="195">
        <f t="shared" ca="1" si="9"/>
        <v>3.9299497733892998E-2</v>
      </c>
      <c r="AQ32" s="196">
        <f ca="1">$A32+AP32*Design!$B$19</f>
        <v>87.240071370831899</v>
      </c>
      <c r="AR32" s="196">
        <f ca="1">AO32*Design!$C$12+$A32</f>
        <v>92.001041683317482</v>
      </c>
      <c r="AS32" s="196">
        <f ca="1">Constants!$D$22+Constants!$D$22*Constants!$C$23/100*(AR32-25)</f>
        <v>178.60083334665399</v>
      </c>
      <c r="AT32" s="195">
        <f ca="1">IF(100*(Design!$C$29+AH32+AG32*IF(ISBLANK(Design!$B$43),Constants!$C$6,Design!$B$43)/1000*(1+Constants!$C$36/100*(AR32-25)))/($B32+AH32-AG32*AS32/1000)&gt;Design!$C$36,  (1-Constants!$C$20/1000000000*IF(ISBLANK(Design!$B$33),Design!$B$32/4,Design!$B$33/4)*1000000) * ($B32+AH32-AG32*AS32/1000) - (AH32+AG32*(1+($A32-25)*Constants!$C$36/100)*IF(ISBLANK(Design!$B$43),Constants!$C$6/1000,Design!$B$43/1000)),   (1-Constants!$C$20/1000000000*IF(ISBLANK(Design!$B$33),Design!$B$32,Design!$B$33)*1000000) * ($B32+AH32-AG32*AS32/1000) - (AH32+AG32*(1+($A32-25)*Constants!$C$36/100)*IF(ISBLANK(Design!$B$43),Constants!$C$6/1000,Design!$B$43/1000)) )</f>
        <v>5.5048163959590912</v>
      </c>
      <c r="AU32" s="119">
        <f ca="1">IF(AT32&gt;Design!$C$29,Design!$C$29,AT32)</f>
        <v>4.9990521327014221</v>
      </c>
    </row>
    <row r="33" spans="1:47" s="120" customFormat="1" ht="12.75" customHeight="1" x14ac:dyDescent="0.2">
      <c r="A33" s="112">
        <f>Design!$D$13</f>
        <v>85</v>
      </c>
      <c r="B33" s="113">
        <f>$B34+$AU$88</f>
        <v>5.7649999999999988</v>
      </c>
      <c r="C33" s="114">
        <f>Design!$D$7</f>
        <v>3</v>
      </c>
      <c r="D33" s="114">
        <f ca="1">FORECAST(C33, OFFSET(Design!$C$15:$C$17,MATCH(C33,Design!$B$15:$B$17,1)-1,0,2), OFFSET(Design!$B$15:$B$17,MATCH(C33,Design!$B$15:$B$17,1)-1,0,2))+(M33-25)*Design!$B$18/1000</f>
        <v>0.424267700690243</v>
      </c>
      <c r="E33" s="173">
        <f ca="1">IF(100*(Design!$C$29+D33+C33*IF(ISBLANK(Design!$B$43),Constants!$C$6,Design!$B$43)/1000*(1+Constants!$C$36/100*(N33-25)))/($B33+D33-C33*O33/1000)&gt;Design!$C$36,Design!$C$37,100*(Design!$C$29+D33+C33*IF(ISBLANK(Design!$B$43),Constants!$C$6,Design!$B$43)/1000*(1+Constants!$C$36/100*(N33-25)))/($B33+D33-C33*O33/1000))</f>
        <v>98.990624999999994</v>
      </c>
      <c r="F33" s="115">
        <f ca="1">IF(($B33-C33*IF(ISBLANK(Design!$B$43),Constants!$C$6,Design!$B$43)/1000*(1+Constants!$C$36/100*(N33-25))-Design!$C$29)/(IF(ISBLANK(Design!$B$42),Design!$B$40,Design!$B$42)/1000000)*E33/100/(IF(ISBLANK(Design!$B$33),Design!$B$32,Design!$B$33)*1000000)&lt;0, 0, ($B33-C33*IF(ISBLANK(Design!$B$43),Constants!$C$6,Design!$B$43)/1000*(1+Constants!$C$36/100*(N33-25))-Design!$C$29)/(IF(ISBLANK(Design!$B$42),Design!$B$40,Design!$B$42)/1000000)*E33/100/(IF(ISBLANK(Design!$B$33),Design!$B$32,Design!$B$33)*1000000))</f>
        <v>0.13584234878053317</v>
      </c>
      <c r="G33" s="165">
        <f>B33*Constants!$C$21/1000+IF(ISBLANK(Design!$B$33),Design!$B$32,Design!$B$33)*1000000*Constants!$D$25/1000000000*(B33-Constants!$C$24)</f>
        <v>1.6038124999999997E-2</v>
      </c>
      <c r="H33" s="165">
        <f>B33*C33*(B33/(Constants!$C$26*1000000000)*IF(ISBLANK(Design!$B$33),Design!$B$32,Design!$B$33)*1000000/2+B33/(Constants!$C$27*1000000000)*IF(ISBLANK(Design!$B$33),Design!$B$32,Design!$B$33)*1000000/2)</f>
        <v>5.8854044270833308E-2</v>
      </c>
      <c r="I33" s="165">
        <f t="shared" ca="1" si="0"/>
        <v>2.0620555576225139</v>
      </c>
      <c r="J33" s="165">
        <f>Constants!$D$25/1000000000*Constants!$C$24*IF(ISBLANK(Design!$B$33),Design!$B$32,Design!$B$33)*1000000</f>
        <v>1.0624999999999999E-2</v>
      </c>
      <c r="K33" s="165">
        <f t="shared" ca="1" si="4"/>
        <v>2.1475727268933476</v>
      </c>
      <c r="L33" s="165">
        <f t="shared" ca="1" si="5"/>
        <v>1.2847356311526436E-2</v>
      </c>
      <c r="M33" s="166">
        <f ca="1">A33+L33*Design!$B$19</f>
        <v>85.732299309757011</v>
      </c>
      <c r="N33" s="166">
        <f ca="1">K33*Design!$C$12+A33</f>
        <v>158.01747271437381</v>
      </c>
      <c r="O33" s="166">
        <f ca="1">Constants!$D$22+Constants!$D$22*Constants!$C$23/100*(N33-25)</f>
        <v>231.41397817149905</v>
      </c>
      <c r="P33" s="165">
        <f ca="1">IF(100*(Design!$C$29+D33+C33*IF(ISBLANK(Design!$B$43),Constants!$C$6,Design!$B$43)/1000*(1+Constants!$C$36/100*(N33-25)))/($B33+D33-C33*O33/1000)&gt;Design!$C$36,  (1-Constants!$C$20/1000000000*IF(ISBLANK(Design!$B$33),Design!$B$32/4,Design!$B$33/4)*1000000) * ($B33+D33-C33*O33/1000) - (D33+C33*(1+($A33-25)*Constants!$C$36/100)*IF(ISBLANK(Design!$B$43),Constants!$C$6/1000,Design!$B$43/1000)),   (1-Constants!$C$20/1000000000*IF(ISBLANK(Design!$B$33),Design!$B$32,Design!$B$33)*1000000) * ($B33+D33-C33*O33/1000) - (D33+C33*(1+($A33-25)*Constants!$C$36/100)*IF(ISBLANK(Design!$B$43),Constants!$C$6/1000,Design!$B$43/1000)) )</f>
        <v>4.8669966491581649</v>
      </c>
      <c r="Q33" s="171">
        <f ca="1">IF(P33&gt;Design!$C$29,Design!$C$29,P33)</f>
        <v>4.8669966491581649</v>
      </c>
      <c r="R33" s="181">
        <f>2*Design!$D$7/3</f>
        <v>2</v>
      </c>
      <c r="S33" s="116">
        <f ca="1">FORECAST(R33, OFFSET(Design!$C$15:$C$17,MATCH(R33,Design!$B$15:$B$17,1)-1,0,2), OFFSET(Design!$B$15:$B$17,MATCH(R33,Design!$B$15:$B$17,1)-1,0,2))+(AB33-25)*Design!$B$18/1000</f>
        <v>0.39789142343214784</v>
      </c>
      <c r="T33" s="182">
        <f ca="1">IF(100*(Design!$C$29+S33+R33*IF(ISBLANK(Design!$B$43),Constants!$C$6,Design!$B$43)/1000*(1+Constants!$C$36/100*(AC33-25)))/($B33+S33-R33*AD33/1000)&gt;Design!$C$36,Design!$C$37,100*(Design!$C$29+S33+R33*IF(ISBLANK(Design!$B$43),Constants!$C$6,Design!$B$43)/1000*(1+Constants!$C$36/100*(AC33-25)))/($B33+S33-R33*AD33/1000))</f>
        <v>95.351423882583859</v>
      </c>
      <c r="U33" s="117">
        <f ca="1">IF(($B33-R33*IF(ISBLANK(Design!$B$43),Constants!$C$6,Design!$B$43)/1000*(1+Constants!$C$36/100*(AC33-25))-Design!$C$29)/(Design!$B$42/1000000)*T33/100/(IF(ISBLANK(IF(ISBLANK(Design!$B$42),Design!$B$40,Design!$B$42)),Design!$B$32,Design!$B$33)*1000000)&lt;0,0,($B33-R33*IF(ISBLANK(Design!$B$43),Constants!$C$6,Design!$B$43)/1000*(1+Constants!$C$36/100*(AC33-25))-Design!$C$29)/(IF(ISBLANK(Design!$B$42),Design!$B$40,Design!$B$42)/1000000)*T33/100/(IF(ISBLANK(Design!$B$33),Design!$B$32,Design!$B$33)*1000000))</f>
        <v>0.14772158767986004</v>
      </c>
      <c r="V33" s="183">
        <f>$B33*Constants!$C$21/1000+IF(ISBLANK(Design!$B$33),Design!$B$32,Design!$B$33)*1000000*Constants!$D$25/1000000000*($B33-Constants!$C$24)</f>
        <v>1.6038124999999997E-2</v>
      </c>
      <c r="W33" s="183">
        <f>$B33*R33*($B33/(Constants!$C$26*1000000000)*IF(ISBLANK(Design!$B$33),Design!$B$32,Design!$B$33)*1000000/2+$B33/(Constants!$C$27*1000000000)*IF(ISBLANK(Design!$B$33),Design!$B$32,Design!$B$33)*1000000/2)</f>
        <v>3.9236029513888875E-2</v>
      </c>
      <c r="X33" s="183">
        <f t="shared" ca="1" si="1"/>
        <v>0.74421296675228854</v>
      </c>
      <c r="Y33" s="183">
        <f>Constants!$D$25/1000000000*Constants!$C$24*IF(ISBLANK(Design!$B$33),Design!$B$32,Design!$B$33)*1000000</f>
        <v>1.0624999999999999E-2</v>
      </c>
      <c r="Z33" s="183">
        <f t="shared" ca="1" si="10"/>
        <v>0.81011212126617738</v>
      </c>
      <c r="AA33" s="183">
        <f t="shared" ca="1" si="7"/>
        <v>3.6992571365827877E-2</v>
      </c>
      <c r="AB33" s="184">
        <f ca="1">$A33+AA33*Design!$B$19</f>
        <v>87.108576567852182</v>
      </c>
      <c r="AC33" s="184">
        <f ca="1">Z33*Design!$C$12+$A33</f>
        <v>112.54381212305003</v>
      </c>
      <c r="AD33" s="184">
        <f ca="1">Constants!$D$22+Constants!$D$22*Constants!$C$23/100*(AC33-25)</f>
        <v>195.03504969844005</v>
      </c>
      <c r="AE33" s="183">
        <f ca="1">IF(100*(Design!$C$29+S33+R33*IF(ISBLANK(Design!$B$43),Constants!$C$6,Design!$B$43)/1000*(1+Constants!$C$36/100*(AC33-25)))/($B33+S33-R33*AD33/1000)&gt;Design!$C$36,  (1-Constants!$C$20/1000000000*IF(ISBLANK(Design!$B$33),Design!$B$32/4,Design!$B$33/4)*1000000) * ($B33+S33-R33*AD33/1000) - (S33+R33*(1+($A33-25)*Constants!$C$36/100)*IF(ISBLANK(Design!$B$43),Constants!$C$6/1000,Design!$B$43/1000)),   (1-Constants!$C$20/1000000000*IF(ISBLANK(Design!$B$33),Design!$B$32,Design!$B$33)*1000000) * ($B33+S33-R33*AD33/1000) - (S33+R33*(1+($A33-25)*Constants!$C$36/100)*IF(ISBLANK(Design!$B$43),Constants!$C$6/1000,Design!$B$43/1000)) )</f>
        <v>5.0429882396451937</v>
      </c>
      <c r="AF33" s="117">
        <f ca="1">IF(AE33&gt;Design!$C$29,Design!$C$29,AE33)</f>
        <v>4.9990521327014221</v>
      </c>
      <c r="AG33" s="118">
        <f>Design!$D$7/3</f>
        <v>1</v>
      </c>
      <c r="AH33" s="118">
        <f ca="1">FORECAST(AG33, OFFSET(Design!$C$15:$C$17,MATCH(AG33,Design!$B$15:$B$17,1)-1,0,2), OFFSET(Design!$B$15:$B$17,MATCH(AG33,Design!$B$15:$B$17,1)-1,0,2))+(AQ33-25)*Design!$B$18/1000</f>
        <v>0.32056198296642685</v>
      </c>
      <c r="AI33" s="194">
        <f ca="1">IF(100*(Design!$C$29+AH33+AG33*IF(ISBLANK(Design!$B$43),Constants!$C$6,Design!$B$43)/1000*(1+Constants!$C$36/100*(AR33-25)))/($B33+AH33-AG33*AS33/1000)&gt;Design!$C$36,Design!$C$37,100*(Design!$C$29+AH33+AG33*IF(ISBLANK(Design!$B$43),Constants!$C$6,Design!$B$43)/1000*(1+Constants!$C$36/100*(AR33-25)))/($B33+AH33-AG33*AS33/1000))</f>
        <v>90.913768308361995</v>
      </c>
      <c r="AJ33" s="119">
        <f ca="1">IF(($B33-AG33*IF(ISBLANK(Design!$B$43),Constants!$C$6,Design!$B$43)/1000*(1+Constants!$C$36/100*(AR33-25))-Design!$C$29)/(IF(ISBLANK(Design!$B$42),Design!$B$40,Design!$B$42)/1000000)*AI33/100/(IF(ISBLANK(Design!$B$33),Design!$B$32,Design!$B$33)*1000000)&lt;0,0,($B33-AG33*IF(ISBLANK(Design!$B$43),Constants!$C$6,Design!$B$43)/1000*(1+Constants!$C$36/100*(AR33-25))-Design!$C$29)/(IF(ISBLANK(Design!$B$42),Design!$B$40,Design!$B$42)/1000000)*AI33/100/(IF(ISBLANK(Design!$B$33),Design!$B$32,Design!$B$33)*1000000))</f>
        <v>0.15303430017373165</v>
      </c>
      <c r="AK33" s="195">
        <f>$B33*Constants!$C$21/1000+IF(ISBLANK(Design!$B$33),Design!$B$32,Design!$B$33)*1000000*Constants!$D$25/1000000000*($B33-Constants!$C$24)</f>
        <v>1.6038124999999997E-2</v>
      </c>
      <c r="AL33" s="195">
        <f>$B33*AG33*($B33/(Constants!$C$26*1000000000)*IF(ISBLANK(Design!$B$33),Design!$B$32,Design!$B$33)*1000000/2+$B33/(Constants!$C$27*1000000000)*IF(ISBLANK(Design!$B$33),Design!$B$32,Design!$B$33)*1000000/2)</f>
        <v>1.9618014756944437E-2</v>
      </c>
      <c r="AM33" s="195">
        <f t="shared" ca="1" si="2"/>
        <v>0.1627673255450848</v>
      </c>
      <c r="AN33" s="195">
        <f>Constants!$D$25/1000000000*Constants!$C$24*IF(ISBLANK(Design!$B$33),Design!$B$32,Design!$B$33)*1000000</f>
        <v>1.0624999999999999E-2</v>
      </c>
      <c r="AO33" s="195">
        <f t="shared" ca="1" si="11"/>
        <v>0.20904846530202922</v>
      </c>
      <c r="AP33" s="195">
        <f t="shared" ca="1" si="9"/>
        <v>2.9127004487638691E-2</v>
      </c>
      <c r="AQ33" s="196">
        <f ca="1">$A33+AP33*Design!$B$19</f>
        <v>86.660239255795403</v>
      </c>
      <c r="AR33" s="196">
        <f ca="1">AO33*Design!$C$12+$A33</f>
        <v>92.107647820268994</v>
      </c>
      <c r="AS33" s="196">
        <f ca="1">Constants!$D$22+Constants!$D$22*Constants!$C$23/100*(AR33-25)</f>
        <v>178.6861182562152</v>
      </c>
      <c r="AT33" s="195">
        <f ca="1">IF(100*(Design!$C$29+AH33+AG33*IF(ISBLANK(Design!$B$43),Constants!$C$6,Design!$B$43)/1000*(1+Constants!$C$36/100*(AR33-25)))/($B33+AH33-AG33*AS33/1000)&gt;Design!$C$36,  (1-Constants!$C$20/1000000000*IF(ISBLANK(Design!$B$33),Design!$B$32/4,Design!$B$33/4)*1000000) * ($B33+AH33-AG33*AS33/1000) - (AH33+AG33*(1+($A33-25)*Constants!$C$36/100)*IF(ISBLANK(Design!$B$43),Constants!$C$6/1000,Design!$B$43/1000)),   (1-Constants!$C$20/1000000000*IF(ISBLANK(Design!$B$33),Design!$B$32,Design!$B$33)*1000000) * ($B33+AH33-AG33*AS33/1000) - (AH33+AG33*(1+($A33-25)*Constants!$C$36/100)*IF(ISBLANK(Design!$B$43),Constants!$C$6/1000,Design!$B$43/1000)) )</f>
        <v>5.2983917687061091</v>
      </c>
      <c r="AU33" s="119">
        <f ca="1">IF(AT33&gt;Design!$C$29,Design!$C$29,AT33)</f>
        <v>4.9990521327014221</v>
      </c>
    </row>
    <row r="34" spans="1:47" s="120" customFormat="1" ht="12.75" customHeight="1" x14ac:dyDescent="0.2">
      <c r="A34" s="112">
        <f>Design!$D$13</f>
        <v>85</v>
      </c>
      <c r="B34" s="113">
        <f t="shared" si="3"/>
        <v>5.5499999999999989</v>
      </c>
      <c r="C34" s="114">
        <f>Design!$D$7</f>
        <v>3</v>
      </c>
      <c r="D34" s="114">
        <f ca="1">FORECAST(C34, OFFSET(Design!$C$15:$C$17,MATCH(C34,Design!$B$15:$B$17,1)-1,0,2), OFFSET(Design!$B$15:$B$17,MATCH(C34,Design!$B$15:$B$17,1)-1,0,2))+(M34-25)*Design!$B$18/1000</f>
        <v>0.424267700690243</v>
      </c>
      <c r="E34" s="173">
        <f ca="1">IF(100*(Design!$C$29+D34+C34*IF(ISBLANK(Design!$B$43),Constants!$C$6,Design!$B$43)/1000*(1+Constants!$C$36/100*(N34-25)))/($B34+D34-C34*O34/1000)&gt;Design!$C$36,Design!$C$37,100*(Design!$C$29+D34+C34*IF(ISBLANK(Design!$B$43),Constants!$C$6,Design!$B$43)/1000*(1+Constants!$C$36/100*(N34-25)))/($B34+D34-C34*O34/1000))</f>
        <v>98.990624999999994</v>
      </c>
      <c r="F34" s="115">
        <f ca="1">IF(($B34-C34*IF(ISBLANK(Design!$B$43),Constants!$C$6,Design!$B$43)/1000*(1+Constants!$C$36/100*(N34-25))-Design!$C$29)/(IF(ISBLANK(Design!$B$42),Design!$B$40,Design!$B$42)/1000000)*E34/100/(IF(ISBLANK(Design!$B$33),Design!$B$32,Design!$B$33)*1000000)&lt;0, 0, ($B34-C34*IF(ISBLANK(Design!$B$43),Constants!$C$6,Design!$B$43)/1000*(1+Constants!$C$36/100*(N34-25))-Design!$C$29)/(IF(ISBLANK(Design!$B$42),Design!$B$40,Design!$B$42)/1000000)*E34/100/(IF(ISBLANK(Design!$B$33),Design!$B$32,Design!$B$33)*1000000))</f>
        <v>8.579191916532837E-2</v>
      </c>
      <c r="G34" s="165">
        <f>B34*Constants!$C$21/1000+IF(ISBLANK(Design!$B$33),Design!$B$32,Design!$B$33)*1000000*Constants!$D$25/1000000000*(B34-Constants!$C$24)</f>
        <v>1.5043749999999995E-2</v>
      </c>
      <c r="H34" s="165">
        <f>B34*C34*(B34/(Constants!$C$26*1000000000)*IF(ISBLANK(Design!$B$33),Design!$B$32,Design!$B$33)*1000000/2+B34/(Constants!$C$27*1000000000)*IF(ISBLANK(Design!$B$33),Design!$B$32,Design!$B$33)*1000000/2)</f>
        <v>5.4546093749999983E-2</v>
      </c>
      <c r="I34" s="165">
        <f t="shared" ca="1" si="0"/>
        <v>2.0600800440322411</v>
      </c>
      <c r="J34" s="165">
        <f>Constants!$D$25/1000000000*Constants!$C$24*IF(ISBLANK(Design!$B$33),Design!$B$32,Design!$B$33)*1000000</f>
        <v>1.0624999999999999E-2</v>
      </c>
      <c r="K34" s="165">
        <f t="shared" ca="1" si="4"/>
        <v>2.140294887782241</v>
      </c>
      <c r="L34" s="165">
        <f t="shared" ca="1" si="5"/>
        <v>1.2847356311526436E-2</v>
      </c>
      <c r="M34" s="166">
        <f ca="1">A34+L34*Design!$B$19</f>
        <v>85.732299309757011</v>
      </c>
      <c r="N34" s="166">
        <f ca="1">K34*Design!$C$12+A34</f>
        <v>157.77002618459619</v>
      </c>
      <c r="O34" s="166">
        <f ca="1">Constants!$D$22+Constants!$D$22*Constants!$C$23/100*(N34-25)</f>
        <v>231.21602094767695</v>
      </c>
      <c r="P34" s="165">
        <f ca="1">IF(100*(Design!$C$29+D34+C34*IF(ISBLANK(Design!$B$43),Constants!$C$6,Design!$B$43)/1000*(1+Constants!$C$36/100*(N34-25)))/($B34+D34-C34*O34/1000)&gt;Design!$C$36,  (1-Constants!$C$20/1000000000*IF(ISBLANK(Design!$B$33),Design!$B$32/4,Design!$B$33/4)*1000000) * ($B34+D34-C34*O34/1000) - (D34+C34*(1+($A34-25)*Constants!$C$36/100)*IF(ISBLANK(Design!$B$43),Constants!$C$6/1000,Design!$B$43/1000)),   (1-Constants!$C$20/1000000000*IF(ISBLANK(Design!$B$33),Design!$B$32,Design!$B$33)*1000000) * ($B34+D34-C34*O34/1000) - (D34+C34*(1+($A34-25)*Constants!$C$36/100)*IF(ISBLANK(Design!$B$43),Constants!$C$6/1000,Design!$B$43/1000)) )</f>
        <v>4.6547546826874475</v>
      </c>
      <c r="Q34" s="171">
        <f ca="1">IF(P34&gt;Design!$C$29,Design!$C$29,P34)</f>
        <v>4.6547546826874475</v>
      </c>
      <c r="R34" s="181">
        <f>2*Design!$D$7/3</f>
        <v>2</v>
      </c>
      <c r="S34" s="116">
        <f ca="1">FORECAST(R34, OFFSET(Design!$C$15:$C$17,MATCH(R34,Design!$B$15:$B$17,1)-1,0,2), OFFSET(Design!$B$15:$B$17,MATCH(R34,Design!$B$15:$B$17,1)-1,0,2))+(AB34-25)*Design!$B$18/1000</f>
        <v>0.39954025402394783</v>
      </c>
      <c r="T34" s="182">
        <f ca="1">IF(100*(Design!$C$29+S34+R34*IF(ISBLANK(Design!$B$43),Constants!$C$6,Design!$B$43)/1000*(1+Constants!$C$36/100*(AC34-25)))/($B34+S34-R34*AD34/1000)&gt;Design!$C$36,Design!$C$37,100*(Design!$C$29+S34+R34*IF(ISBLANK(Design!$B$43),Constants!$C$6,Design!$B$43)/1000*(1+Constants!$C$36/100*(AC34-25)))/($B34+S34-R34*AD34/1000))</f>
        <v>98.990624999999994</v>
      </c>
      <c r="U34" s="117">
        <f ca="1">IF(($B34-R34*IF(ISBLANK(Design!$B$43),Constants!$C$6,Design!$B$43)/1000*(1+Constants!$C$36/100*(AC34-25))-Design!$C$29)/(Design!$B$42/1000000)*T34/100/(IF(ISBLANK(IF(ISBLANK(Design!$B$42),Design!$B$40,Design!$B$42)),Design!$B$32,Design!$B$33)*1000000)&lt;0,0,($B34-R34*IF(ISBLANK(Design!$B$43),Constants!$C$6,Design!$B$43)/1000*(1+Constants!$C$36/100*(AC34-25))-Design!$C$29)/(IF(ISBLANK(Design!$B$42),Design!$B$40,Design!$B$42)/1000000)*T34/100/(IF(ISBLANK(Design!$B$33),Design!$B$32,Design!$B$33)*1000000))</f>
        <v>0.1032139803015094</v>
      </c>
      <c r="V34" s="183">
        <f>$B34*Constants!$C$21/1000+IF(ISBLANK(Design!$B$33),Design!$B$32,Design!$B$33)*1000000*Constants!$D$25/1000000000*($B34-Constants!$C$24)</f>
        <v>1.5043749999999995E-2</v>
      </c>
      <c r="W34" s="183">
        <f>$B34*R34*($B34/(Constants!$C$26*1000000000)*IF(ISBLANK(Design!$B$33),Design!$B$32,Design!$B$33)*1000000/2+$B34/(Constants!$C$27*1000000000)*IF(ISBLANK(Design!$B$33),Design!$B$32,Design!$B$33)*1000000/2)</f>
        <v>3.6364062499999981E-2</v>
      </c>
      <c r="X34" s="183">
        <f t="shared" ca="1" si="1"/>
        <v>0.77537780511414489</v>
      </c>
      <c r="Y34" s="183">
        <f>Constants!$D$25/1000000000*Constants!$C$24*IF(ISBLANK(Design!$B$33),Design!$B$32,Design!$B$33)*1000000</f>
        <v>1.0624999999999999E-2</v>
      </c>
      <c r="Z34" s="183">
        <f t="shared" ca="1" si="10"/>
        <v>0.83741061761414481</v>
      </c>
      <c r="AA34" s="183">
        <f t="shared" ca="1" si="7"/>
        <v>8.065718878108457E-3</v>
      </c>
      <c r="AB34" s="184">
        <f ca="1">$A34+AA34*Design!$B$19</f>
        <v>85.459745976052176</v>
      </c>
      <c r="AC34" s="184">
        <f ca="1">Z34*Design!$C$12+$A34</f>
        <v>113.47196099888092</v>
      </c>
      <c r="AD34" s="184">
        <f ca="1">Constants!$D$22+Constants!$D$22*Constants!$C$23/100*(AC34-25)</f>
        <v>195.77756879910476</v>
      </c>
      <c r="AE34" s="183">
        <f ca="1">IF(100*(Design!$C$29+S34+R34*IF(ISBLANK(Design!$B$43),Constants!$C$6,Design!$B$43)/1000*(1+Constants!$C$36/100*(AC34-25)))/($B34+S34-R34*AD34/1000)&gt;Design!$C$36,  (1-Constants!$C$20/1000000000*IF(ISBLANK(Design!$B$33),Design!$B$32/4,Design!$B$33/4)*1000000) * ($B34+S34-R34*AD34/1000) - (S34+R34*(1+($A34-25)*Constants!$C$36/100)*IF(ISBLANK(Design!$B$43),Constants!$C$6/1000,Design!$B$43/1000)),   (1-Constants!$C$20/1000000000*IF(ISBLANK(Design!$B$33),Design!$B$32,Design!$B$33)*1000000) * ($B34+S34-R34*AD34/1000) - (S34+R34*(1+($A34-25)*Constants!$C$36/100)*IF(ISBLANK(Design!$B$43),Constants!$C$6/1000,Design!$B$43/1000)) )</f>
        <v>5.0034799501328671</v>
      </c>
      <c r="AF34" s="117">
        <f ca="1">IF(AE34&gt;Design!$C$29,Design!$C$29,AE34)</f>
        <v>4.9990521327014221</v>
      </c>
      <c r="AG34" s="118">
        <f>Design!$D$7/3</f>
        <v>1</v>
      </c>
      <c r="AH34" s="118">
        <f ca="1">FORECAST(AG34, OFFSET(Design!$C$15:$C$17,MATCH(AG34,Design!$B$15:$B$17,1)-1,0,2), OFFSET(Design!$B$15:$B$17,MATCH(AG34,Design!$B$15:$B$17,1)-1,0,2))+(AQ34-25)*Design!$B$18/1000</f>
        <v>0.32118792477434904</v>
      </c>
      <c r="AI34" s="194">
        <f ca="1">IF(100*(Design!$C$29+AH34+AG34*IF(ISBLANK(Design!$B$43),Constants!$C$6,Design!$B$43)/1000*(1+Constants!$C$36/100*(AR34-25)))/($B34+AH34-AG34*AS34/1000)&gt;Design!$C$36,Design!$C$37,100*(Design!$C$29+AH34+AG34*IF(ISBLANK(Design!$B$43),Constants!$C$6,Design!$B$43)/1000*(1+Constants!$C$36/100*(AR34-25)))/($B34+AH34-AG34*AS34/1000))</f>
        <v>94.350482113024242</v>
      </c>
      <c r="AJ34" s="119">
        <f ca="1">IF(($B34-AG34*IF(ISBLANK(Design!$B$43),Constants!$C$6,Design!$B$43)/1000*(1+Constants!$C$36/100*(AR34-25))-Design!$C$29)/(IF(ISBLANK(Design!$B$42),Design!$B$40,Design!$B$42)/1000000)*AI34/100/(IF(ISBLANK(Design!$B$33),Design!$B$32,Design!$B$33)*1000000)&lt;0,0,($B34-AG34*IF(ISBLANK(Design!$B$43),Constants!$C$6,Design!$B$43)/1000*(1+Constants!$C$36/100*(AR34-25))-Design!$C$29)/(IF(ISBLANK(Design!$B$42),Design!$B$40,Design!$B$42)/1000000)*AI34/100/(IF(ISBLANK(Design!$B$33),Design!$B$32,Design!$B$33)*1000000))</f>
        <v>0.11108470074838477</v>
      </c>
      <c r="AK34" s="195">
        <f>$B34*Constants!$C$21/1000+IF(ISBLANK(Design!$B$33),Design!$B$32,Design!$B$33)*1000000*Constants!$D$25/1000000000*($B34-Constants!$C$24)</f>
        <v>1.5043749999999995E-2</v>
      </c>
      <c r="AL34" s="195">
        <f>$B34*AG34*($B34/(Constants!$C$26*1000000000)*IF(ISBLANK(Design!$B$33),Design!$B$32,Design!$B$33)*1000000/2+$B34/(Constants!$C$27*1000000000)*IF(ISBLANK(Design!$B$33),Design!$B$32,Design!$B$33)*1000000/2)</f>
        <v>1.8182031249999991E-2</v>
      </c>
      <c r="AM34" s="195">
        <f t="shared" ca="1" si="2"/>
        <v>0.16885862797870077</v>
      </c>
      <c r="AN34" s="195">
        <f>Constants!$D$25/1000000000*Constants!$C$24*IF(ISBLANK(Design!$B$33),Design!$B$32,Design!$B$33)*1000000</f>
        <v>1.0624999999999999E-2</v>
      </c>
      <c r="AO34" s="195">
        <f t="shared" ca="1" si="11"/>
        <v>0.21270940922870074</v>
      </c>
      <c r="AP34" s="195">
        <f t="shared" ca="1" si="9"/>
        <v>1.8145569260933109E-2</v>
      </c>
      <c r="AQ34" s="196">
        <f ca="1">$A34+AP34*Design!$B$19</f>
        <v>86.034297447873186</v>
      </c>
      <c r="AR34" s="196">
        <f ca="1">AO34*Design!$C$12+$A34</f>
        <v>92.232119913775819</v>
      </c>
      <c r="AS34" s="196">
        <f ca="1">Constants!$D$22+Constants!$D$22*Constants!$C$23/100*(AR34-25)</f>
        <v>178.78569593102065</v>
      </c>
      <c r="AT34" s="195">
        <f ca="1">IF(100*(Design!$C$29+AH34+AG34*IF(ISBLANK(Design!$B$43),Constants!$C$6,Design!$B$43)/1000*(1+Constants!$C$36/100*(AR34-25)))/($B34+AH34-AG34*AS34/1000)&gt;Design!$C$36,  (1-Constants!$C$20/1000000000*IF(ISBLANK(Design!$B$33),Design!$B$32/4,Design!$B$33/4)*1000000) * ($B34+AH34-AG34*AS34/1000) - (AH34+AG34*(1+($A34-25)*Constants!$C$36/100)*IF(ISBLANK(Design!$B$43),Constants!$C$6/1000,Design!$B$43/1000)),   (1-Constants!$C$20/1000000000*IF(ISBLANK(Design!$B$33),Design!$B$32,Design!$B$33)*1000000) * ($B34+AH34-AG34*AS34/1000) - (AH34+AG34*(1+($A34-25)*Constants!$C$36/100)*IF(ISBLANK(Design!$B$43),Constants!$C$6/1000,Design!$B$43/1000)) )</f>
        <v>5.0919515640794284</v>
      </c>
      <c r="AU34" s="119">
        <f ca="1">IF(AT34&gt;Design!$C$29,Design!$C$29,AT34)</f>
        <v>4.9990521327014221</v>
      </c>
    </row>
    <row r="35" spans="1:47" s="120" customFormat="1" ht="12.75" customHeight="1" x14ac:dyDescent="0.2">
      <c r="A35" s="112">
        <f>Design!$D$13</f>
        <v>85</v>
      </c>
      <c r="B35" s="113">
        <f t="shared" si="3"/>
        <v>5.3349999999999991</v>
      </c>
      <c r="C35" s="114">
        <f>Design!$D$7</f>
        <v>3</v>
      </c>
      <c r="D35" s="114">
        <f ca="1">FORECAST(C35, OFFSET(Design!$C$15:$C$17,MATCH(C35,Design!$B$15:$B$17,1)-1,0,2), OFFSET(Design!$B$15:$B$17,MATCH(C35,Design!$B$15:$B$17,1)-1,0,2))+(M35-25)*Design!$B$18/1000</f>
        <v>0.424267700690243</v>
      </c>
      <c r="E35" s="173">
        <f ca="1">IF(100*(Design!$C$29+D35+C35*IF(ISBLANK(Design!$B$43),Constants!$C$6,Design!$B$43)/1000*(1+Constants!$C$36/100*(N35-25)))/($B35+D35-C35*O35/1000)&gt;Design!$C$36,Design!$C$37,100*(Design!$C$29+D35+C35*IF(ISBLANK(Design!$B$43),Constants!$C$6,Design!$B$43)/1000*(1+Constants!$C$36/100*(N35-25)))/($B35+D35-C35*O35/1000))</f>
        <v>98.990624999999994</v>
      </c>
      <c r="F35" s="115">
        <f ca="1">IF(($B35-C35*IF(ISBLANK(Design!$B$43),Constants!$C$6,Design!$B$43)/1000*(1+Constants!$C$36/100*(N35-25))-Design!$C$29)/(IF(ISBLANK(Design!$B$42),Design!$B$40,Design!$B$42)/1000000)*E35/100/(IF(ISBLANK(Design!$B$33),Design!$B$32,Design!$B$33)*1000000)&lt;0, 0, ($B35-C35*IF(ISBLANK(Design!$B$43),Constants!$C$6,Design!$B$43)/1000*(1+Constants!$C$36/100*(N35-25))-Design!$C$29)/(IF(ISBLANK(Design!$B$42),Design!$B$40,Design!$B$42)/1000000)*E35/100/(IF(ISBLANK(Design!$B$33),Design!$B$32,Design!$B$33)*1000000))</f>
        <v>3.5740210157687448E-2</v>
      </c>
      <c r="G35" s="165">
        <f>B35*Constants!$C$21/1000+IF(ISBLANK(Design!$B$33),Design!$B$32,Design!$B$33)*1000000*Constants!$D$25/1000000000*(B35-Constants!$C$24)</f>
        <v>1.4049374999999996E-2</v>
      </c>
      <c r="H35" s="165">
        <f>B35*C35*(B35/(Constants!$C$26*1000000000)*IF(ISBLANK(Design!$B$33),Design!$B$32,Design!$B$33)*1000000/2+B35/(Constants!$C$27*1000000000)*IF(ISBLANK(Design!$B$33),Design!$B$32,Design!$B$33)*1000000/2)</f>
        <v>5.0401856770833302E-2</v>
      </c>
      <c r="I35" s="165">
        <f t="shared" ca="1" si="0"/>
        <v>2.0582833842194921</v>
      </c>
      <c r="J35" s="165">
        <f>Constants!$D$25/1000000000*Constants!$C$24*IF(ISBLANK(Design!$B$33),Design!$B$32,Design!$B$33)*1000000</f>
        <v>1.0624999999999999E-2</v>
      </c>
      <c r="K35" s="165">
        <f t="shared" ca="1" si="4"/>
        <v>2.1333596159903254</v>
      </c>
      <c r="L35" s="165">
        <f t="shared" ca="1" si="5"/>
        <v>1.2847356311526436E-2</v>
      </c>
      <c r="M35" s="166">
        <f ca="1">A35+L35*Design!$B$19</f>
        <v>85.732299309757011</v>
      </c>
      <c r="N35" s="166">
        <f ca="1">K35*Design!$C$12+A35</f>
        <v>157.53422694367106</v>
      </c>
      <c r="O35" s="166">
        <f ca="1">Constants!$D$22+Constants!$D$22*Constants!$C$23/100*(N35-25)</f>
        <v>231.02738155493685</v>
      </c>
      <c r="P35" s="165">
        <f ca="1">IF(100*(Design!$C$29+D35+C35*IF(ISBLANK(Design!$B$43),Constants!$C$6,Design!$B$43)/1000*(1+Constants!$C$36/100*(N35-25)))/($B35+D35-C35*O35/1000)&gt;Design!$C$36,  (1-Constants!$C$20/1000000000*IF(ISBLANK(Design!$B$33),Design!$B$32/4,Design!$B$33/4)*1000000) * ($B35+D35-C35*O35/1000) - (D35+C35*(1+($A35-25)*Constants!$C$36/100)*IF(ISBLANK(Design!$B$43),Constants!$C$6/1000,Design!$B$43/1000)),   (1-Constants!$C$20/1000000000*IF(ISBLANK(Design!$B$33),Design!$B$32,Design!$B$33)*1000000) * ($B35+D35-C35*O35/1000) - (D35+C35*(1+($A35-25)*Constants!$C$36/100)*IF(ISBLANK(Design!$B$43),Constants!$C$6/1000,Design!$B$43/1000)) )</f>
        <v>4.4424850448790565</v>
      </c>
      <c r="Q35" s="171">
        <f ca="1">IF(P35&gt;Design!$C$29,Design!$C$29,P35)</f>
        <v>4.4424850448790565</v>
      </c>
      <c r="R35" s="181">
        <f>2*Design!$D$7/3</f>
        <v>2</v>
      </c>
      <c r="S35" s="116">
        <f ca="1">FORECAST(R35, OFFSET(Design!$C$15:$C$17,MATCH(R35,Design!$B$15:$B$17,1)-1,0,2), OFFSET(Design!$B$15:$B$17,MATCH(R35,Design!$B$15:$B$17,1)-1,0,2))+(AB35-25)*Design!$B$18/1000</f>
        <v>0.39954025402394783</v>
      </c>
      <c r="T35" s="182">
        <f ca="1">IF(100*(Design!$C$29+S35+R35*IF(ISBLANK(Design!$B$43),Constants!$C$6,Design!$B$43)/1000*(1+Constants!$C$36/100*(AC35-25)))/($B35+S35-R35*AD35/1000)&gt;Design!$C$36,Design!$C$37,100*(Design!$C$29+S35+R35*IF(ISBLANK(Design!$B$43),Constants!$C$6,Design!$B$43)/1000*(1+Constants!$C$36/100*(AC35-25)))/($B35+S35-R35*AD35/1000))</f>
        <v>98.990624999999994</v>
      </c>
      <c r="U35" s="117">
        <f ca="1">IF(($B35-R35*IF(ISBLANK(Design!$B$43),Constants!$C$6,Design!$B$43)/1000*(1+Constants!$C$36/100*(AC35-25))-Design!$C$29)/(Design!$B$42/1000000)*T35/100/(IF(ISBLANK(IF(ISBLANK(Design!$B$42),Design!$B$40,Design!$B$42)),Design!$B$32,Design!$B$33)*1000000)&lt;0,0,($B35-R35*IF(ISBLANK(Design!$B$43),Constants!$C$6,Design!$B$43)/1000*(1+Constants!$C$36/100*(AC35-25))-Design!$C$29)/(IF(ISBLANK(Design!$B$42),Design!$B$40,Design!$B$42)/1000000)*T35/100/(IF(ISBLANK(Design!$B$33),Design!$B$32,Design!$B$33)*1000000))</f>
        <v>5.3147206721170979E-2</v>
      </c>
      <c r="V35" s="183">
        <f>$B35*Constants!$C$21/1000+IF(ISBLANK(Design!$B$33),Design!$B$32,Design!$B$33)*1000000*Constants!$D$25/1000000000*($B35-Constants!$C$24)</f>
        <v>1.4049374999999996E-2</v>
      </c>
      <c r="W35" s="183">
        <f>$B35*R35*($B35/(Constants!$C$26*1000000000)*IF(ISBLANK(Design!$B$33),Design!$B$32,Design!$B$33)*1000000/2+$B35/(Constants!$C$27*1000000000)*IF(ISBLANK(Design!$B$33),Design!$B$32,Design!$B$33)*1000000/2)</f>
        <v>3.3601237847222208E-2</v>
      </c>
      <c r="X35" s="183">
        <f t="shared" ca="1" si="1"/>
        <v>0.7747825826125988</v>
      </c>
      <c r="Y35" s="183">
        <f>Constants!$D$25/1000000000*Constants!$C$24*IF(ISBLANK(Design!$B$33),Design!$B$32,Design!$B$33)*1000000</f>
        <v>1.0624999999999999E-2</v>
      </c>
      <c r="Z35" s="183">
        <f t="shared" ca="1" si="10"/>
        <v>0.83305819545982096</v>
      </c>
      <c r="AA35" s="183">
        <f t="shared" ca="1" si="7"/>
        <v>8.065718878108457E-3</v>
      </c>
      <c r="AB35" s="184">
        <f ca="1">$A35+AA35*Design!$B$19</f>
        <v>85.459745976052176</v>
      </c>
      <c r="AC35" s="184">
        <f ca="1">Z35*Design!$C$12+$A35</f>
        <v>113.32397864563391</v>
      </c>
      <c r="AD35" s="184">
        <f ca="1">Constants!$D$22+Constants!$D$22*Constants!$C$23/100*(AC35-25)</f>
        <v>195.65918291650712</v>
      </c>
      <c r="AE35" s="183">
        <f ca="1">IF(100*(Design!$C$29+S35+R35*IF(ISBLANK(Design!$B$43),Constants!$C$6,Design!$B$43)/1000*(1+Constants!$C$36/100*(AC35-25)))/($B35+S35-R35*AD35/1000)&gt;Design!$C$36,  (1-Constants!$C$20/1000000000*IF(ISBLANK(Design!$B$33),Design!$B$32/4,Design!$B$33/4)*1000000) * ($B35+S35-R35*AD35/1000) - (S35+R35*(1+($A35-25)*Constants!$C$36/100)*IF(ISBLANK(Design!$B$43),Constants!$C$6/1000,Design!$B$43/1000)),   (1-Constants!$C$20/1000000000*IF(ISBLANK(Design!$B$33),Design!$B$32,Design!$B$33)*1000000) * ($B35+S35-R35*AD35/1000) - (S35+R35*(1+($A35-25)*Constants!$C$36/100)*IF(ISBLANK(Design!$B$43),Constants!$C$6/1000,Design!$B$43/1000)) )</f>
        <v>4.7908844882330577</v>
      </c>
      <c r="AF35" s="117">
        <f ca="1">IF(AE35&gt;Design!$C$29,Design!$C$29,AE35)</f>
        <v>4.7908844882330577</v>
      </c>
      <c r="AG35" s="118">
        <f>Design!$D$7/3</f>
        <v>1</v>
      </c>
      <c r="AH35" s="118">
        <f ca="1">FORECAST(AG35, OFFSET(Design!$C$15:$C$17,MATCH(AG35,Design!$B$15:$B$17,1)-1,0,2), OFFSET(Design!$B$15:$B$17,MATCH(AG35,Design!$B$15:$B$17,1)-1,0,2))+(AQ35-25)*Design!$B$18/1000</f>
        <v>0.32203694028136221</v>
      </c>
      <c r="AI35" s="194">
        <f ca="1">IF(100*(Design!$C$29+AH35+AG35*IF(ISBLANK(Design!$B$43),Constants!$C$6,Design!$B$43)/1000*(1+Constants!$C$36/100*(AR35-25)))/($B35+AH35-AG35*AS35/1000)&gt;Design!$C$36,Design!$C$37,100*(Design!$C$29+AH35+AG35*IF(ISBLANK(Design!$B$43),Constants!$C$6,Design!$B$43)/1000*(1+Constants!$C$36/100*(AR35-25)))/($B35+AH35-AG35*AS35/1000))</f>
        <v>98.990624999999994</v>
      </c>
      <c r="AJ35" s="119">
        <f ca="1">IF(($B35-AG35*IF(ISBLANK(Design!$B$43),Constants!$C$6,Design!$B$43)/1000*(1+Constants!$C$36/100*(AR35-25))-Design!$C$29)/(IF(ISBLANK(Design!$B$42),Design!$B$40,Design!$B$42)/1000000)*AI35/100/(IF(ISBLANK(Design!$B$33),Design!$B$32,Design!$B$33)*1000000)&lt;0,0,($B35-AG35*IF(ISBLANK(Design!$B$43),Constants!$C$6,Design!$B$43)/1000*(1+Constants!$C$36/100*(AR35-25))-Design!$C$29)/(IF(ISBLANK(Design!$B$42),Design!$B$40,Design!$B$42)/1000000)*AI35/100/(IF(ISBLANK(Design!$B$33),Design!$B$32,Design!$B$33)*1000000))</f>
        <v>6.6462784327221594E-2</v>
      </c>
      <c r="AK35" s="195">
        <f>$B35*Constants!$C$21/1000+IF(ISBLANK(Design!$B$33),Design!$B$32,Design!$B$33)*1000000*Constants!$D$25/1000000000*($B35-Constants!$C$24)</f>
        <v>1.4049374999999996E-2</v>
      </c>
      <c r="AL35" s="195">
        <f>$B35*AG35*($B35/(Constants!$C$26*1000000000)*IF(ISBLANK(Design!$B$33),Design!$B$32,Design!$B$33)*1000000/2+$B35/(Constants!$C$27*1000000000)*IF(ISBLANK(Design!$B$33),Design!$B$32,Design!$B$33)*1000000/2)</f>
        <v>1.6800618923611104E-2</v>
      </c>
      <c r="AM35" s="195">
        <f t="shared" ca="1" si="2"/>
        <v>0.17720710253701907</v>
      </c>
      <c r="AN35" s="195">
        <f>Constants!$D$25/1000000000*Constants!$C$24*IF(ISBLANK(Design!$B$33),Design!$B$32,Design!$B$33)*1000000</f>
        <v>1.0624999999999999E-2</v>
      </c>
      <c r="AO35" s="195">
        <f t="shared" ca="1" si="11"/>
        <v>0.21868209646063017</v>
      </c>
      <c r="AP35" s="195">
        <f t="shared" ca="1" si="9"/>
        <v>3.250560365965004E-3</v>
      </c>
      <c r="AQ35" s="196">
        <f ca="1">$A35+AP35*Design!$B$19</f>
        <v>85.185281940860008</v>
      </c>
      <c r="AR35" s="196">
        <f ca="1">AO35*Design!$C$12+$A35</f>
        <v>92.435191279661424</v>
      </c>
      <c r="AS35" s="196">
        <f ca="1">Constants!$D$22+Constants!$D$22*Constants!$C$23/100*(AR35-25)</f>
        <v>178.94815302372913</v>
      </c>
      <c r="AT35" s="195">
        <f ca="1">IF(100*(Design!$C$29+AH35+AG35*IF(ISBLANK(Design!$B$43),Constants!$C$6,Design!$B$43)/1000*(1+Constants!$C$36/100*(AR35-25)))/($B35+AH35-AG35*AS35/1000)&gt;Design!$C$36,  (1-Constants!$C$20/1000000000*IF(ISBLANK(Design!$B$33),Design!$B$32/4,Design!$B$33/4)*1000000) * ($B35+AH35-AG35*AS35/1000) - (AH35+AG35*(1+($A35-25)*Constants!$C$36/100)*IF(ISBLANK(Design!$B$43),Constants!$C$6/1000,Design!$B$43/1000)),   (1-Constants!$C$20/1000000000*IF(ISBLANK(Design!$B$33),Design!$B$32,Design!$B$33)*1000000) * ($B35+AH35-AG35*AS35/1000) - (AH35+AG35*(1+($A35-25)*Constants!$C$36/100)*IF(ISBLANK(Design!$B$43),Constants!$C$6/1000,Design!$B$43/1000)) )</f>
        <v>5.0513253882798876</v>
      </c>
      <c r="AU35" s="119">
        <f ca="1">IF(AT35&gt;Design!$C$29,Design!$C$29,AT35)</f>
        <v>4.9990521327014221</v>
      </c>
    </row>
    <row r="36" spans="1:47" s="120" customFormat="1" ht="12.75" customHeight="1" x14ac:dyDescent="0.2">
      <c r="A36" s="112">
        <f>Design!$D$13</f>
        <v>85</v>
      </c>
      <c r="B36" s="113">
        <f t="shared" si="3"/>
        <v>5.1199999999999992</v>
      </c>
      <c r="C36" s="114">
        <f>Design!$D$7</f>
        <v>3</v>
      </c>
      <c r="D36" s="114">
        <f ca="1">FORECAST(C36, OFFSET(Design!$C$15:$C$17,MATCH(C36,Design!$B$15:$B$17,1)-1,0,2), OFFSET(Design!$B$15:$B$17,MATCH(C36,Design!$B$15:$B$17,1)-1,0,2))+(M36-25)*Design!$B$18/1000</f>
        <v>0.424267700690243</v>
      </c>
      <c r="E36" s="173">
        <f ca="1">IF(100*(Design!$C$29+D36+C36*IF(ISBLANK(Design!$B$43),Constants!$C$6,Design!$B$43)/1000*(1+Constants!$C$36/100*(N36-25)))/($B36+D36-C36*O36/1000)&gt;Design!$C$36,Design!$C$37,100*(Design!$C$29+D36+C36*IF(ISBLANK(Design!$B$43),Constants!$C$6,Design!$B$43)/1000*(1+Constants!$C$36/100*(N36-25)))/($B36+D36-C36*O36/1000))</f>
        <v>98.990624999999994</v>
      </c>
      <c r="F36" s="115">
        <f ca="1">IF(($B36-C36*IF(ISBLANK(Design!$B$43),Constants!$C$6,Design!$B$43)/1000*(1+Constants!$C$36/100*(N36-25))-Design!$C$29)/(IF(ISBLANK(Design!$B$42),Design!$B$40,Design!$B$42)/1000000)*E36/100/(IF(ISBLANK(Design!$B$33),Design!$B$32,Design!$B$33)*1000000)&lt;0, 0, ($B36-C36*IF(ISBLANK(Design!$B$43),Constants!$C$6,Design!$B$43)/1000*(1+Constants!$C$36/100*(N36-25))-Design!$C$29)/(IF(ISBLANK(Design!$B$42),Design!$B$40,Design!$B$42)/1000000)*E36/100/(IF(ISBLANK(Design!$B$33),Design!$B$32,Design!$B$33)*1000000))</f>
        <v>0</v>
      </c>
      <c r="G36" s="165">
        <f>B36*Constants!$C$21/1000+IF(ISBLANK(Design!$B$33),Design!$B$32,Design!$B$33)*1000000*Constants!$D$25/1000000000*(B36-Constants!$C$24)</f>
        <v>1.3054999999999995E-2</v>
      </c>
      <c r="H36" s="165">
        <f>B36*C36*(B36/(Constants!$C$26*1000000000)*IF(ISBLANK(Design!$B$33),Design!$B$32,Design!$B$33)*1000000/2+B36/(Constants!$C$27*1000000000)*IF(ISBLANK(Design!$B$33),Design!$B$32,Design!$B$33)*1000000/2)</f>
        <v>4.6421333333333321E-2</v>
      </c>
      <c r="I36" s="165">
        <f t="shared" ca="1" si="0"/>
        <v>2.0566601118340357</v>
      </c>
      <c r="J36" s="165">
        <f>Constants!$D$25/1000000000*Constants!$C$24*IF(ISBLANK(Design!$B$33),Design!$B$32,Design!$B$33)*1000000</f>
        <v>1.0624999999999999E-2</v>
      </c>
      <c r="K36" s="165">
        <f t="shared" ca="1" si="4"/>
        <v>2.1267614451673693</v>
      </c>
      <c r="L36" s="165">
        <f t="shared" ca="1" si="5"/>
        <v>1.2847356311526436E-2</v>
      </c>
      <c r="M36" s="166">
        <f ca="1">A36+L36*Design!$B$19</f>
        <v>85.732299309757011</v>
      </c>
      <c r="N36" s="166">
        <f ca="1">K36*Design!$C$12+A36</f>
        <v>157.30988913569055</v>
      </c>
      <c r="O36" s="166">
        <f ca="1">Constants!$D$22+Constants!$D$22*Constants!$C$23/100*(N36-25)</f>
        <v>230.84791130855245</v>
      </c>
      <c r="P36" s="165">
        <f ca="1">IF(100*(Design!$C$29+D36+C36*IF(ISBLANK(Design!$B$43),Constants!$C$6,Design!$B$43)/1000*(1+Constants!$C$36/100*(N36-25)))/($B36+D36-C36*O36/1000)&gt;Design!$C$36,  (1-Constants!$C$20/1000000000*IF(ISBLANK(Design!$B$33),Design!$B$32/4,Design!$B$33/4)*1000000) * ($B36+D36-C36*O36/1000) - (D36+C36*(1+($A36-25)*Constants!$C$36/100)*IF(ISBLANK(Design!$B$43),Constants!$C$6/1000,Design!$B$43/1000)),   (1-Constants!$C$20/1000000000*IF(ISBLANK(Design!$B$33),Design!$B$32,Design!$B$33)*1000000) * ($B36+D36-C36*O36/1000) - (D36+C36*(1+($A36-25)*Constants!$C$36/100)*IF(ISBLANK(Design!$B$43),Constants!$C$6/1000,Design!$B$43/1000)) )</f>
        <v>4.2301881772848109</v>
      </c>
      <c r="Q36" s="171">
        <f ca="1">IF(P36&gt;Design!$C$29,Design!$C$29,P36)</f>
        <v>4.2301881772848109</v>
      </c>
      <c r="R36" s="181">
        <f>2*Design!$D$7/3</f>
        <v>2</v>
      </c>
      <c r="S36" s="116">
        <f ca="1">FORECAST(R36, OFFSET(Design!$C$15:$C$17,MATCH(R36,Design!$B$15:$B$17,1)-1,0,2), OFFSET(Design!$B$15:$B$17,MATCH(R36,Design!$B$15:$B$17,1)-1,0,2))+(AB36-25)*Design!$B$18/1000</f>
        <v>0.39954025402394783</v>
      </c>
      <c r="T36" s="182">
        <f ca="1">IF(100*(Design!$C$29+S36+R36*IF(ISBLANK(Design!$B$43),Constants!$C$6,Design!$B$43)/1000*(1+Constants!$C$36/100*(AC36-25)))/($B36+S36-R36*AD36/1000)&gt;Design!$C$36,Design!$C$37,100*(Design!$C$29+S36+R36*IF(ISBLANK(Design!$B$43),Constants!$C$6,Design!$B$43)/1000*(1+Constants!$C$36/100*(AC36-25)))/($B36+S36-R36*AD36/1000))</f>
        <v>98.990624999999994</v>
      </c>
      <c r="U36" s="117">
        <f ca="1">IF(($B36-R36*IF(ISBLANK(Design!$B$43),Constants!$C$6,Design!$B$43)/1000*(1+Constants!$C$36/100*(AC36-25))-Design!$C$29)/(Design!$B$42/1000000)*T36/100/(IF(ISBLANK(IF(ISBLANK(Design!$B$42),Design!$B$40,Design!$B$42)),Design!$B$32,Design!$B$33)*1000000)&lt;0,0,($B36-R36*IF(ISBLANK(Design!$B$43),Constants!$C$6,Design!$B$43)/1000*(1+Constants!$C$36/100*(AC36-25))-Design!$C$29)/(IF(ISBLANK(Design!$B$42),Design!$B$40,Design!$B$42)/1000000)*T36/100/(IF(ISBLANK(Design!$B$33),Design!$B$32,Design!$B$33)*1000000))</f>
        <v>3.0799025200673891E-3</v>
      </c>
      <c r="V36" s="183">
        <f>$B36*Constants!$C$21/1000+IF(ISBLANK(Design!$B$33),Design!$B$32,Design!$B$33)*1000000*Constants!$D$25/1000000000*($B36-Constants!$C$24)</f>
        <v>1.3054999999999995E-2</v>
      </c>
      <c r="W36" s="183">
        <f>$B36*R36*($B36/(Constants!$C$26*1000000000)*IF(ISBLANK(Design!$B$33),Design!$B$32,Design!$B$33)*1000000/2+$B36/(Constants!$C$27*1000000000)*IF(ISBLANK(Design!$B$33),Design!$B$32,Design!$B$33)*1000000/2)</f>
        <v>3.0947555555555544E-2</v>
      </c>
      <c r="X36" s="183">
        <f t="shared" ca="1" si="1"/>
        <v>0.7742913345325525</v>
      </c>
      <c r="Y36" s="183">
        <f>Constants!$D$25/1000000000*Constants!$C$24*IF(ISBLANK(Design!$B$33),Design!$B$32,Design!$B$33)*1000000</f>
        <v>1.0624999999999999E-2</v>
      </c>
      <c r="Z36" s="183">
        <f t="shared" ca="1" si="10"/>
        <v>0.82891889008810804</v>
      </c>
      <c r="AA36" s="183">
        <f t="shared" ca="1" si="7"/>
        <v>8.065718878108457E-3</v>
      </c>
      <c r="AB36" s="184">
        <f ca="1">$A36+AA36*Design!$B$19</f>
        <v>85.459745976052176</v>
      </c>
      <c r="AC36" s="184">
        <f ca="1">Z36*Design!$C$12+$A36</f>
        <v>113.18324226299568</v>
      </c>
      <c r="AD36" s="184">
        <f ca="1">Constants!$D$22+Constants!$D$22*Constants!$C$23/100*(AC36-25)</f>
        <v>195.54659381039653</v>
      </c>
      <c r="AE36" s="183">
        <f ca="1">IF(100*(Design!$C$29+S36+R36*IF(ISBLANK(Design!$B$43),Constants!$C$6,Design!$B$43)/1000*(1+Constants!$C$36/100*(AC36-25)))/($B36+S36-R36*AD36/1000)&gt;Design!$C$36,  (1-Constants!$C$20/1000000000*IF(ISBLANK(Design!$B$33),Design!$B$32/4,Design!$B$33/4)*1000000) * ($B36+S36-R36*AD36/1000) - (S36+R36*(1+($A36-25)*Constants!$C$36/100)*IF(ISBLANK(Design!$B$43),Constants!$C$6/1000,Design!$B$43/1000)),   (1-Constants!$C$20/1000000000*IF(ISBLANK(Design!$B$33),Design!$B$32,Design!$B$33)*1000000) * ($B36+S36-R36*AD36/1000) - (S36+R36*(1+($A36-25)*Constants!$C$36/100)*IF(ISBLANK(Design!$B$43),Constants!$C$6/1000,Design!$B$43/1000)) )</f>
        <v>4.5782775498026993</v>
      </c>
      <c r="AF36" s="117">
        <f ca="1">IF(AE36&gt;Design!$C$29,Design!$C$29,AE36)</f>
        <v>4.5782775498026993</v>
      </c>
      <c r="AG36" s="118">
        <f>Design!$D$7/3</f>
        <v>1</v>
      </c>
      <c r="AH36" s="118">
        <f ca="1">FORECAST(AG36, OFFSET(Design!$C$15:$C$17,MATCH(AG36,Design!$B$15:$B$17,1)-1,0,2), OFFSET(Design!$B$15:$B$17,MATCH(AG36,Design!$B$15:$B$17,1)-1,0,2))+(AQ36-25)*Design!$B$18/1000</f>
        <v>0.32203694028136221</v>
      </c>
      <c r="AI36" s="194">
        <f ca="1">IF(100*(Design!$C$29+AH36+AG36*IF(ISBLANK(Design!$B$43),Constants!$C$6,Design!$B$43)/1000*(1+Constants!$C$36/100*(AR36-25)))/($B36+AH36-AG36*AS36/1000)&gt;Design!$C$36,Design!$C$37,100*(Design!$C$29+AH36+AG36*IF(ISBLANK(Design!$B$43),Constants!$C$6,Design!$B$43)/1000*(1+Constants!$C$36/100*(AR36-25)))/($B36+AH36-AG36*AS36/1000))</f>
        <v>98.990624999999994</v>
      </c>
      <c r="AJ36" s="119">
        <f ca="1">IF(($B36-AG36*IF(ISBLANK(Design!$B$43),Constants!$C$6,Design!$B$43)/1000*(1+Constants!$C$36/100*(AR36-25))-Design!$C$29)/(IF(ISBLANK(Design!$B$42),Design!$B$40,Design!$B$42)/1000000)*AI36/100/(IF(ISBLANK(Design!$B$33),Design!$B$32,Design!$B$33)*1000000)&lt;0,0,($B36-AG36*IF(ISBLANK(Design!$B$43),Constants!$C$6,Design!$B$43)/1000*(1+Constants!$C$36/100*(AR36-25))-Design!$C$29)/(IF(ISBLANK(Design!$B$42),Design!$B$40,Design!$B$42)/1000000)*AI36/100/(IF(ISBLANK(Design!$B$33),Design!$B$32,Design!$B$33)*1000000))</f>
        <v>1.6388222041607788E-2</v>
      </c>
      <c r="AK36" s="195">
        <f>$B36*Constants!$C$21/1000+IF(ISBLANK(Design!$B$33),Design!$B$32,Design!$B$33)*1000000*Constants!$D$25/1000000000*($B36-Constants!$C$24)</f>
        <v>1.3054999999999995E-2</v>
      </c>
      <c r="AL36" s="195">
        <f>$B36*AG36*($B36/(Constants!$C$26*1000000000)*IF(ISBLANK(Design!$B$33),Design!$B$32,Design!$B$33)*1000000/2+$B36/(Constants!$C$27*1000000000)*IF(ISBLANK(Design!$B$33),Design!$B$32,Design!$B$33)*1000000/2)</f>
        <v>1.5473777777777772E-2</v>
      </c>
      <c r="AM36" s="195">
        <f t="shared" ca="1" si="2"/>
        <v>0.17707993442029776</v>
      </c>
      <c r="AN36" s="195">
        <f>Constants!$D$25/1000000000*Constants!$C$24*IF(ISBLANK(Design!$B$33),Design!$B$32,Design!$B$33)*1000000</f>
        <v>1.0624999999999999E-2</v>
      </c>
      <c r="AO36" s="195">
        <f t="shared" ca="1" si="11"/>
        <v>0.21623371219807552</v>
      </c>
      <c r="AP36" s="195">
        <f t="shared" ca="1" si="9"/>
        <v>3.250560365965004E-3</v>
      </c>
      <c r="AQ36" s="196">
        <f ca="1">$A36+AP36*Design!$B$19</f>
        <v>85.185281940860008</v>
      </c>
      <c r="AR36" s="196">
        <f ca="1">AO36*Design!$C$12+$A36</f>
        <v>92.351946214734568</v>
      </c>
      <c r="AS36" s="196">
        <f ca="1">Constants!$D$22+Constants!$D$22*Constants!$C$23/100*(AR36-25)</f>
        <v>178.88155697178766</v>
      </c>
      <c r="AT36" s="195">
        <f ca="1">IF(100*(Design!$C$29+AH36+AG36*IF(ISBLANK(Design!$B$43),Constants!$C$6,Design!$B$43)/1000*(1+Constants!$C$36/100*(AR36-25)))/($B36+AH36-AG36*AS36/1000)&gt;Design!$C$36,  (1-Constants!$C$20/1000000000*IF(ISBLANK(Design!$B$33),Design!$B$32/4,Design!$B$33/4)*1000000) * ($B36+AH36-AG36*AS36/1000) - (AH36+AG36*(1+($A36-25)*Constants!$C$36/100)*IF(ISBLANK(Design!$B$43),Constants!$C$6/1000,Design!$B$43/1000)),   (1-Constants!$C$20/1000000000*IF(ISBLANK(Design!$B$33),Design!$B$32,Design!$B$33)*1000000) * ($B36+AH36-AG36*AS36/1000) - (AH36+AG36*(1+($A36-25)*Constants!$C$36/100)*IF(ISBLANK(Design!$B$43),Constants!$C$6/1000,Design!$B$43/1000)) )</f>
        <v>4.8385614683779306</v>
      </c>
      <c r="AU36" s="119">
        <f ca="1">IF(AT36&gt;Design!$C$29,Design!$C$29,AT36)</f>
        <v>4.8385614683779306</v>
      </c>
    </row>
    <row r="37" spans="1:47" s="120" customFormat="1" ht="12.75" customHeight="1" x14ac:dyDescent="0.2">
      <c r="A37" s="112">
        <f>Design!$D$13</f>
        <v>85</v>
      </c>
      <c r="B37" s="113">
        <f t="shared" si="3"/>
        <v>4.9049999999999994</v>
      </c>
      <c r="C37" s="114">
        <f>Design!$D$7</f>
        <v>3</v>
      </c>
      <c r="D37" s="114">
        <f ca="1">FORECAST(C37, OFFSET(Design!$C$15:$C$17,MATCH(C37,Design!$B$15:$B$17,1)-1,0,2), OFFSET(Design!$B$15:$B$17,MATCH(C37,Design!$B$15:$B$17,1)-1,0,2))+(M37-25)*Design!$B$18/1000</f>
        <v>0.424267700690243</v>
      </c>
      <c r="E37" s="173">
        <f ca="1">IF(100*(Design!$C$29+D37+C37*IF(ISBLANK(Design!$B$43),Constants!$C$6,Design!$B$43)/1000*(1+Constants!$C$36/100*(N37-25)))/($B37+D37-C37*O37/1000)&gt;Design!$C$36,Design!$C$37,100*(Design!$C$29+D37+C37*IF(ISBLANK(Design!$B$43),Constants!$C$6,Design!$B$43)/1000*(1+Constants!$C$36/100*(N37-25)))/($B37+D37-C37*O37/1000))</f>
        <v>98.990624999999994</v>
      </c>
      <c r="F37" s="115">
        <f ca="1">IF(($B37-C37*IF(ISBLANK(Design!$B$43),Constants!$C$6,Design!$B$43)/1000*(1+Constants!$C$36/100*(N37-25))-Design!$C$29)/(IF(ISBLANK(Design!$B$42),Design!$B$40,Design!$B$42)/1000000)*E37/100/(IF(ISBLANK(Design!$B$33),Design!$B$32,Design!$B$33)*1000000)&lt;0, 0, ($B37-C37*IF(ISBLANK(Design!$B$43),Constants!$C$6,Design!$B$43)/1000*(1+Constants!$C$36/100*(N37-25))-Design!$C$29)/(IF(ISBLANK(Design!$B$42),Design!$B$40,Design!$B$42)/1000000)*E37/100/(IF(ISBLANK(Design!$B$33),Design!$B$32,Design!$B$33)*1000000))</f>
        <v>0</v>
      </c>
      <c r="G37" s="165">
        <f>B37*Constants!$C$21/1000+IF(ISBLANK(Design!$B$33),Design!$B$32,Design!$B$33)*1000000*Constants!$D$25/1000000000*(B37-Constants!$C$24)</f>
        <v>1.2060624999999998E-2</v>
      </c>
      <c r="H37" s="165">
        <f>B37*C37*(B37/(Constants!$C$26*1000000000)*IF(ISBLANK(Design!$B$33),Design!$B$32,Design!$B$33)*1000000/2+B37/(Constants!$C$27*1000000000)*IF(ISBLANK(Design!$B$33),Design!$B$32,Design!$B$33)*1000000/2)</f>
        <v>4.2604523437499986E-2</v>
      </c>
      <c r="I37" s="165">
        <f t="shared" ca="1" si="0"/>
        <v>2.0551213305660174</v>
      </c>
      <c r="J37" s="165">
        <f>Constants!$D$25/1000000000*Constants!$C$24*IF(ISBLANK(Design!$B$33),Design!$B$32,Design!$B$33)*1000000</f>
        <v>1.0624999999999999E-2</v>
      </c>
      <c r="K37" s="165">
        <f t="shared" ca="1" si="4"/>
        <v>2.1204114790035176</v>
      </c>
      <c r="L37" s="165">
        <f t="shared" ca="1" si="5"/>
        <v>1.2847356311526436E-2</v>
      </c>
      <c r="M37" s="166">
        <f ca="1">A37+L37*Design!$B$19</f>
        <v>85.732299309757011</v>
      </c>
      <c r="N37" s="166">
        <f ca="1">K37*Design!$C$12+A37</f>
        <v>157.09399028611961</v>
      </c>
      <c r="O37" s="166">
        <f ca="1">Constants!$D$22+Constants!$D$22*Constants!$C$23/100*(N37-25)</f>
        <v>230.6751922288957</v>
      </c>
      <c r="P37" s="165">
        <f ca="1">IF(100*(Design!$C$29+D37+C37*IF(ISBLANK(Design!$B$43),Constants!$C$6,Design!$B$43)/1000*(1+Constants!$C$36/100*(N37-25)))/($B37+D37-C37*O37/1000)&gt;Design!$C$36,  (1-Constants!$C$20/1000000000*IF(ISBLANK(Design!$B$33),Design!$B$32/4,Design!$B$33/4)*1000000) * ($B37+D37-C37*O37/1000) - (D37+C37*(1+($A37-25)*Constants!$C$36/100)*IF(ISBLANK(Design!$B$43),Constants!$C$6/1000,Design!$B$43/1000)),   (1-Constants!$C$20/1000000000*IF(ISBLANK(Design!$B$33),Design!$B$32,Design!$B$33)*1000000) * ($B37+D37-C37*O37/1000) - (D37+C37*(1+($A37-25)*Constants!$C$36/100)*IF(ISBLANK(Design!$B$43),Constants!$C$6/1000,Design!$B$43/1000)) )</f>
        <v>4.0178712606241511</v>
      </c>
      <c r="Q37" s="171">
        <f ca="1">IF(P37&gt;Design!$C$29,Design!$C$29,P37)</f>
        <v>4.0178712606241511</v>
      </c>
      <c r="R37" s="181">
        <f>2*Design!$D$7/3</f>
        <v>2</v>
      </c>
      <c r="S37" s="116">
        <f ca="1">FORECAST(R37, OFFSET(Design!$C$15:$C$17,MATCH(R37,Design!$B$15:$B$17,1)-1,0,2), OFFSET(Design!$B$15:$B$17,MATCH(R37,Design!$B$15:$B$17,1)-1,0,2))+(AB37-25)*Design!$B$18/1000</f>
        <v>0.39954025402394783</v>
      </c>
      <c r="T37" s="182">
        <f ca="1">IF(100*(Design!$C$29+S37+R37*IF(ISBLANK(Design!$B$43),Constants!$C$6,Design!$B$43)/1000*(1+Constants!$C$36/100*(AC37-25)))/($B37+S37-R37*AD37/1000)&gt;Design!$C$36,Design!$C$37,100*(Design!$C$29+S37+R37*IF(ISBLANK(Design!$B$43),Constants!$C$6,Design!$B$43)/1000*(1+Constants!$C$36/100*(AC37-25)))/($B37+S37-R37*AD37/1000))</f>
        <v>98.990624999999994</v>
      </c>
      <c r="U37" s="117">
        <f ca="1">IF(($B37-R37*IF(ISBLANK(Design!$B$43),Constants!$C$6,Design!$B$43)/1000*(1+Constants!$C$36/100*(AC37-25))-Design!$C$29)/(Design!$B$42/1000000)*T37/100/(IF(ISBLANK(IF(ISBLANK(Design!$B$42),Design!$B$40,Design!$B$42)),Design!$B$32,Design!$B$33)*1000000)&lt;0,0,($B37-R37*IF(ISBLANK(Design!$B$43),Constants!$C$6,Design!$B$43)/1000*(1+Constants!$C$36/100*(AC37-25))-Design!$C$29)/(IF(ISBLANK(Design!$B$42),Design!$B$40,Design!$B$42)/1000000)*T37/100/(IF(ISBLANK(Design!$B$33),Design!$B$32,Design!$B$33)*1000000))</f>
        <v>0</v>
      </c>
      <c r="V37" s="183">
        <f>$B37*Constants!$C$21/1000+IF(ISBLANK(Design!$B$33),Design!$B$32,Design!$B$33)*1000000*Constants!$D$25/1000000000*($B37-Constants!$C$24)</f>
        <v>1.2060624999999998E-2</v>
      </c>
      <c r="W37" s="183">
        <f>$B37*R37*($B37/(Constants!$C$26*1000000000)*IF(ISBLANK(Design!$B$33),Design!$B$32,Design!$B$33)*1000000/2+$B37/(Constants!$C$27*1000000000)*IF(ISBLANK(Design!$B$33),Design!$B$32,Design!$B$33)*1000000/2)</f>
        <v>2.8403015624999989E-2</v>
      </c>
      <c r="X37" s="183">
        <f t="shared" ca="1" si="1"/>
        <v>0.77386401043380526</v>
      </c>
      <c r="Y37" s="183">
        <f>Constants!$D$25/1000000000*Constants!$C$24*IF(ISBLANK(Design!$B$33),Design!$B$32,Design!$B$33)*1000000</f>
        <v>1.0624999999999999E-2</v>
      </c>
      <c r="Z37" s="183">
        <f t="shared" ca="1" si="10"/>
        <v>0.82495265105880522</v>
      </c>
      <c r="AA37" s="183">
        <f t="shared" ca="1" si="7"/>
        <v>8.065718878108457E-3</v>
      </c>
      <c r="AB37" s="184">
        <f ca="1">$A37+AA37*Design!$B$19</f>
        <v>85.459745976052176</v>
      </c>
      <c r="AC37" s="184">
        <f ca="1">Z37*Design!$C$12+$A37</f>
        <v>113.04839013599937</v>
      </c>
      <c r="AD37" s="184">
        <f ca="1">Constants!$D$22+Constants!$D$22*Constants!$C$23/100*(AC37-25)</f>
        <v>195.43871210879951</v>
      </c>
      <c r="AE37" s="183">
        <f ca="1">IF(100*(Design!$C$29+S37+R37*IF(ISBLANK(Design!$B$43),Constants!$C$6,Design!$B$43)/1000*(1+Constants!$C$36/100*(AC37-25)))/($B37+S37-R37*AD37/1000)&gt;Design!$C$36,  (1-Constants!$C$20/1000000000*IF(ISBLANK(Design!$B$33),Design!$B$32/4,Design!$B$33/4)*1000000) * ($B37+S37-R37*AD37/1000) - (S37+R37*(1+($A37-25)*Constants!$C$36/100)*IF(ISBLANK(Design!$B$43),Constants!$C$6/1000,Design!$B$43/1000)),   (1-Constants!$C$20/1000000000*IF(ISBLANK(Design!$B$33),Design!$B$32,Design!$B$33)*1000000) * ($B37+S37-R37*AD37/1000) - (S37+R37*(1+($A37-25)*Constants!$C$36/100)*IF(ISBLANK(Design!$B$43),Constants!$C$6/1000,Design!$B$43/1000)) )</f>
        <v>4.3656612915940425</v>
      </c>
      <c r="AF37" s="117">
        <f ca="1">IF(AE37&gt;Design!$C$29,Design!$C$29,AE37)</f>
        <v>4.3656612915940425</v>
      </c>
      <c r="AG37" s="118">
        <f>Design!$D$7/3</f>
        <v>1</v>
      </c>
      <c r="AH37" s="118">
        <f ca="1">FORECAST(AG37, OFFSET(Design!$C$15:$C$17,MATCH(AG37,Design!$B$15:$B$17,1)-1,0,2), OFFSET(Design!$B$15:$B$17,MATCH(AG37,Design!$B$15:$B$17,1)-1,0,2))+(AQ37-25)*Design!$B$18/1000</f>
        <v>0.32203694028136221</v>
      </c>
      <c r="AI37" s="194">
        <f ca="1">IF(100*(Design!$C$29+AH37+AG37*IF(ISBLANK(Design!$B$43),Constants!$C$6,Design!$B$43)/1000*(1+Constants!$C$36/100*(AR37-25)))/($B37+AH37-AG37*AS37/1000)&gt;Design!$C$36,Design!$C$37,100*(Design!$C$29+AH37+AG37*IF(ISBLANK(Design!$B$43),Constants!$C$6,Design!$B$43)/1000*(1+Constants!$C$36/100*(AR37-25)))/($B37+AH37-AG37*AS37/1000))</f>
        <v>98.990624999999994</v>
      </c>
      <c r="AJ37" s="119">
        <f ca="1">IF(($B37-AG37*IF(ISBLANK(Design!$B$43),Constants!$C$6,Design!$B$43)/1000*(1+Constants!$C$36/100*(AR37-25))-Design!$C$29)/(IF(ISBLANK(Design!$B$42),Design!$B$40,Design!$B$42)/1000000)*AI37/100/(IF(ISBLANK(Design!$B$33),Design!$B$32,Design!$B$33)*1000000)&lt;0,0,($B37-AG37*IF(ISBLANK(Design!$B$43),Constants!$C$6,Design!$B$43)/1000*(1+Constants!$C$36/100*(AR37-25))-Design!$C$29)/(IF(ISBLANK(Design!$B$42),Design!$B$40,Design!$B$42)/1000000)*AI37/100/(IF(ISBLANK(Design!$B$33),Design!$B$32,Design!$B$33)*1000000))</f>
        <v>0</v>
      </c>
      <c r="AK37" s="195">
        <f>$B37*Constants!$C$21/1000+IF(ISBLANK(Design!$B$33),Design!$B$32,Design!$B$33)*1000000*Constants!$D$25/1000000000*($B37-Constants!$C$24)</f>
        <v>1.2060624999999998E-2</v>
      </c>
      <c r="AL37" s="195">
        <f>$B37*AG37*($B37/(Constants!$C$26*1000000000)*IF(ISBLANK(Design!$B$33),Design!$B$32,Design!$B$33)*1000000/2+$B37/(Constants!$C$27*1000000000)*IF(ISBLANK(Design!$B$33),Design!$B$32,Design!$B$33)*1000000/2)</f>
        <v>1.4201507812499995E-2</v>
      </c>
      <c r="AM37" s="195">
        <f t="shared" ca="1" si="2"/>
        <v>0.17701314241564156</v>
      </c>
      <c r="AN37" s="195">
        <f>Constants!$D$25/1000000000*Constants!$C$24*IF(ISBLANK(Design!$B$33),Design!$B$32,Design!$B$33)*1000000</f>
        <v>1.0624999999999999E-2</v>
      </c>
      <c r="AO37" s="195">
        <f t="shared" ca="1" si="11"/>
        <v>0.21390027522814153</v>
      </c>
      <c r="AP37" s="195">
        <f t="shared" ca="1" si="9"/>
        <v>3.250560365965004E-3</v>
      </c>
      <c r="AQ37" s="196">
        <f ca="1">$A37+AP37*Design!$B$19</f>
        <v>85.185281940860008</v>
      </c>
      <c r="AR37" s="196">
        <f ca="1">AO37*Design!$C$12+$A37</f>
        <v>92.272609357756807</v>
      </c>
      <c r="AS37" s="196">
        <f ca="1">Constants!$D$22+Constants!$D$22*Constants!$C$23/100*(AR37-25)</f>
        <v>178.81808748620546</v>
      </c>
      <c r="AT37" s="195">
        <f ca="1">IF(100*(Design!$C$29+AH37+AG37*IF(ISBLANK(Design!$B$43),Constants!$C$6,Design!$B$43)/1000*(1+Constants!$C$36/100*(AR37-25)))/($B37+AH37-AG37*AS37/1000)&gt;Design!$C$36,  (1-Constants!$C$20/1000000000*IF(ISBLANK(Design!$B$33),Design!$B$32/4,Design!$B$33/4)*1000000) * ($B37+AH37-AG37*AS37/1000) - (AH37+AG37*(1+($A37-25)*Constants!$C$36/100)*IF(ISBLANK(Design!$B$43),Constants!$C$6/1000,Design!$B$43/1000)),   (1-Constants!$C$20/1000000000*IF(ISBLANK(Design!$B$33),Design!$B$32,Design!$B$33)*1000000) * ($B37+AH37-AG37*AS37/1000) - (AH37+AG37*(1+($A37-25)*Constants!$C$36/100)*IF(ISBLANK(Design!$B$43),Constants!$C$6/1000,Design!$B$43/1000)) )</f>
        <v>4.6257944534683926</v>
      </c>
      <c r="AU37" s="119">
        <f ca="1">IF(AT37&gt;Design!$C$29,Design!$C$29,AT37)</f>
        <v>4.6257944534683926</v>
      </c>
    </row>
    <row r="38" spans="1:47" s="120" customFormat="1" ht="12.75" customHeight="1" x14ac:dyDescent="0.2">
      <c r="A38" s="112">
        <f>Design!$D$13</f>
        <v>85</v>
      </c>
      <c r="B38" s="113">
        <f t="shared" si="3"/>
        <v>4.6899999999999995</v>
      </c>
      <c r="C38" s="114">
        <f>Design!$D$7</f>
        <v>3</v>
      </c>
      <c r="D38" s="114">
        <f ca="1">FORECAST(C38, OFFSET(Design!$C$15:$C$17,MATCH(C38,Design!$B$15:$B$17,1)-1,0,2), OFFSET(Design!$B$15:$B$17,MATCH(C38,Design!$B$15:$B$17,1)-1,0,2))+(M38-25)*Design!$B$18/1000</f>
        <v>0.424267700690243</v>
      </c>
      <c r="E38" s="173">
        <f ca="1">IF(100*(Design!$C$29+D38+C38*IF(ISBLANK(Design!$B$43),Constants!$C$6,Design!$B$43)/1000*(1+Constants!$C$36/100*(N38-25)))/($B38+D38-C38*O38/1000)&gt;Design!$C$36,Design!$C$37,100*(Design!$C$29+D38+C38*IF(ISBLANK(Design!$B$43),Constants!$C$6,Design!$B$43)/1000*(1+Constants!$C$36/100*(N38-25)))/($B38+D38-C38*O38/1000))</f>
        <v>98.990624999999994</v>
      </c>
      <c r="F38" s="115">
        <f ca="1">IF(($B38-C38*IF(ISBLANK(Design!$B$43),Constants!$C$6,Design!$B$43)/1000*(1+Constants!$C$36/100*(N38-25))-Design!$C$29)/(IF(ISBLANK(Design!$B$42),Design!$B$40,Design!$B$42)/1000000)*E38/100/(IF(ISBLANK(Design!$B$33),Design!$B$32,Design!$B$33)*1000000)&lt;0, 0, ($B38-C38*IF(ISBLANK(Design!$B$43),Constants!$C$6,Design!$B$43)/1000*(1+Constants!$C$36/100*(N38-25))-Design!$C$29)/(IF(ISBLANK(Design!$B$42),Design!$B$40,Design!$B$42)/1000000)*E38/100/(IF(ISBLANK(Design!$B$33),Design!$B$32,Design!$B$33)*1000000))</f>
        <v>0</v>
      </c>
      <c r="G38" s="165">
        <f>B38*Constants!$C$21/1000+IF(ISBLANK(Design!$B$33),Design!$B$32,Design!$B$33)*1000000*Constants!$D$25/1000000000*(B38-Constants!$C$24)</f>
        <v>1.1066249999999996E-2</v>
      </c>
      <c r="H38" s="165">
        <f>B38*C38*(B38/(Constants!$C$26*1000000000)*IF(ISBLANK(Design!$B$33),Design!$B$32,Design!$B$33)*1000000/2+B38/(Constants!$C$27*1000000000)*IF(ISBLANK(Design!$B$33),Design!$B$32,Design!$B$33)*1000000/2)</f>
        <v>3.8951427083333323E-2</v>
      </c>
      <c r="I38" s="165">
        <f t="shared" ca="1" si="0"/>
        <v>2.053634910480679</v>
      </c>
      <c r="J38" s="165">
        <f>Constants!$D$25/1000000000*Constants!$C$24*IF(ISBLANK(Design!$B$33),Design!$B$32,Design!$B$33)*1000000</f>
        <v>1.0624999999999999E-2</v>
      </c>
      <c r="K38" s="165">
        <f t="shared" ca="1" si="4"/>
        <v>2.1142775875640125</v>
      </c>
      <c r="L38" s="165">
        <f t="shared" ca="1" si="5"/>
        <v>1.2847356311526436E-2</v>
      </c>
      <c r="M38" s="166">
        <f ca="1">A38+L38*Design!$B$19</f>
        <v>85.732299309757011</v>
      </c>
      <c r="N38" s="166">
        <f ca="1">K38*Design!$C$12+A38</f>
        <v>156.88543797717642</v>
      </c>
      <c r="O38" s="166">
        <f ca="1">Constants!$D$22+Constants!$D$22*Constants!$C$23/100*(N38-25)</f>
        <v>230.50835038174114</v>
      </c>
      <c r="P38" s="165">
        <f ca="1">IF(100*(Design!$C$29+D38+C38*IF(ISBLANK(Design!$B$43),Constants!$C$6,Design!$B$43)/1000*(1+Constants!$C$36/100*(N38-25)))/($B38+D38-C38*O38/1000)&gt;Design!$C$36,  (1-Constants!$C$20/1000000000*IF(ISBLANK(Design!$B$33),Design!$B$32/4,Design!$B$33/4)*1000000) * ($B38+D38-C38*O38/1000) - (D38+C38*(1+($A38-25)*Constants!$C$36/100)*IF(ISBLANK(Design!$B$43),Constants!$C$6/1000,Design!$B$43/1000)),   (1-Constants!$C$20/1000000000*IF(ISBLANK(Design!$B$33),Design!$B$32,Design!$B$33)*1000000) * ($B38+D38-C38*O38/1000) - (D38+C38*(1+($A38-25)*Constants!$C$36/100)*IF(ISBLANK(Design!$B$43),Constants!$C$6/1000,Design!$B$43/1000)) )</f>
        <v>3.8055368902359308</v>
      </c>
      <c r="Q38" s="171">
        <f ca="1">IF(P38&gt;Design!$C$29,Design!$C$29,P38)</f>
        <v>3.8055368902359308</v>
      </c>
      <c r="R38" s="181">
        <f>2*Design!$D$7/3</f>
        <v>2</v>
      </c>
      <c r="S38" s="116">
        <f ca="1">FORECAST(R38, OFFSET(Design!$C$15:$C$17,MATCH(R38,Design!$B$15:$B$17,1)-1,0,2), OFFSET(Design!$B$15:$B$17,MATCH(R38,Design!$B$15:$B$17,1)-1,0,2))+(AB38-25)*Design!$B$18/1000</f>
        <v>0.39954025402394783</v>
      </c>
      <c r="T38" s="182">
        <f ca="1">IF(100*(Design!$C$29+S38+R38*IF(ISBLANK(Design!$B$43),Constants!$C$6,Design!$B$43)/1000*(1+Constants!$C$36/100*(AC38-25)))/($B38+S38-R38*AD38/1000)&gt;Design!$C$36,Design!$C$37,100*(Design!$C$29+S38+R38*IF(ISBLANK(Design!$B$43),Constants!$C$6,Design!$B$43)/1000*(1+Constants!$C$36/100*(AC38-25)))/($B38+S38-R38*AD38/1000))</f>
        <v>98.990624999999994</v>
      </c>
      <c r="U38" s="117">
        <f ca="1">IF(($B38-R38*IF(ISBLANK(Design!$B$43),Constants!$C$6,Design!$B$43)/1000*(1+Constants!$C$36/100*(AC38-25))-Design!$C$29)/(Design!$B$42/1000000)*T38/100/(IF(ISBLANK(IF(ISBLANK(Design!$B$42),Design!$B$40,Design!$B$42)),Design!$B$32,Design!$B$33)*1000000)&lt;0,0,($B38-R38*IF(ISBLANK(Design!$B$43),Constants!$C$6,Design!$B$43)/1000*(1+Constants!$C$36/100*(AC38-25))-Design!$C$29)/(IF(ISBLANK(Design!$B$42),Design!$B$40,Design!$B$42)/1000000)*T38/100/(IF(ISBLANK(Design!$B$33),Design!$B$32,Design!$B$33)*1000000))</f>
        <v>0</v>
      </c>
      <c r="V38" s="183">
        <f>$B38*Constants!$C$21/1000+IF(ISBLANK(Design!$B$33),Design!$B$32,Design!$B$33)*1000000*Constants!$D$25/1000000000*($B38-Constants!$C$24)</f>
        <v>1.1066249999999996E-2</v>
      </c>
      <c r="W38" s="183">
        <f>$B38*R38*($B38/(Constants!$C$26*1000000000)*IF(ISBLANK(Design!$B$33),Design!$B$32,Design!$B$33)*1000000/2+$B38/(Constants!$C$27*1000000000)*IF(ISBLANK(Design!$B$33),Design!$B$32,Design!$B$33)*1000000/2)</f>
        <v>2.5967618055555548E-2</v>
      </c>
      <c r="X38" s="183">
        <f t="shared" ca="1" si="1"/>
        <v>0.7734500314755155</v>
      </c>
      <c r="Y38" s="183">
        <f>Constants!$D$25/1000000000*Constants!$C$24*IF(ISBLANK(Design!$B$33),Design!$B$32,Design!$B$33)*1000000</f>
        <v>1.0624999999999999E-2</v>
      </c>
      <c r="Z38" s="183">
        <f t="shared" ca="1" si="10"/>
        <v>0.82110889953107102</v>
      </c>
      <c r="AA38" s="183">
        <f t="shared" ca="1" si="7"/>
        <v>8.065718878108457E-3</v>
      </c>
      <c r="AB38" s="184">
        <f ca="1">$A38+AA38*Design!$B$19</f>
        <v>85.459745976052176</v>
      </c>
      <c r="AC38" s="184">
        <f ca="1">Z38*Design!$C$12+$A38</f>
        <v>112.91770258405641</v>
      </c>
      <c r="AD38" s="184">
        <f ca="1">Constants!$D$22+Constants!$D$22*Constants!$C$23/100*(AC38-25)</f>
        <v>195.33416206724513</v>
      </c>
      <c r="AE38" s="183">
        <f ca="1">IF(100*(Design!$C$29+S38+R38*IF(ISBLANK(Design!$B$43),Constants!$C$6,Design!$B$43)/1000*(1+Constants!$C$36/100*(AC38-25)))/($B38+S38-R38*AD38/1000)&gt;Design!$C$36,  (1-Constants!$C$20/1000000000*IF(ISBLANK(Design!$B$33),Design!$B$32/4,Design!$B$33/4)*1000000) * ($B38+S38-R38*AD38/1000) - (S38+R38*(1+($A38-25)*Constants!$C$36/100)*IF(ISBLANK(Design!$B$43),Constants!$C$6/1000,Design!$B$43/1000)),   (1-Constants!$C$20/1000000000*IF(ISBLANK(Design!$B$33),Design!$B$32,Design!$B$33)*1000000) * ($B38+S38-R38*AD38/1000) - (S38+R38*(1+($A38-25)*Constants!$C$36/100)*IF(ISBLANK(Design!$B$43),Constants!$C$6/1000,Design!$B$43/1000)) )</f>
        <v>4.153038437323187</v>
      </c>
      <c r="AF38" s="117">
        <f ca="1">IF(AE38&gt;Design!$C$29,Design!$C$29,AE38)</f>
        <v>4.153038437323187</v>
      </c>
      <c r="AG38" s="118">
        <f>Design!$D$7/3</f>
        <v>1</v>
      </c>
      <c r="AH38" s="118">
        <f ca="1">FORECAST(AG38, OFFSET(Design!$C$15:$C$17,MATCH(AG38,Design!$B$15:$B$17,1)-1,0,2), OFFSET(Design!$B$15:$B$17,MATCH(AG38,Design!$B$15:$B$17,1)-1,0,2))+(AQ38-25)*Design!$B$18/1000</f>
        <v>0.32203694028136221</v>
      </c>
      <c r="AI38" s="194">
        <f ca="1">IF(100*(Design!$C$29+AH38+AG38*IF(ISBLANK(Design!$B$43),Constants!$C$6,Design!$B$43)/1000*(1+Constants!$C$36/100*(AR38-25)))/($B38+AH38-AG38*AS38/1000)&gt;Design!$C$36,Design!$C$37,100*(Design!$C$29+AH38+AG38*IF(ISBLANK(Design!$B$43),Constants!$C$6,Design!$B$43)/1000*(1+Constants!$C$36/100*(AR38-25)))/($B38+AH38-AG38*AS38/1000))</f>
        <v>98.990624999999994</v>
      </c>
      <c r="AJ38" s="119">
        <f ca="1">IF(($B38-AG38*IF(ISBLANK(Design!$B$43),Constants!$C$6,Design!$B$43)/1000*(1+Constants!$C$36/100*(AR38-25))-Design!$C$29)/(IF(ISBLANK(Design!$B$42),Design!$B$40,Design!$B$42)/1000000)*AI38/100/(IF(ISBLANK(Design!$B$33),Design!$B$32,Design!$B$33)*1000000)&lt;0,0,($B38-AG38*IF(ISBLANK(Design!$B$43),Constants!$C$6,Design!$B$43)/1000*(1+Constants!$C$36/100*(AR38-25))-Design!$C$29)/(IF(ISBLANK(Design!$B$42),Design!$B$40,Design!$B$42)/1000000)*AI38/100/(IF(ISBLANK(Design!$B$33),Design!$B$32,Design!$B$33)*1000000))</f>
        <v>0</v>
      </c>
      <c r="AK38" s="195">
        <f>$B38*Constants!$C$21/1000+IF(ISBLANK(Design!$B$33),Design!$B$32,Design!$B$33)*1000000*Constants!$D$25/1000000000*($B38-Constants!$C$24)</f>
        <v>1.1066249999999996E-2</v>
      </c>
      <c r="AL38" s="195">
        <f>$B38*AG38*($B38/(Constants!$C$26*1000000000)*IF(ISBLANK(Design!$B$33),Design!$B$32,Design!$B$33)*1000000/2+$B38/(Constants!$C$27*1000000000)*IF(ISBLANK(Design!$B$33),Design!$B$32,Design!$B$33)*1000000/2)</f>
        <v>1.2983809027777774E-2</v>
      </c>
      <c r="AM38" s="195">
        <f t="shared" ca="1" si="2"/>
        <v>0.17695193324920427</v>
      </c>
      <c r="AN38" s="195">
        <f>Constants!$D$25/1000000000*Constants!$C$24*IF(ISBLANK(Design!$B$33),Design!$B$32,Design!$B$33)*1000000</f>
        <v>1.0624999999999999E-2</v>
      </c>
      <c r="AO38" s="195">
        <f t="shared" ca="1" si="11"/>
        <v>0.21162699227698203</v>
      </c>
      <c r="AP38" s="195">
        <f t="shared" ca="1" si="9"/>
        <v>3.250560365965004E-3</v>
      </c>
      <c r="AQ38" s="196">
        <f ca="1">$A38+AP38*Design!$B$19</f>
        <v>85.185281940860008</v>
      </c>
      <c r="AR38" s="196">
        <f ca="1">AO38*Design!$C$12+$A38</f>
        <v>92.195317737417383</v>
      </c>
      <c r="AS38" s="196">
        <f ca="1">Constants!$D$22+Constants!$D$22*Constants!$C$23/100*(AR38-25)</f>
        <v>178.75625418993391</v>
      </c>
      <c r="AT38" s="195">
        <f ca="1">IF(100*(Design!$C$29+AH38+AG38*IF(ISBLANK(Design!$B$43),Constants!$C$6,Design!$B$43)/1000*(1+Constants!$C$36/100*(AR38-25)))/($B38+AH38-AG38*AS38/1000)&gt;Design!$C$36,  (1-Constants!$C$20/1000000000*IF(ISBLANK(Design!$B$33),Design!$B$32/4,Design!$B$33/4)*1000000) * ($B38+AH38-AG38*AS38/1000) - (AH38+AG38*(1+($A38-25)*Constants!$C$36/100)*IF(ISBLANK(Design!$B$43),Constants!$C$6/1000,Design!$B$43/1000)),   (1-Constants!$C$20/1000000000*IF(ISBLANK(Design!$B$33),Design!$B$32,Design!$B$33)*1000000) * ($B38+AH38-AG38*AS38/1000) - (AH38+AG38*(1+($A38-25)*Constants!$C$36/100)*IF(ISBLANK(Design!$B$43),Constants!$C$6/1000,Design!$B$43/1000)) )</f>
        <v>4.4130258188848295</v>
      </c>
      <c r="AU38" s="119">
        <f ca="1">IF(AT38&gt;Design!$C$29,Design!$C$29,AT38)</f>
        <v>4.4130258188848295</v>
      </c>
    </row>
    <row r="39" spans="1:47" s="120" customFormat="1" ht="12.75" customHeight="1" x14ac:dyDescent="0.2">
      <c r="A39" s="112">
        <f>Design!$D$13</f>
        <v>85</v>
      </c>
      <c r="B39" s="113">
        <f t="shared" si="3"/>
        <v>4.4749999999999996</v>
      </c>
      <c r="C39" s="114">
        <f>Design!$D$7</f>
        <v>3</v>
      </c>
      <c r="D39" s="114">
        <f ca="1">FORECAST(C39, OFFSET(Design!$C$15:$C$17,MATCH(C39,Design!$B$15:$B$17,1)-1,0,2), OFFSET(Design!$B$15:$B$17,MATCH(C39,Design!$B$15:$B$17,1)-1,0,2))+(M39-25)*Design!$B$18/1000</f>
        <v>0.424267700690243</v>
      </c>
      <c r="E39" s="173">
        <f ca="1">IF(100*(Design!$C$29+D39+C39*IF(ISBLANK(Design!$B$43),Constants!$C$6,Design!$B$43)/1000*(1+Constants!$C$36/100*(N39-25)))/($B39+D39-C39*O39/1000)&gt;Design!$C$36,Design!$C$37,100*(Design!$C$29+D39+C39*IF(ISBLANK(Design!$B$43),Constants!$C$6,Design!$B$43)/1000*(1+Constants!$C$36/100*(N39-25)))/($B39+D39-C39*O39/1000))</f>
        <v>98.990624999999994</v>
      </c>
      <c r="F39" s="115">
        <f ca="1">IF(($B39-C39*IF(ISBLANK(Design!$B$43),Constants!$C$6,Design!$B$43)/1000*(1+Constants!$C$36/100*(N39-25))-Design!$C$29)/(IF(ISBLANK(Design!$B$42),Design!$B$40,Design!$B$42)/1000000)*E39/100/(IF(ISBLANK(Design!$B$33),Design!$B$32,Design!$B$33)*1000000)&lt;0, 0, ($B39-C39*IF(ISBLANK(Design!$B$43),Constants!$C$6,Design!$B$43)/1000*(1+Constants!$C$36/100*(N39-25))-Design!$C$29)/(IF(ISBLANK(Design!$B$42),Design!$B$40,Design!$B$42)/1000000)*E39/100/(IF(ISBLANK(Design!$B$33),Design!$B$32,Design!$B$33)*1000000))</f>
        <v>0</v>
      </c>
      <c r="G39" s="165">
        <f>B39*Constants!$C$21/1000+IF(ISBLANK(Design!$B$33),Design!$B$32,Design!$B$33)*1000000*Constants!$D$25/1000000000*(B39-Constants!$C$24)</f>
        <v>1.0071874999999999E-2</v>
      </c>
      <c r="H39" s="165">
        <f>B39*C39*(B39/(Constants!$C$26*1000000000)*IF(ISBLANK(Design!$B$33),Design!$B$32,Design!$B$33)*1000000/2+B39/(Constants!$C$27*1000000000)*IF(ISBLANK(Design!$B$33),Design!$B$32,Design!$B$33)*1000000/2)</f>
        <v>3.5462044270833319E-2</v>
      </c>
      <c r="I39" s="165">
        <f t="shared" ca="1" si="0"/>
        <v>2.0522008515780206</v>
      </c>
      <c r="J39" s="165">
        <f>Constants!$D$25/1000000000*Constants!$C$24*IF(ISBLANK(Design!$B$33),Design!$B$32,Design!$B$33)*1000000</f>
        <v>1.0624999999999999E-2</v>
      </c>
      <c r="K39" s="165">
        <f t="shared" ca="1" si="4"/>
        <v>2.1083597708488542</v>
      </c>
      <c r="L39" s="165">
        <f t="shared" ca="1" si="5"/>
        <v>1.2847356311526436E-2</v>
      </c>
      <c r="M39" s="166">
        <f ca="1">A39+L39*Design!$B$19</f>
        <v>85.732299309757011</v>
      </c>
      <c r="N39" s="166">
        <f ca="1">K39*Design!$C$12+A39</f>
        <v>156.68423220886103</v>
      </c>
      <c r="O39" s="166">
        <f ca="1">Constants!$D$22+Constants!$D$22*Constants!$C$23/100*(N39-25)</f>
        <v>230.34738576708884</v>
      </c>
      <c r="P39" s="165">
        <f ca="1">IF(100*(Design!$C$29+D39+C39*IF(ISBLANK(Design!$B$43),Constants!$C$6,Design!$B$43)/1000*(1+Constants!$C$36/100*(N39-25)))/($B39+D39-C39*O39/1000)&gt;Design!$C$36,  (1-Constants!$C$20/1000000000*IF(ISBLANK(Design!$B$33),Design!$B$32/4,Design!$B$33/4)*1000000) * ($B39+D39-C39*O39/1000) - (D39+C39*(1+($A39-25)*Constants!$C$36/100)*IF(ISBLANK(Design!$B$43),Constants!$C$6/1000,Design!$B$43/1000)),   (1-Constants!$C$20/1000000000*IF(ISBLANK(Design!$B$33),Design!$B$32,Design!$B$33)*1000000) * ($B39+D39-C39*O39/1000) - (D39+C39*(1+($A39-25)*Constants!$C$36/100)*IF(ISBLANK(Design!$B$43),Constants!$C$6/1000,Design!$B$43/1000)) )</f>
        <v>3.5931850661201508</v>
      </c>
      <c r="Q39" s="171">
        <f ca="1">IF(P39&gt;Design!$C$29,Design!$C$29,P39)</f>
        <v>3.5931850661201508</v>
      </c>
      <c r="R39" s="181">
        <f>2*Design!$D$7/3</f>
        <v>2</v>
      </c>
      <c r="S39" s="116">
        <f ca="1">FORECAST(R39, OFFSET(Design!$C$15:$C$17,MATCH(R39,Design!$B$15:$B$17,1)-1,0,2), OFFSET(Design!$B$15:$B$17,MATCH(R39,Design!$B$15:$B$17,1)-1,0,2))+(AB39-25)*Design!$B$18/1000</f>
        <v>0.39954025402394783</v>
      </c>
      <c r="T39" s="182">
        <f ca="1">IF(100*(Design!$C$29+S39+R39*IF(ISBLANK(Design!$B$43),Constants!$C$6,Design!$B$43)/1000*(1+Constants!$C$36/100*(AC39-25)))/($B39+S39-R39*AD39/1000)&gt;Design!$C$36,Design!$C$37,100*(Design!$C$29+S39+R39*IF(ISBLANK(Design!$B$43),Constants!$C$6,Design!$B$43)/1000*(1+Constants!$C$36/100*(AC39-25)))/($B39+S39-R39*AD39/1000))</f>
        <v>98.990624999999994</v>
      </c>
      <c r="U39" s="117">
        <f ca="1">IF(($B39-R39*IF(ISBLANK(Design!$B$43),Constants!$C$6,Design!$B$43)/1000*(1+Constants!$C$36/100*(AC39-25))-Design!$C$29)/(Design!$B$42/1000000)*T39/100/(IF(ISBLANK(IF(ISBLANK(Design!$B$42),Design!$B$40,Design!$B$42)),Design!$B$32,Design!$B$33)*1000000)&lt;0,0,($B39-R39*IF(ISBLANK(Design!$B$43),Constants!$C$6,Design!$B$43)/1000*(1+Constants!$C$36/100*(AC39-25))-Design!$C$29)/(IF(ISBLANK(Design!$B$42),Design!$B$40,Design!$B$42)/1000000)*T39/100/(IF(ISBLANK(Design!$B$33),Design!$B$32,Design!$B$33)*1000000))</f>
        <v>0</v>
      </c>
      <c r="V39" s="183">
        <f>$B39*Constants!$C$21/1000+IF(ISBLANK(Design!$B$33),Design!$B$32,Design!$B$33)*1000000*Constants!$D$25/1000000000*($B39-Constants!$C$24)</f>
        <v>1.0071874999999999E-2</v>
      </c>
      <c r="W39" s="183">
        <f>$B39*R39*($B39/(Constants!$C$26*1000000000)*IF(ISBLANK(Design!$B$33),Design!$B$32,Design!$B$33)*1000000/2+$B39/(Constants!$C$27*1000000000)*IF(ISBLANK(Design!$B$33),Design!$B$32,Design!$B$33)*1000000/2)</f>
        <v>2.3641362847222215E-2</v>
      </c>
      <c r="X39" s="183">
        <f t="shared" ca="1" si="1"/>
        <v>0.77304922617234229</v>
      </c>
      <c r="Y39" s="183">
        <f>Constants!$D$25/1000000000*Constants!$C$24*IF(ISBLANK(Design!$B$33),Design!$B$32,Design!$B$33)*1000000</f>
        <v>1.0624999999999999E-2</v>
      </c>
      <c r="Z39" s="183">
        <f t="shared" ca="1" si="10"/>
        <v>0.81738746401956452</v>
      </c>
      <c r="AA39" s="183">
        <f t="shared" ca="1" si="7"/>
        <v>8.065718878108457E-3</v>
      </c>
      <c r="AB39" s="184">
        <f ca="1">$A39+AA39*Design!$B$19</f>
        <v>85.459745976052176</v>
      </c>
      <c r="AC39" s="184">
        <f ca="1">Z39*Design!$C$12+$A39</f>
        <v>112.79117377666519</v>
      </c>
      <c r="AD39" s="184">
        <f ca="1">Constants!$D$22+Constants!$D$22*Constants!$C$23/100*(AC39-25)</f>
        <v>195.23293902133216</v>
      </c>
      <c r="AE39" s="183">
        <f ca="1">IF(100*(Design!$C$29+S39+R39*IF(ISBLANK(Design!$B$43),Constants!$C$6,Design!$B$43)/1000*(1+Constants!$C$36/100*(AC39-25)))/($B39+S39-R39*AD39/1000)&gt;Design!$C$36,  (1-Constants!$C$20/1000000000*IF(ISBLANK(Design!$B$33),Design!$B$32/4,Design!$B$33/4)*1000000) * ($B39+S39-R39*AD39/1000) - (S39+R39*(1+($A39-25)*Constants!$C$36/100)*IF(ISBLANK(Design!$B$43),Constants!$C$6/1000,Design!$B$43/1000)),   (1-Constants!$C$20/1000000000*IF(ISBLANK(Design!$B$33),Design!$B$32,Design!$B$33)*1000000) * ($B39+S39-R39*AD39/1000) - (S39+R39*(1+($A39-25)*Constants!$C$36/100)*IF(ISBLANK(Design!$B$43),Constants!$C$6/1000,Design!$B$43/1000)) )</f>
        <v>3.9404089962247739</v>
      </c>
      <c r="AF39" s="117">
        <f ca="1">IF(AE39&gt;Design!$C$29,Design!$C$29,AE39)</f>
        <v>3.9404089962247739</v>
      </c>
      <c r="AG39" s="118">
        <f>Design!$D$7/3</f>
        <v>1</v>
      </c>
      <c r="AH39" s="118">
        <f ca="1">FORECAST(AG39, OFFSET(Design!$C$15:$C$17,MATCH(AG39,Design!$B$15:$B$17,1)-1,0,2), OFFSET(Design!$B$15:$B$17,MATCH(AG39,Design!$B$15:$B$17,1)-1,0,2))+(AQ39-25)*Design!$B$18/1000</f>
        <v>0.32203694028136221</v>
      </c>
      <c r="AI39" s="194">
        <f ca="1">IF(100*(Design!$C$29+AH39+AG39*IF(ISBLANK(Design!$B$43),Constants!$C$6,Design!$B$43)/1000*(1+Constants!$C$36/100*(AR39-25)))/($B39+AH39-AG39*AS39/1000)&gt;Design!$C$36,Design!$C$37,100*(Design!$C$29+AH39+AG39*IF(ISBLANK(Design!$B$43),Constants!$C$6,Design!$B$43)/1000*(1+Constants!$C$36/100*(AR39-25)))/($B39+AH39-AG39*AS39/1000))</f>
        <v>98.990624999999994</v>
      </c>
      <c r="AJ39" s="119">
        <f ca="1">IF(($B39-AG39*IF(ISBLANK(Design!$B$43),Constants!$C$6,Design!$B$43)/1000*(1+Constants!$C$36/100*(AR39-25))-Design!$C$29)/(IF(ISBLANK(Design!$B$42),Design!$B$40,Design!$B$42)/1000000)*AI39/100/(IF(ISBLANK(Design!$B$33),Design!$B$32,Design!$B$33)*1000000)&lt;0,0,($B39-AG39*IF(ISBLANK(Design!$B$43),Constants!$C$6,Design!$B$43)/1000*(1+Constants!$C$36/100*(AR39-25))-Design!$C$29)/(IF(ISBLANK(Design!$B$42),Design!$B$40,Design!$B$42)/1000000)*AI39/100/(IF(ISBLANK(Design!$B$33),Design!$B$32,Design!$B$33)*1000000))</f>
        <v>0</v>
      </c>
      <c r="AK39" s="195">
        <f>$B39*Constants!$C$21/1000+IF(ISBLANK(Design!$B$33),Design!$B$32,Design!$B$33)*1000000*Constants!$D$25/1000000000*($B39-Constants!$C$24)</f>
        <v>1.0071874999999999E-2</v>
      </c>
      <c r="AL39" s="195">
        <f>$B39*AG39*($B39/(Constants!$C$26*1000000000)*IF(ISBLANK(Design!$B$33),Design!$B$32,Design!$B$33)*1000000/2+$B39/(Constants!$C$27*1000000000)*IF(ISBLANK(Design!$B$33),Design!$B$32,Design!$B$33)*1000000/2)</f>
        <v>1.1820681423611108E-2</v>
      </c>
      <c r="AM39" s="195">
        <f t="shared" ca="1" si="2"/>
        <v>0.17689223409409496</v>
      </c>
      <c r="AN39" s="195">
        <f>Constants!$D$25/1000000000*Constants!$C$24*IF(ISBLANK(Design!$B$33),Design!$B$32,Design!$B$33)*1000000</f>
        <v>1.0624999999999999E-2</v>
      </c>
      <c r="AO39" s="195">
        <f t="shared" ca="1" si="11"/>
        <v>0.20940979051770606</v>
      </c>
      <c r="AP39" s="195">
        <f t="shared" ca="1" si="9"/>
        <v>3.250560365965004E-3</v>
      </c>
      <c r="AQ39" s="196">
        <f ca="1">$A39+AP39*Design!$B$19</f>
        <v>85.185281940860008</v>
      </c>
      <c r="AR39" s="196">
        <f ca="1">AO39*Design!$C$12+$A39</f>
        <v>92.119932877602011</v>
      </c>
      <c r="AS39" s="196">
        <f ca="1">Constants!$D$22+Constants!$D$22*Constants!$C$23/100*(AR39-25)</f>
        <v>178.69594630208161</v>
      </c>
      <c r="AT39" s="195">
        <f ca="1">IF(100*(Design!$C$29+AH39+AG39*IF(ISBLANK(Design!$B$43),Constants!$C$6,Design!$B$43)/1000*(1+Constants!$C$36/100*(AR39-25)))/($B39+AH39-AG39*AS39/1000)&gt;Design!$C$36,  (1-Constants!$C$20/1000000000*IF(ISBLANK(Design!$B$33),Design!$B$32/4,Design!$B$33/4)*1000000) * ($B39+AH39-AG39*AS39/1000) - (AH39+AG39*(1+($A39-25)*Constants!$C$36/100)*IF(ISBLANK(Design!$B$43),Constants!$C$6/1000,Design!$B$43/1000)),   (1-Constants!$C$20/1000000000*IF(ISBLANK(Design!$B$33),Design!$B$32,Design!$B$33)*1000000) * ($B39+AH39-AG39*AS39/1000) - (AH39+AG39*(1+($A39-25)*Constants!$C$36/100)*IF(ISBLANK(Design!$B$43),Constants!$C$6/1000,Design!$B$43/1000)) )</f>
        <v>4.2002556742899397</v>
      </c>
      <c r="AU39" s="119">
        <f ca="1">IF(AT39&gt;Design!$C$29,Design!$C$29,AT39)</f>
        <v>4.2002556742899397</v>
      </c>
    </row>
    <row r="40" spans="1:47" s="120" customFormat="1" ht="12.75" customHeight="1" x14ac:dyDescent="0.2">
      <c r="A40" s="112">
        <f>Design!$D$13</f>
        <v>85</v>
      </c>
      <c r="B40" s="113">
        <f t="shared" si="3"/>
        <v>4.26</v>
      </c>
      <c r="C40" s="114">
        <f>Design!$D$7</f>
        <v>3</v>
      </c>
      <c r="D40" s="114">
        <f ca="1">FORECAST(C40, OFFSET(Design!$C$15:$C$17,MATCH(C40,Design!$B$15:$B$17,1)-1,0,2), OFFSET(Design!$B$15:$B$17,MATCH(C40,Design!$B$15:$B$17,1)-1,0,2))+(M40-25)*Design!$B$18/1000</f>
        <v>0.424267700690243</v>
      </c>
      <c r="E40" s="173">
        <f ca="1">IF(100*(Design!$C$29+D40+C40*IF(ISBLANK(Design!$B$43),Constants!$C$6,Design!$B$43)/1000*(1+Constants!$C$36/100*(N40-25)))/($B40+D40-C40*O40/1000)&gt;Design!$C$36,Design!$C$37,100*(Design!$C$29+D40+C40*IF(ISBLANK(Design!$B$43),Constants!$C$6,Design!$B$43)/1000*(1+Constants!$C$36/100*(N40-25)))/($B40+D40-C40*O40/1000))</f>
        <v>98.990624999999994</v>
      </c>
      <c r="F40" s="115">
        <f ca="1">IF(($B40-C40*IF(ISBLANK(Design!$B$43),Constants!$C$6,Design!$B$43)/1000*(1+Constants!$C$36/100*(N40-25))-Design!$C$29)/(IF(ISBLANK(Design!$B$42),Design!$B$40,Design!$B$42)/1000000)*E40/100/(IF(ISBLANK(Design!$B$33),Design!$B$32,Design!$B$33)*1000000)&lt;0, 0, ($B40-C40*IF(ISBLANK(Design!$B$43),Constants!$C$6,Design!$B$43)/1000*(1+Constants!$C$36/100*(N40-25))-Design!$C$29)/(IF(ISBLANK(Design!$B$42),Design!$B$40,Design!$B$42)/1000000)*E40/100/(IF(ISBLANK(Design!$B$33),Design!$B$32,Design!$B$33)*1000000))</f>
        <v>0</v>
      </c>
      <c r="G40" s="165">
        <f>B40*Constants!$C$21/1000+IF(ISBLANK(Design!$B$33),Design!$B$32,Design!$B$33)*1000000*Constants!$D$25/1000000000*(B40-Constants!$C$24)</f>
        <v>9.077499999999997E-3</v>
      </c>
      <c r="H40" s="165">
        <f>B40*C40*(B40/(Constants!$C$26*1000000000)*IF(ISBLANK(Design!$B$33),Design!$B$32,Design!$B$33)*1000000/2+B40/(Constants!$C$27*1000000000)*IF(ISBLANK(Design!$B$33),Design!$B$32,Design!$B$33)*1000000/2)</f>
        <v>3.2136374999999995E-2</v>
      </c>
      <c r="I40" s="165">
        <f t="shared" ca="1" si="0"/>
        <v>2.0508191538580416</v>
      </c>
      <c r="J40" s="165">
        <f>Constants!$D$25/1000000000*Constants!$C$24*IF(ISBLANK(Design!$B$33),Design!$B$32,Design!$B$33)*1000000</f>
        <v>1.0624999999999999E-2</v>
      </c>
      <c r="K40" s="165">
        <f t="shared" ca="1" si="4"/>
        <v>2.1026580288580417</v>
      </c>
      <c r="L40" s="165">
        <f t="shared" ca="1" si="5"/>
        <v>1.2847356311526436E-2</v>
      </c>
      <c r="M40" s="166">
        <f ca="1">A40+L40*Design!$B$19</f>
        <v>85.732299309757011</v>
      </c>
      <c r="N40" s="166">
        <f ca="1">K40*Design!$C$12+A40</f>
        <v>156.49037298117344</v>
      </c>
      <c r="O40" s="166">
        <f ca="1">Constants!$D$22+Constants!$D$22*Constants!$C$23/100*(N40-25)</f>
        <v>230.19229838493874</v>
      </c>
      <c r="P40" s="165">
        <f ca="1">IF(100*(Design!$C$29+D40+C40*IF(ISBLANK(Design!$B$43),Constants!$C$6,Design!$B$43)/1000*(1+Constants!$C$36/100*(N40-25)))/($B40+D40-C40*O40/1000)&gt;Design!$C$36,  (1-Constants!$C$20/1000000000*IF(ISBLANK(Design!$B$33),Design!$B$32/4,Design!$B$33/4)*1000000) * ($B40+D40-C40*O40/1000) - (D40+C40*(1+($A40-25)*Constants!$C$36/100)*IF(ISBLANK(Design!$B$43),Constants!$C$6/1000,Design!$B$43/1000)),   (1-Constants!$C$20/1000000000*IF(ISBLANK(Design!$B$33),Design!$B$32,Design!$B$33)*1000000) * ($B40+D40-C40*O40/1000) - (D40+C40*(1+($A40-25)*Constants!$C$36/100)*IF(ISBLANK(Design!$B$43),Constants!$C$6/1000,Design!$B$43/1000)) )</f>
        <v>3.3808157882768106</v>
      </c>
      <c r="Q40" s="171">
        <f ca="1">IF(P40&gt;Design!$C$29,Design!$C$29,P40)</f>
        <v>3.3808157882768106</v>
      </c>
      <c r="R40" s="181">
        <f>2*Design!$D$7/3</f>
        <v>2</v>
      </c>
      <c r="S40" s="116">
        <f ca="1">FORECAST(R40, OFFSET(Design!$C$15:$C$17,MATCH(R40,Design!$B$15:$B$17,1)-1,0,2), OFFSET(Design!$B$15:$B$17,MATCH(R40,Design!$B$15:$B$17,1)-1,0,2))+(AB40-25)*Design!$B$18/1000</f>
        <v>0.39954025402394783</v>
      </c>
      <c r="T40" s="182">
        <f ca="1">IF(100*(Design!$C$29+S40+R40*IF(ISBLANK(Design!$B$43),Constants!$C$6,Design!$B$43)/1000*(1+Constants!$C$36/100*(AC40-25)))/($B40+S40-R40*AD40/1000)&gt;Design!$C$36,Design!$C$37,100*(Design!$C$29+S40+R40*IF(ISBLANK(Design!$B$43),Constants!$C$6,Design!$B$43)/1000*(1+Constants!$C$36/100*(AC40-25)))/($B40+S40-R40*AD40/1000))</f>
        <v>98.990624999999994</v>
      </c>
      <c r="U40" s="117">
        <f ca="1">IF(($B40-R40*IF(ISBLANK(Design!$B$43),Constants!$C$6,Design!$B$43)/1000*(1+Constants!$C$36/100*(AC40-25))-Design!$C$29)/(Design!$B$42/1000000)*T40/100/(IF(ISBLANK(IF(ISBLANK(Design!$B$42),Design!$B$40,Design!$B$42)),Design!$B$32,Design!$B$33)*1000000)&lt;0,0,($B40-R40*IF(ISBLANK(Design!$B$43),Constants!$C$6,Design!$B$43)/1000*(1+Constants!$C$36/100*(AC40-25))-Design!$C$29)/(IF(ISBLANK(Design!$B$42),Design!$B$40,Design!$B$42)/1000000)*T40/100/(IF(ISBLANK(Design!$B$33),Design!$B$32,Design!$B$33)*1000000))</f>
        <v>0</v>
      </c>
      <c r="V40" s="183">
        <f>$B40*Constants!$C$21/1000+IF(ISBLANK(Design!$B$33),Design!$B$32,Design!$B$33)*1000000*Constants!$D$25/1000000000*($B40-Constants!$C$24)</f>
        <v>9.077499999999997E-3</v>
      </c>
      <c r="W40" s="183">
        <f>$B40*R40*($B40/(Constants!$C$26*1000000000)*IF(ISBLANK(Design!$B$33),Design!$B$32,Design!$B$33)*1000000/2+$B40/(Constants!$C$27*1000000000)*IF(ISBLANK(Design!$B$33),Design!$B$32,Design!$B$33)*1000000/2)</f>
        <v>2.1424249999999995E-2</v>
      </c>
      <c r="X40" s="183">
        <f t="shared" ca="1" si="1"/>
        <v>0.77266159452428562</v>
      </c>
      <c r="Y40" s="183">
        <f>Constants!$D$25/1000000000*Constants!$C$24*IF(ISBLANK(Design!$B$33),Design!$B$32,Design!$B$33)*1000000</f>
        <v>1.0624999999999999E-2</v>
      </c>
      <c r="Z40" s="183">
        <f t="shared" ca="1" si="10"/>
        <v>0.81378834452428561</v>
      </c>
      <c r="AA40" s="183">
        <f t="shared" ca="1" si="7"/>
        <v>8.065718878108457E-3</v>
      </c>
      <c r="AB40" s="184">
        <f ca="1">$A40+AA40*Design!$B$19</f>
        <v>85.459745976052176</v>
      </c>
      <c r="AC40" s="184">
        <f ca="1">Z40*Design!$C$12+$A40</f>
        <v>112.66880371382571</v>
      </c>
      <c r="AD40" s="184">
        <f ca="1">Constants!$D$22+Constants!$D$22*Constants!$C$23/100*(AC40-25)</f>
        <v>195.13504297106056</v>
      </c>
      <c r="AE40" s="183">
        <f ca="1">IF(100*(Design!$C$29+S40+R40*IF(ISBLANK(Design!$B$43),Constants!$C$6,Design!$B$43)/1000*(1+Constants!$C$36/100*(AC40-25)))/($B40+S40-R40*AD40/1000)&gt;Design!$C$36,  (1-Constants!$C$20/1000000000*IF(ISBLANK(Design!$B$33),Design!$B$32/4,Design!$B$33/4)*1000000) * ($B40+S40-R40*AD40/1000) - (S40+R40*(1+($A40-25)*Constants!$C$36/100)*IF(ISBLANK(Design!$B$43),Constants!$C$6/1000,Design!$B$43/1000)),   (1-Constants!$C$20/1000000000*IF(ISBLANK(Design!$B$33),Design!$B$32,Design!$B$33)*1000000) * ($B40+S40-R40*AD40/1000) - (S40+R40*(1+($A40-25)*Constants!$C$36/100)*IF(ISBLANK(Design!$B$43),Constants!$C$6/1000,Design!$B$43/1000)) )</f>
        <v>3.7277729682988023</v>
      </c>
      <c r="AF40" s="117">
        <f ca="1">IF(AE40&gt;Design!$C$29,Design!$C$29,AE40)</f>
        <v>3.7277729682988023</v>
      </c>
      <c r="AG40" s="118">
        <f>Design!$D$7/3</f>
        <v>1</v>
      </c>
      <c r="AH40" s="118">
        <f ca="1">FORECAST(AG40, OFFSET(Design!$C$15:$C$17,MATCH(AG40,Design!$B$15:$B$17,1)-1,0,2), OFFSET(Design!$B$15:$B$17,MATCH(AG40,Design!$B$15:$B$17,1)-1,0,2))+(AQ40-25)*Design!$B$18/1000</f>
        <v>0.32203694028136221</v>
      </c>
      <c r="AI40" s="194">
        <f ca="1">IF(100*(Design!$C$29+AH40+AG40*IF(ISBLANK(Design!$B$43),Constants!$C$6,Design!$B$43)/1000*(1+Constants!$C$36/100*(AR40-25)))/($B40+AH40-AG40*AS40/1000)&gt;Design!$C$36,Design!$C$37,100*(Design!$C$29+AH40+AG40*IF(ISBLANK(Design!$B$43),Constants!$C$6,Design!$B$43)/1000*(1+Constants!$C$36/100*(AR40-25)))/($B40+AH40-AG40*AS40/1000))</f>
        <v>98.990624999999994</v>
      </c>
      <c r="AJ40" s="119">
        <f ca="1">IF(($B40-AG40*IF(ISBLANK(Design!$B$43),Constants!$C$6,Design!$B$43)/1000*(1+Constants!$C$36/100*(AR40-25))-Design!$C$29)/(IF(ISBLANK(Design!$B$42),Design!$B$40,Design!$B$42)/1000000)*AI40/100/(IF(ISBLANK(Design!$B$33),Design!$B$32,Design!$B$33)*1000000)&lt;0,0,($B40-AG40*IF(ISBLANK(Design!$B$43),Constants!$C$6,Design!$B$43)/1000*(1+Constants!$C$36/100*(AR40-25))-Design!$C$29)/(IF(ISBLANK(Design!$B$42),Design!$B$40,Design!$B$42)/1000000)*AI40/100/(IF(ISBLANK(Design!$B$33),Design!$B$32,Design!$B$33)*1000000))</f>
        <v>0</v>
      </c>
      <c r="AK40" s="195">
        <f>$B40*Constants!$C$21/1000+IF(ISBLANK(Design!$B$33),Design!$B$32,Design!$B$33)*1000000*Constants!$D$25/1000000000*($B40-Constants!$C$24)</f>
        <v>9.077499999999997E-3</v>
      </c>
      <c r="AL40" s="195">
        <f>$B40*AG40*($B40/(Constants!$C$26*1000000000)*IF(ISBLANK(Design!$B$33),Design!$B$32,Design!$B$33)*1000000/2+$B40/(Constants!$C$27*1000000000)*IF(ISBLANK(Design!$B$33),Design!$B$32,Design!$B$33)*1000000/2)</f>
        <v>1.0712124999999998E-2</v>
      </c>
      <c r="AM40" s="195">
        <f t="shared" ca="1" si="2"/>
        <v>0.17683404495031366</v>
      </c>
      <c r="AN40" s="195">
        <f>Constants!$D$25/1000000000*Constants!$C$24*IF(ISBLANK(Design!$B$33),Design!$B$32,Design!$B$33)*1000000</f>
        <v>1.0624999999999999E-2</v>
      </c>
      <c r="AO40" s="195">
        <f t="shared" ca="1" si="11"/>
        <v>0.20724866995031366</v>
      </c>
      <c r="AP40" s="195">
        <f t="shared" ca="1" si="9"/>
        <v>3.250560365965004E-3</v>
      </c>
      <c r="AQ40" s="196">
        <f ca="1">$A40+AP40*Design!$B$19</f>
        <v>85.185281940860008</v>
      </c>
      <c r="AR40" s="196">
        <f ca="1">AO40*Design!$C$12+$A40</f>
        <v>92.046454778310661</v>
      </c>
      <c r="AS40" s="196">
        <f ca="1">Constants!$D$22+Constants!$D$22*Constants!$C$23/100*(AR40-25)</f>
        <v>178.63716382264852</v>
      </c>
      <c r="AT40" s="195">
        <f ca="1">IF(100*(Design!$C$29+AH40+AG40*IF(ISBLANK(Design!$B$43),Constants!$C$6,Design!$B$43)/1000*(1+Constants!$C$36/100*(AR40-25)))/($B40+AH40-AG40*AS40/1000)&gt;Design!$C$36,  (1-Constants!$C$20/1000000000*IF(ISBLANK(Design!$B$33),Design!$B$32/4,Design!$B$33/4)*1000000) * ($B40+AH40-AG40*AS40/1000) - (AH40+AG40*(1+($A40-25)*Constants!$C$36/100)*IF(ISBLANK(Design!$B$43),Constants!$C$6/1000,Design!$B$43/1000)),   (1-Constants!$C$20/1000000000*IF(ISBLANK(Design!$B$33),Design!$B$32,Design!$B$33)*1000000) * ($B40+AH40-AG40*AS40/1000) - (AH40+AG40*(1+($A40-25)*Constants!$C$36/100)*IF(ISBLANK(Design!$B$43),Constants!$C$6/1000,Design!$B$43/1000)) )</f>
        <v>3.9874840196837207</v>
      </c>
      <c r="AU40" s="119">
        <f ca="1">IF(AT40&gt;Design!$C$29,Design!$C$29,AT40)</f>
        <v>3.9874840196837207</v>
      </c>
    </row>
    <row r="41" spans="1:47" s="120" customFormat="1" ht="12.75" customHeight="1" x14ac:dyDescent="0.2">
      <c r="A41" s="112">
        <f>Design!$D$13</f>
        <v>85</v>
      </c>
      <c r="B41" s="113">
        <f t="shared" si="3"/>
        <v>4.0449999999999999</v>
      </c>
      <c r="C41" s="114">
        <f>Design!$D$7</f>
        <v>3</v>
      </c>
      <c r="D41" s="114">
        <f ca="1">FORECAST(C41, OFFSET(Design!$C$15:$C$17,MATCH(C41,Design!$B$15:$B$17,1)-1,0,2), OFFSET(Design!$B$15:$B$17,MATCH(C41,Design!$B$15:$B$17,1)-1,0,2))+(M41-25)*Design!$B$18/1000</f>
        <v>0.424267700690243</v>
      </c>
      <c r="E41" s="173">
        <f ca="1">IF(100*(Design!$C$29+D41+C41*IF(ISBLANK(Design!$B$43),Constants!$C$6,Design!$B$43)/1000*(1+Constants!$C$36/100*(N41-25)))/($B41+D41-C41*O41/1000)&gt;Design!$C$36,Design!$C$37,100*(Design!$C$29+D41+C41*IF(ISBLANK(Design!$B$43),Constants!$C$6,Design!$B$43)/1000*(1+Constants!$C$36/100*(N41-25)))/($B41+D41-C41*O41/1000))</f>
        <v>98.990624999999994</v>
      </c>
      <c r="F41" s="115">
        <f ca="1">IF(($B41-C41*IF(ISBLANK(Design!$B$43),Constants!$C$6,Design!$B$43)/1000*(1+Constants!$C$36/100*(N41-25))-Design!$C$29)/(IF(ISBLANK(Design!$B$42),Design!$B$40,Design!$B$42)/1000000)*E41/100/(IF(ISBLANK(Design!$B$33),Design!$B$32,Design!$B$33)*1000000)&lt;0, 0, ($B41-C41*IF(ISBLANK(Design!$B$43),Constants!$C$6,Design!$B$43)/1000*(1+Constants!$C$36/100*(N41-25))-Design!$C$29)/(IF(ISBLANK(Design!$B$42),Design!$B$40,Design!$B$42)/1000000)*E41/100/(IF(ISBLANK(Design!$B$33),Design!$B$32,Design!$B$33)*1000000))</f>
        <v>0</v>
      </c>
      <c r="G41" s="165">
        <f>B41*Constants!$C$21/1000+IF(ISBLANK(Design!$B$33),Design!$B$32,Design!$B$33)*1000000*Constants!$D$25/1000000000*(B41-Constants!$C$24)</f>
        <v>8.083125E-3</v>
      </c>
      <c r="H41" s="165">
        <f>B41*C41*(B41/(Constants!$C$26*1000000000)*IF(ISBLANK(Design!$B$33),Design!$B$32,Design!$B$33)*1000000/2+B41/(Constants!$C$27*1000000000)*IF(ISBLANK(Design!$B$33),Design!$B$32,Design!$B$33)*1000000/2)</f>
        <v>2.8974419270833336E-2</v>
      </c>
      <c r="I41" s="165">
        <f t="shared" ca="1" si="0"/>
        <v>2.0494898173207434</v>
      </c>
      <c r="J41" s="165">
        <f>Constants!$D$25/1000000000*Constants!$C$24*IF(ISBLANK(Design!$B$33),Design!$B$32,Design!$B$33)*1000000</f>
        <v>1.0624999999999999E-2</v>
      </c>
      <c r="K41" s="165">
        <f t="shared" ca="1" si="4"/>
        <v>2.0971723615915767</v>
      </c>
      <c r="L41" s="165">
        <f t="shared" ca="1" si="5"/>
        <v>1.2847356311526436E-2</v>
      </c>
      <c r="M41" s="166">
        <f ca="1">A41+L41*Design!$B$19</f>
        <v>85.732299309757011</v>
      </c>
      <c r="N41" s="166">
        <f ca="1">K41*Design!$C$12+A41</f>
        <v>156.3038602941136</v>
      </c>
      <c r="O41" s="166">
        <f ca="1">Constants!$D$22+Constants!$D$22*Constants!$C$23/100*(N41-25)</f>
        <v>230.0430882352909</v>
      </c>
      <c r="P41" s="165">
        <f ca="1">IF(100*(Design!$C$29+D41+C41*IF(ISBLANK(Design!$B$43),Constants!$C$6,Design!$B$43)/1000*(1+Constants!$C$36/100*(N41-25)))/($B41+D41-C41*O41/1000)&gt;Design!$C$36,  (1-Constants!$C$20/1000000000*IF(ISBLANK(Design!$B$33),Design!$B$32/4,Design!$B$33/4)*1000000) * ($B41+D41-C41*O41/1000) - (D41+C41*(1+($A41-25)*Constants!$C$36/100)*IF(ISBLANK(Design!$B$43),Constants!$C$6/1000,Design!$B$43/1000)),   (1-Constants!$C$20/1000000000*IF(ISBLANK(Design!$B$33),Design!$B$32,Design!$B$33)*1000000) * ($B41+D41-C41*O41/1000) - (D41+C41*(1+($A41-25)*Constants!$C$36/100)*IF(ISBLANK(Design!$B$43),Constants!$C$6/1000,Design!$B$43/1000)) )</f>
        <v>3.1684290567059104</v>
      </c>
      <c r="Q41" s="171">
        <f ca="1">IF(P41&gt;Design!$C$29,Design!$C$29,P41)</f>
        <v>3.1684290567059104</v>
      </c>
      <c r="R41" s="181">
        <f>2*Design!$D$7/3</f>
        <v>2</v>
      </c>
      <c r="S41" s="116">
        <f ca="1">FORECAST(R41, OFFSET(Design!$C$15:$C$17,MATCH(R41,Design!$B$15:$B$17,1)-1,0,2), OFFSET(Design!$B$15:$B$17,MATCH(R41,Design!$B$15:$B$17,1)-1,0,2))+(AB41-25)*Design!$B$18/1000</f>
        <v>0.39954025402394783</v>
      </c>
      <c r="T41" s="182">
        <f ca="1">IF(100*(Design!$C$29+S41+R41*IF(ISBLANK(Design!$B$43),Constants!$C$6,Design!$B$43)/1000*(1+Constants!$C$36/100*(AC41-25)))/($B41+S41-R41*AD41/1000)&gt;Design!$C$36,Design!$C$37,100*(Design!$C$29+S41+R41*IF(ISBLANK(Design!$B$43),Constants!$C$6,Design!$B$43)/1000*(1+Constants!$C$36/100*(AC41-25)))/($B41+S41-R41*AD41/1000))</f>
        <v>98.990624999999994</v>
      </c>
      <c r="U41" s="117">
        <f ca="1">IF(($B41-R41*IF(ISBLANK(Design!$B$43),Constants!$C$6,Design!$B$43)/1000*(1+Constants!$C$36/100*(AC41-25))-Design!$C$29)/(Design!$B$42/1000000)*T41/100/(IF(ISBLANK(IF(ISBLANK(Design!$B$42),Design!$B$40,Design!$B$42)),Design!$B$32,Design!$B$33)*1000000)&lt;0,0,($B41-R41*IF(ISBLANK(Design!$B$43),Constants!$C$6,Design!$B$43)/1000*(1+Constants!$C$36/100*(AC41-25))-Design!$C$29)/(IF(ISBLANK(Design!$B$42),Design!$B$40,Design!$B$42)/1000000)*T41/100/(IF(ISBLANK(Design!$B$33),Design!$B$32,Design!$B$33)*1000000))</f>
        <v>0</v>
      </c>
      <c r="V41" s="183">
        <f>$B41*Constants!$C$21/1000+IF(ISBLANK(Design!$B$33),Design!$B$32,Design!$B$33)*1000000*Constants!$D$25/1000000000*($B41-Constants!$C$24)</f>
        <v>8.083125E-3</v>
      </c>
      <c r="W41" s="183">
        <f>$B41*R41*($B41/(Constants!$C$26*1000000000)*IF(ISBLANK(Design!$B$33),Design!$B$32,Design!$B$33)*1000000/2+$B41/(Constants!$C$27*1000000000)*IF(ISBLANK(Design!$B$33),Design!$B$32,Design!$B$33)*1000000/2)</f>
        <v>1.9316279513888888E-2</v>
      </c>
      <c r="X41" s="183">
        <f t="shared" ca="1" si="1"/>
        <v>0.77228713653134573</v>
      </c>
      <c r="Y41" s="183">
        <f>Constants!$D$25/1000000000*Constants!$C$24*IF(ISBLANK(Design!$B$33),Design!$B$32,Design!$B$33)*1000000</f>
        <v>1.0624999999999999E-2</v>
      </c>
      <c r="Z41" s="183">
        <f t="shared" ca="1" si="10"/>
        <v>0.81031154104523462</v>
      </c>
      <c r="AA41" s="183">
        <f t="shared" ca="1" si="7"/>
        <v>8.065718878108457E-3</v>
      </c>
      <c r="AB41" s="184">
        <f ca="1">$A41+AA41*Design!$B$19</f>
        <v>85.459745976052176</v>
      </c>
      <c r="AC41" s="184">
        <f ca="1">Z41*Design!$C$12+$A41</f>
        <v>112.55059239553798</v>
      </c>
      <c r="AD41" s="184">
        <f ca="1">Constants!$D$22+Constants!$D$22*Constants!$C$23/100*(AC41-25)</f>
        <v>195.04047391643039</v>
      </c>
      <c r="AE41" s="183">
        <f ca="1">IF(100*(Design!$C$29+S41+R41*IF(ISBLANK(Design!$B$43),Constants!$C$6,Design!$B$43)/1000*(1+Constants!$C$36/100*(AC41-25)))/($B41+S41-R41*AD41/1000)&gt;Design!$C$36,  (1-Constants!$C$20/1000000000*IF(ISBLANK(Design!$B$33),Design!$B$32/4,Design!$B$33/4)*1000000) * ($B41+S41-R41*AD41/1000) - (S41+R41*(1+($A41-25)*Constants!$C$36/100)*IF(ISBLANK(Design!$B$43),Constants!$C$6/1000,Design!$B$43/1000)),   (1-Constants!$C$20/1000000000*IF(ISBLANK(Design!$B$33),Design!$B$32,Design!$B$33)*1000000) * ($B41+S41-R41*AD41/1000) - (S41+R41*(1+($A41-25)*Constants!$C$36/100)*IF(ISBLANK(Design!$B$43),Constants!$C$6/1000,Design!$B$43/1000)) )</f>
        <v>3.5151303535452727</v>
      </c>
      <c r="AF41" s="117">
        <f ca="1">IF(AE41&gt;Design!$C$29,Design!$C$29,AE41)</f>
        <v>3.5151303535452727</v>
      </c>
      <c r="AG41" s="118">
        <f>Design!$D$7/3</f>
        <v>1</v>
      </c>
      <c r="AH41" s="118">
        <f ca="1">FORECAST(AG41, OFFSET(Design!$C$15:$C$17,MATCH(AG41,Design!$B$15:$B$17,1)-1,0,2), OFFSET(Design!$B$15:$B$17,MATCH(AG41,Design!$B$15:$B$17,1)-1,0,2))+(AQ41-25)*Design!$B$18/1000</f>
        <v>0.32203694028136221</v>
      </c>
      <c r="AI41" s="194">
        <f ca="1">IF(100*(Design!$C$29+AH41+AG41*IF(ISBLANK(Design!$B$43),Constants!$C$6,Design!$B$43)/1000*(1+Constants!$C$36/100*(AR41-25)))/($B41+AH41-AG41*AS41/1000)&gt;Design!$C$36,Design!$C$37,100*(Design!$C$29+AH41+AG41*IF(ISBLANK(Design!$B$43),Constants!$C$6,Design!$B$43)/1000*(1+Constants!$C$36/100*(AR41-25)))/($B41+AH41-AG41*AS41/1000))</f>
        <v>98.990624999999994</v>
      </c>
      <c r="AJ41" s="119">
        <f ca="1">IF(($B41-AG41*IF(ISBLANK(Design!$B$43),Constants!$C$6,Design!$B$43)/1000*(1+Constants!$C$36/100*(AR41-25))-Design!$C$29)/(IF(ISBLANK(Design!$B$42),Design!$B$40,Design!$B$42)/1000000)*AI41/100/(IF(ISBLANK(Design!$B$33),Design!$B$32,Design!$B$33)*1000000)&lt;0,0,($B41-AG41*IF(ISBLANK(Design!$B$43),Constants!$C$6,Design!$B$43)/1000*(1+Constants!$C$36/100*(AR41-25))-Design!$C$29)/(IF(ISBLANK(Design!$B$42),Design!$B$40,Design!$B$42)/1000000)*AI41/100/(IF(ISBLANK(Design!$B$33),Design!$B$32,Design!$B$33)*1000000))</f>
        <v>0</v>
      </c>
      <c r="AK41" s="195">
        <f>$B41*Constants!$C$21/1000+IF(ISBLANK(Design!$B$33),Design!$B$32,Design!$B$33)*1000000*Constants!$D$25/1000000000*($B41-Constants!$C$24)</f>
        <v>8.083125E-3</v>
      </c>
      <c r="AL41" s="195">
        <f>$B41*AG41*($B41/(Constants!$C$26*1000000000)*IF(ISBLANK(Design!$B$33),Design!$B$32,Design!$B$33)*1000000/2+$B41/(Constants!$C$27*1000000000)*IF(ISBLANK(Design!$B$33),Design!$B$32,Design!$B$33)*1000000/2)</f>
        <v>9.6581397569444442E-3</v>
      </c>
      <c r="AM41" s="195">
        <f t="shared" ca="1" si="2"/>
        <v>0.17677736581786038</v>
      </c>
      <c r="AN41" s="195">
        <f>Constants!$D$25/1000000000*Constants!$C$24*IF(ISBLANK(Design!$B$33),Design!$B$32,Design!$B$33)*1000000</f>
        <v>1.0624999999999999E-2</v>
      </c>
      <c r="AO41" s="195">
        <f t="shared" ca="1" si="11"/>
        <v>0.20514363057480484</v>
      </c>
      <c r="AP41" s="195">
        <f t="shared" ca="1" si="9"/>
        <v>3.250560365965004E-3</v>
      </c>
      <c r="AQ41" s="196">
        <f ca="1">$A41+AP41*Design!$B$19</f>
        <v>85.185281940860008</v>
      </c>
      <c r="AR41" s="196">
        <f ca="1">AO41*Design!$C$12+$A41</f>
        <v>91.974883439543362</v>
      </c>
      <c r="AS41" s="196">
        <f ca="1">Constants!$D$22+Constants!$D$22*Constants!$C$23/100*(AR41-25)</f>
        <v>178.5799067516347</v>
      </c>
      <c r="AT41" s="195">
        <f ca="1">IF(100*(Design!$C$29+AH41+AG41*IF(ISBLANK(Design!$B$43),Constants!$C$6,Design!$B$43)/1000*(1+Constants!$C$36/100*(AR41-25)))/($B41+AH41-AG41*AS41/1000)&gt;Design!$C$36,  (1-Constants!$C$20/1000000000*IF(ISBLANK(Design!$B$33),Design!$B$32/4,Design!$B$33/4)*1000000) * ($B41+AH41-AG41*AS41/1000) - (AH41+AG41*(1+($A41-25)*Constants!$C$36/100)*IF(ISBLANK(Design!$B$43),Constants!$C$6/1000,Design!$B$43/1000)),   (1-Constants!$C$20/1000000000*IF(ISBLANK(Design!$B$33),Design!$B$32,Design!$B$33)*1000000) * ($B41+AH41-AG41*AS41/1000) - (AH41+AG41*(1+($A41-25)*Constants!$C$36/100)*IF(ISBLANK(Design!$B$43),Constants!$C$6/1000,Design!$B$43/1000)) )</f>
        <v>3.7747108550661741</v>
      </c>
      <c r="AU41" s="119">
        <f ca="1">IF(AT41&gt;Design!$C$29,Design!$C$29,AT41)</f>
        <v>3.7747108550661741</v>
      </c>
    </row>
    <row r="42" spans="1:47" s="120" customFormat="1" ht="12.75" customHeight="1" x14ac:dyDescent="0.2">
      <c r="A42" s="112">
        <f>Design!$D$13</f>
        <v>85</v>
      </c>
      <c r="B42" s="113">
        <f t="shared" si="3"/>
        <v>3.8299999999999996</v>
      </c>
      <c r="C42" s="114">
        <f>Design!$D$7</f>
        <v>3</v>
      </c>
      <c r="D42" s="114">
        <f ca="1">FORECAST(C42, OFFSET(Design!$C$15:$C$17,MATCH(C42,Design!$B$15:$B$17,1)-1,0,2), OFFSET(Design!$B$15:$B$17,MATCH(C42,Design!$B$15:$B$17,1)-1,0,2))+(M42-25)*Design!$B$18/1000</f>
        <v>0.424267700690243</v>
      </c>
      <c r="E42" s="173">
        <f ca="1">IF(100*(Design!$C$29+D42+C42*IF(ISBLANK(Design!$B$43),Constants!$C$6,Design!$B$43)/1000*(1+Constants!$C$36/100*(N42-25)))/($B42+D42-C42*O42/1000)&gt;Design!$C$36,Design!$C$37,100*(Design!$C$29+D42+C42*IF(ISBLANK(Design!$B$43),Constants!$C$6,Design!$B$43)/1000*(1+Constants!$C$36/100*(N42-25)))/($B42+D42-C42*O42/1000))</f>
        <v>98.990624999999994</v>
      </c>
      <c r="F42" s="115">
        <f ca="1">IF(($B42-C42*IF(ISBLANK(Design!$B$43),Constants!$C$6,Design!$B$43)/1000*(1+Constants!$C$36/100*(N42-25))-Design!$C$29)/(IF(ISBLANK(Design!$B$42),Design!$B$40,Design!$B$42)/1000000)*E42/100/(IF(ISBLANK(Design!$B$33),Design!$B$32,Design!$B$33)*1000000)&lt;0, 0, ($B42-C42*IF(ISBLANK(Design!$B$43),Constants!$C$6,Design!$B$43)/1000*(1+Constants!$C$36/100*(N42-25))-Design!$C$29)/(IF(ISBLANK(Design!$B$42),Design!$B$40,Design!$B$42)/1000000)*E42/100/(IF(ISBLANK(Design!$B$33),Design!$B$32,Design!$B$33)*1000000))</f>
        <v>0</v>
      </c>
      <c r="G42" s="165">
        <f>B42*Constants!$C$21/1000+IF(ISBLANK(Design!$B$33),Design!$B$32,Design!$B$33)*1000000*Constants!$D$25/1000000000*(B42-Constants!$C$24)</f>
        <v>7.0887499999999978E-3</v>
      </c>
      <c r="H42" s="165">
        <f>B42*C42*(B42/(Constants!$C$26*1000000000)*IF(ISBLANK(Design!$B$33),Design!$B$32,Design!$B$33)*1000000/2+B42/(Constants!$C$27*1000000000)*IF(ISBLANK(Design!$B$33),Design!$B$32,Design!$B$33)*1000000/2)</f>
        <v>2.5976177083333326E-2</v>
      </c>
      <c r="I42" s="165">
        <f t="shared" ca="1" si="0"/>
        <v>2.0482128419661247</v>
      </c>
      <c r="J42" s="165">
        <f>Constants!$D$25/1000000000*Constants!$C$24*IF(ISBLANK(Design!$B$33),Design!$B$32,Design!$B$33)*1000000</f>
        <v>1.0624999999999999E-2</v>
      </c>
      <c r="K42" s="165">
        <f t="shared" ca="1" si="4"/>
        <v>2.091902769049458</v>
      </c>
      <c r="L42" s="165">
        <f t="shared" ca="1" si="5"/>
        <v>1.2847356311526436E-2</v>
      </c>
      <c r="M42" s="166">
        <f ca="1">A42+L42*Design!$B$19</f>
        <v>85.732299309757011</v>
      </c>
      <c r="N42" s="166">
        <f ca="1">K42*Design!$C$12+A42</f>
        <v>156.12469414768157</v>
      </c>
      <c r="O42" s="166">
        <f ca="1">Constants!$D$22+Constants!$D$22*Constants!$C$23/100*(N42-25)</f>
        <v>229.89975531814525</v>
      </c>
      <c r="P42" s="165">
        <f ca="1">IF(100*(Design!$C$29+D42+C42*IF(ISBLANK(Design!$B$43),Constants!$C$6,Design!$B$43)/1000*(1+Constants!$C$36/100*(N42-25)))/($B42+D42-C42*O42/1000)&gt;Design!$C$36,  (1-Constants!$C$20/1000000000*IF(ISBLANK(Design!$B$33),Design!$B$32/4,Design!$B$33/4)*1000000) * ($B42+D42-C42*O42/1000) - (D42+C42*(1+($A42-25)*Constants!$C$36/100)*IF(ISBLANK(Design!$B$43),Constants!$C$6/1000,Design!$B$43/1000)),   (1-Constants!$C$20/1000000000*IF(ISBLANK(Design!$B$33),Design!$B$32,Design!$B$33)*1000000) * ($B42+D42-C42*O42/1000) - (D42+C42*(1+($A42-25)*Constants!$C$36/100)*IF(ISBLANK(Design!$B$43),Constants!$C$6/1000,Design!$B$43/1000)) )</f>
        <v>2.9560248714074491</v>
      </c>
      <c r="Q42" s="171">
        <f ca="1">IF(P42&gt;Design!$C$29,Design!$C$29,P42)</f>
        <v>2.9560248714074491</v>
      </c>
      <c r="R42" s="181">
        <f>2*Design!$D$7/3</f>
        <v>2</v>
      </c>
      <c r="S42" s="116">
        <f ca="1">FORECAST(R42, OFFSET(Design!$C$15:$C$17,MATCH(R42,Design!$B$15:$B$17,1)-1,0,2), OFFSET(Design!$B$15:$B$17,MATCH(R42,Design!$B$15:$B$17,1)-1,0,2))+(AB42-25)*Design!$B$18/1000</f>
        <v>0.39954025402394783</v>
      </c>
      <c r="T42" s="182">
        <f ca="1">IF(100*(Design!$C$29+S42+R42*IF(ISBLANK(Design!$B$43),Constants!$C$6,Design!$B$43)/1000*(1+Constants!$C$36/100*(AC42-25)))/($B42+S42-R42*AD42/1000)&gt;Design!$C$36,Design!$C$37,100*(Design!$C$29+S42+R42*IF(ISBLANK(Design!$B$43),Constants!$C$6,Design!$B$43)/1000*(1+Constants!$C$36/100*(AC42-25)))/($B42+S42-R42*AD42/1000))</f>
        <v>98.990624999999994</v>
      </c>
      <c r="U42" s="117">
        <f ca="1">IF(($B42-R42*IF(ISBLANK(Design!$B$43),Constants!$C$6,Design!$B$43)/1000*(1+Constants!$C$36/100*(AC42-25))-Design!$C$29)/(Design!$B$42/1000000)*T42/100/(IF(ISBLANK(IF(ISBLANK(Design!$B$42),Design!$B$40,Design!$B$42)),Design!$B$32,Design!$B$33)*1000000)&lt;0,0,($B42-R42*IF(ISBLANK(Design!$B$43),Constants!$C$6,Design!$B$43)/1000*(1+Constants!$C$36/100*(AC42-25))-Design!$C$29)/(IF(ISBLANK(Design!$B$42),Design!$B$40,Design!$B$42)/1000000)*T42/100/(IF(ISBLANK(Design!$B$33),Design!$B$32,Design!$B$33)*1000000))</f>
        <v>0</v>
      </c>
      <c r="V42" s="183">
        <f>$B42*Constants!$C$21/1000+IF(ISBLANK(Design!$B$33),Design!$B$32,Design!$B$33)*1000000*Constants!$D$25/1000000000*($B42-Constants!$C$24)</f>
        <v>7.0887499999999978E-3</v>
      </c>
      <c r="W42" s="183">
        <f>$B42*R42*($B42/(Constants!$C$26*1000000000)*IF(ISBLANK(Design!$B$33),Design!$B$32,Design!$B$33)*1000000/2+$B42/(Constants!$C$27*1000000000)*IF(ISBLANK(Design!$B$33),Design!$B$32,Design!$B$33)*1000000/2)</f>
        <v>1.7317451388888884E-2</v>
      </c>
      <c r="X42" s="183">
        <f t="shared" ca="1" si="1"/>
        <v>0.77192585219352217</v>
      </c>
      <c r="Y42" s="183">
        <f>Constants!$D$25/1000000000*Constants!$C$24*IF(ISBLANK(Design!$B$33),Design!$B$32,Design!$B$33)*1000000</f>
        <v>1.0624999999999999E-2</v>
      </c>
      <c r="Z42" s="183">
        <f t="shared" ca="1" si="10"/>
        <v>0.80695705358241099</v>
      </c>
      <c r="AA42" s="183">
        <f t="shared" ca="1" si="7"/>
        <v>8.065718878108457E-3</v>
      </c>
      <c r="AB42" s="184">
        <f ca="1">$A42+AA42*Design!$B$19</f>
        <v>85.459745976052176</v>
      </c>
      <c r="AC42" s="184">
        <f ca="1">Z42*Design!$C$12+$A42</f>
        <v>112.43653982180197</v>
      </c>
      <c r="AD42" s="184">
        <f ca="1">Constants!$D$22+Constants!$D$22*Constants!$C$23/100*(AC42-25)</f>
        <v>194.94923185744159</v>
      </c>
      <c r="AE42" s="183">
        <f ca="1">IF(100*(Design!$C$29+S42+R42*IF(ISBLANK(Design!$B$43),Constants!$C$6,Design!$B$43)/1000*(1+Constants!$C$36/100*(AC42-25)))/($B42+S42-R42*AD42/1000)&gt;Design!$C$36,  (1-Constants!$C$20/1000000000*IF(ISBLANK(Design!$B$33),Design!$B$32/4,Design!$B$33/4)*1000000) * ($B42+S42-R42*AD42/1000) - (S42+R42*(1+($A42-25)*Constants!$C$36/100)*IF(ISBLANK(Design!$B$43),Constants!$C$6/1000,Design!$B$43/1000)),   (1-Constants!$C$20/1000000000*IF(ISBLANK(Design!$B$33),Design!$B$32,Design!$B$33)*1000000) * ($B42+S42-R42*AD42/1000) - (S42+R42*(1+($A42-25)*Constants!$C$36/100)*IF(ISBLANK(Design!$B$43),Constants!$C$6/1000,Design!$B$43/1000)) )</f>
        <v>3.3024811519641846</v>
      </c>
      <c r="AF42" s="117">
        <f ca="1">IF(AE42&gt;Design!$C$29,Design!$C$29,AE42)</f>
        <v>3.3024811519641846</v>
      </c>
      <c r="AG42" s="118">
        <f>Design!$D$7/3</f>
        <v>1</v>
      </c>
      <c r="AH42" s="118">
        <f ca="1">FORECAST(AG42, OFFSET(Design!$C$15:$C$17,MATCH(AG42,Design!$B$15:$B$17,1)-1,0,2), OFFSET(Design!$B$15:$B$17,MATCH(AG42,Design!$B$15:$B$17,1)-1,0,2))+(AQ42-25)*Design!$B$18/1000</f>
        <v>0.32203694028136221</v>
      </c>
      <c r="AI42" s="194">
        <f ca="1">IF(100*(Design!$C$29+AH42+AG42*IF(ISBLANK(Design!$B$43),Constants!$C$6,Design!$B$43)/1000*(1+Constants!$C$36/100*(AR42-25)))/($B42+AH42-AG42*AS42/1000)&gt;Design!$C$36,Design!$C$37,100*(Design!$C$29+AH42+AG42*IF(ISBLANK(Design!$B$43),Constants!$C$6,Design!$B$43)/1000*(1+Constants!$C$36/100*(AR42-25)))/($B42+AH42-AG42*AS42/1000))</f>
        <v>98.990624999999994</v>
      </c>
      <c r="AJ42" s="119">
        <f ca="1">IF(($B42-AG42*IF(ISBLANK(Design!$B$43),Constants!$C$6,Design!$B$43)/1000*(1+Constants!$C$36/100*(AR42-25))-Design!$C$29)/(IF(ISBLANK(Design!$B$42),Design!$B$40,Design!$B$42)/1000000)*AI42/100/(IF(ISBLANK(Design!$B$33),Design!$B$32,Design!$B$33)*1000000)&lt;0,0,($B42-AG42*IF(ISBLANK(Design!$B$43),Constants!$C$6,Design!$B$43)/1000*(1+Constants!$C$36/100*(AR42-25))-Design!$C$29)/(IF(ISBLANK(Design!$B$42),Design!$B$40,Design!$B$42)/1000000)*AI42/100/(IF(ISBLANK(Design!$B$33),Design!$B$32,Design!$B$33)*1000000))</f>
        <v>0</v>
      </c>
      <c r="AK42" s="195">
        <f>$B42*Constants!$C$21/1000+IF(ISBLANK(Design!$B$33),Design!$B$32,Design!$B$33)*1000000*Constants!$D$25/1000000000*($B42-Constants!$C$24)</f>
        <v>7.0887499999999978E-3</v>
      </c>
      <c r="AL42" s="195">
        <f>$B42*AG42*($B42/(Constants!$C$26*1000000000)*IF(ISBLANK(Design!$B$33),Design!$B$32,Design!$B$33)*1000000/2+$B42/(Constants!$C$27*1000000000)*IF(ISBLANK(Design!$B$33),Design!$B$32,Design!$B$33)*1000000/2)</f>
        <v>8.658725694444442E-3</v>
      </c>
      <c r="AM42" s="195">
        <f t="shared" ca="1" si="2"/>
        <v>0.17672219669673508</v>
      </c>
      <c r="AN42" s="195">
        <f>Constants!$D$25/1000000000*Constants!$C$24*IF(ISBLANK(Design!$B$33),Design!$B$32,Design!$B$33)*1000000</f>
        <v>1.0624999999999999E-2</v>
      </c>
      <c r="AO42" s="195">
        <f t="shared" ca="1" si="11"/>
        <v>0.20309467239117951</v>
      </c>
      <c r="AP42" s="195">
        <f t="shared" ca="1" si="9"/>
        <v>3.250560365965004E-3</v>
      </c>
      <c r="AQ42" s="196">
        <f ca="1">$A42+AP42*Design!$B$19</f>
        <v>85.185281940860008</v>
      </c>
      <c r="AR42" s="196">
        <f ca="1">AO42*Design!$C$12+$A42</f>
        <v>91.905218861300099</v>
      </c>
      <c r="AS42" s="196">
        <f ca="1">Constants!$D$22+Constants!$D$22*Constants!$C$23/100*(AR42-25)</f>
        <v>178.52417508904009</v>
      </c>
      <c r="AT42" s="195">
        <f ca="1">IF(100*(Design!$C$29+AH42+AG42*IF(ISBLANK(Design!$B$43),Constants!$C$6,Design!$B$43)/1000*(1+Constants!$C$36/100*(AR42-25)))/($B42+AH42-AG42*AS42/1000)&gt;Design!$C$36,  (1-Constants!$C$20/1000000000*IF(ISBLANK(Design!$B$33),Design!$B$32/4,Design!$B$33/4)*1000000) * ($B42+AH42-AG42*AS42/1000) - (AH42+AG42*(1+($A42-25)*Constants!$C$36/100)*IF(ISBLANK(Design!$B$43),Constants!$C$6/1000,Design!$B$43/1000)),   (1-Constants!$C$20/1000000000*IF(ISBLANK(Design!$B$33),Design!$B$32,Design!$B$33)*1000000) * ($B42+AH42-AG42*AS42/1000) - (AH42+AG42*(1+($A42-25)*Constants!$C$36/100)*IF(ISBLANK(Design!$B$43),Constants!$C$6/1000,Design!$B$43/1000)) )</f>
        <v>3.5619361804372995</v>
      </c>
      <c r="AU42" s="119">
        <f ca="1">IF(AT42&gt;Design!$C$29,Design!$C$29,AT42)</f>
        <v>3.5619361804372995</v>
      </c>
    </row>
    <row r="43" spans="1:47" s="120" customFormat="1" ht="12.75" customHeight="1" x14ac:dyDescent="0.2">
      <c r="A43" s="112">
        <f>Design!$D$13</f>
        <v>85</v>
      </c>
      <c r="B43" s="113">
        <f t="shared" si="3"/>
        <v>3.6149999999999998</v>
      </c>
      <c r="C43" s="114">
        <f>Design!$D$7</f>
        <v>3</v>
      </c>
      <c r="D43" s="114">
        <f ca="1">FORECAST(C43, OFFSET(Design!$C$15:$C$17,MATCH(C43,Design!$B$15:$B$17,1)-1,0,2), OFFSET(Design!$B$15:$B$17,MATCH(C43,Design!$B$15:$B$17,1)-1,0,2))+(M43-25)*Design!$B$18/1000</f>
        <v>0.424267700690243</v>
      </c>
      <c r="E43" s="173">
        <f ca="1">IF(100*(Design!$C$29+D43+C43*IF(ISBLANK(Design!$B$43),Constants!$C$6,Design!$B$43)/1000*(1+Constants!$C$36/100*(N43-25)))/($B43+D43-C43*O43/1000)&gt;Design!$C$36,Design!$C$37,100*(Design!$C$29+D43+C43*IF(ISBLANK(Design!$B$43),Constants!$C$6,Design!$B$43)/1000*(1+Constants!$C$36/100*(N43-25)))/($B43+D43-C43*O43/1000))</f>
        <v>98.990624999999994</v>
      </c>
      <c r="F43" s="115">
        <f ca="1">IF(($B43-C43*IF(ISBLANK(Design!$B$43),Constants!$C$6,Design!$B$43)/1000*(1+Constants!$C$36/100*(N43-25))-Design!$C$29)/(IF(ISBLANK(Design!$B$42),Design!$B$40,Design!$B$42)/1000000)*E43/100/(IF(ISBLANK(Design!$B$33),Design!$B$32,Design!$B$33)*1000000)&lt;0, 0, ($B43-C43*IF(ISBLANK(Design!$B$43),Constants!$C$6,Design!$B$43)/1000*(1+Constants!$C$36/100*(N43-25))-Design!$C$29)/(IF(ISBLANK(Design!$B$42),Design!$B$40,Design!$B$42)/1000000)*E43/100/(IF(ISBLANK(Design!$B$33),Design!$B$32,Design!$B$33)*1000000))</f>
        <v>0</v>
      </c>
      <c r="G43" s="165">
        <f>B43*Constants!$C$21/1000+IF(ISBLANK(Design!$B$33),Design!$B$32,Design!$B$33)*1000000*Constants!$D$25/1000000000*(B43-Constants!$C$24)</f>
        <v>6.0943749999999991E-3</v>
      </c>
      <c r="H43" s="165">
        <f>B43*C43*(B43/(Constants!$C$26*1000000000)*IF(ISBLANK(Design!$B$33),Design!$B$32,Design!$B$33)*1000000/2+B43/(Constants!$C$27*1000000000)*IF(ISBLANK(Design!$B$33),Design!$B$32,Design!$B$33)*1000000/2)</f>
        <v>2.3141648437499992E-2</v>
      </c>
      <c r="I43" s="165">
        <f t="shared" ca="1" si="0"/>
        <v>2.046988227794186</v>
      </c>
      <c r="J43" s="165">
        <f>Constants!$D$25/1000000000*Constants!$C$24*IF(ISBLANK(Design!$B$33),Design!$B$32,Design!$B$33)*1000000</f>
        <v>1.0624999999999999E-2</v>
      </c>
      <c r="K43" s="165">
        <f t="shared" ca="1" si="4"/>
        <v>2.0868492512316861</v>
      </c>
      <c r="L43" s="165">
        <f t="shared" ca="1" si="5"/>
        <v>1.2847356311526436E-2</v>
      </c>
      <c r="M43" s="166">
        <f ca="1">A43+L43*Design!$B$19</f>
        <v>85.732299309757011</v>
      </c>
      <c r="N43" s="166">
        <f ca="1">K43*Design!$C$12+A43</f>
        <v>155.95287454187732</v>
      </c>
      <c r="O43" s="166">
        <f ca="1">Constants!$D$22+Constants!$D$22*Constants!$C$23/100*(N43-25)</f>
        <v>229.76229963350187</v>
      </c>
      <c r="P43" s="165">
        <f ca="1">IF(100*(Design!$C$29+D43+C43*IF(ISBLANK(Design!$B$43),Constants!$C$6,Design!$B$43)/1000*(1+Constants!$C$36/100*(N43-25)))/($B43+D43-C43*O43/1000)&gt;Design!$C$36,  (1-Constants!$C$20/1000000000*IF(ISBLANK(Design!$B$33),Design!$B$32/4,Design!$B$33/4)*1000000) * ($B43+D43-C43*O43/1000) - (D43+C43*(1+($A43-25)*Constants!$C$36/100)*IF(ISBLANK(Design!$B$43),Constants!$C$6/1000,Design!$B$43/1000)),   (1-Constants!$C$20/1000000000*IF(ISBLANK(Design!$B$33),Design!$B$32,Design!$B$33)*1000000) * ($B43+D43-C43*O43/1000) - (D43+C43*(1+($A43-25)*Constants!$C$36/100)*IF(ISBLANK(Design!$B$43),Constants!$C$6/1000,Design!$B$43/1000)) )</f>
        <v>2.7436032323814286</v>
      </c>
      <c r="Q43" s="171">
        <f ca="1">IF(P43&gt;Design!$C$29,Design!$C$29,P43)</f>
        <v>2.7436032323814286</v>
      </c>
      <c r="R43" s="181">
        <f>2*Design!$D$7/3</f>
        <v>2</v>
      </c>
      <c r="S43" s="116">
        <f ca="1">FORECAST(R43, OFFSET(Design!$C$15:$C$17,MATCH(R43,Design!$B$15:$B$17,1)-1,0,2), OFFSET(Design!$B$15:$B$17,MATCH(R43,Design!$B$15:$B$17,1)-1,0,2))+(AB43-25)*Design!$B$18/1000</f>
        <v>0.39954025402394783</v>
      </c>
      <c r="T43" s="182">
        <f ca="1">IF(100*(Design!$C$29+S43+R43*IF(ISBLANK(Design!$B$43),Constants!$C$6,Design!$B$43)/1000*(1+Constants!$C$36/100*(AC43-25)))/($B43+S43-R43*AD43/1000)&gt;Design!$C$36,Design!$C$37,100*(Design!$C$29+S43+R43*IF(ISBLANK(Design!$B$43),Constants!$C$6,Design!$B$43)/1000*(1+Constants!$C$36/100*(AC43-25)))/($B43+S43-R43*AD43/1000))</f>
        <v>98.990624999999994</v>
      </c>
      <c r="U43" s="117">
        <f ca="1">IF(($B43-R43*IF(ISBLANK(Design!$B$43),Constants!$C$6,Design!$B$43)/1000*(1+Constants!$C$36/100*(AC43-25))-Design!$C$29)/(Design!$B$42/1000000)*T43/100/(IF(ISBLANK(IF(ISBLANK(Design!$B$42),Design!$B$40,Design!$B$42)),Design!$B$32,Design!$B$33)*1000000)&lt;0,0,($B43-R43*IF(ISBLANK(Design!$B$43),Constants!$C$6,Design!$B$43)/1000*(1+Constants!$C$36/100*(AC43-25))-Design!$C$29)/(IF(ISBLANK(Design!$B$42),Design!$B$40,Design!$B$42)/1000000)*T43/100/(IF(ISBLANK(Design!$B$33),Design!$B$32,Design!$B$33)*1000000))</f>
        <v>0</v>
      </c>
      <c r="V43" s="183">
        <f>$B43*Constants!$C$21/1000+IF(ISBLANK(Design!$B$33),Design!$B$32,Design!$B$33)*1000000*Constants!$D$25/1000000000*($B43-Constants!$C$24)</f>
        <v>6.0943749999999991E-3</v>
      </c>
      <c r="W43" s="183">
        <f>$B43*R43*($B43/(Constants!$C$26*1000000000)*IF(ISBLANK(Design!$B$33),Design!$B$32,Design!$B$33)*1000000/2+$B43/(Constants!$C$27*1000000000)*IF(ISBLANK(Design!$B$33),Design!$B$32,Design!$B$33)*1000000/2)</f>
        <v>1.5427765624999996E-2</v>
      </c>
      <c r="X43" s="183">
        <f t="shared" ca="1" si="1"/>
        <v>0.77157774151081526</v>
      </c>
      <c r="Y43" s="183">
        <f>Constants!$D$25/1000000000*Constants!$C$24*IF(ISBLANK(Design!$B$33),Design!$B$32,Design!$B$33)*1000000</f>
        <v>1.0624999999999999E-2</v>
      </c>
      <c r="Z43" s="183">
        <f t="shared" ca="1" si="10"/>
        <v>0.80372488213581528</v>
      </c>
      <c r="AA43" s="183">
        <f t="shared" ca="1" si="7"/>
        <v>8.065718878108457E-3</v>
      </c>
      <c r="AB43" s="184">
        <f ca="1">$A43+AA43*Design!$B$19</f>
        <v>85.459745976052176</v>
      </c>
      <c r="AC43" s="184">
        <f ca="1">Z43*Design!$C$12+$A43</f>
        <v>112.32664599261773</v>
      </c>
      <c r="AD43" s="184">
        <f ca="1">Constants!$D$22+Constants!$D$22*Constants!$C$23/100*(AC43-25)</f>
        <v>194.86131679409419</v>
      </c>
      <c r="AE43" s="183">
        <f ca="1">IF(100*(Design!$C$29+S43+R43*IF(ISBLANK(Design!$B$43),Constants!$C$6,Design!$B$43)/1000*(1+Constants!$C$36/100*(AC43-25)))/($B43+S43-R43*AD43/1000)&gt;Design!$C$36,  (1-Constants!$C$20/1000000000*IF(ISBLANK(Design!$B$33),Design!$B$32/4,Design!$B$33/4)*1000000) * ($B43+S43-R43*AD43/1000) - (S43+R43*(1+($A43-25)*Constants!$C$36/100)*IF(ISBLANK(Design!$B$43),Constants!$C$6/1000,Design!$B$43/1000)),   (1-Constants!$C$20/1000000000*IF(ISBLANK(Design!$B$33),Design!$B$32,Design!$B$33)*1000000) * ($B43+S43-R43*AD43/1000) - (S43+R43*(1+($A43-25)*Constants!$C$36/100)*IF(ISBLANK(Design!$B$43),Constants!$C$6/1000,Design!$B$43/1000)) )</f>
        <v>3.0898253635555379</v>
      </c>
      <c r="AF43" s="117">
        <f ca="1">IF(AE43&gt;Design!$C$29,Design!$C$29,AE43)</f>
        <v>3.0898253635555379</v>
      </c>
      <c r="AG43" s="118">
        <f>Design!$D$7/3</f>
        <v>1</v>
      </c>
      <c r="AH43" s="118">
        <f ca="1">FORECAST(AG43, OFFSET(Design!$C$15:$C$17,MATCH(AG43,Design!$B$15:$B$17,1)-1,0,2), OFFSET(Design!$B$15:$B$17,MATCH(AG43,Design!$B$15:$B$17,1)-1,0,2))+(AQ43-25)*Design!$B$18/1000</f>
        <v>0.32203694028136221</v>
      </c>
      <c r="AI43" s="194">
        <f ca="1">IF(100*(Design!$C$29+AH43+AG43*IF(ISBLANK(Design!$B$43),Constants!$C$6,Design!$B$43)/1000*(1+Constants!$C$36/100*(AR43-25)))/($B43+AH43-AG43*AS43/1000)&gt;Design!$C$36,Design!$C$37,100*(Design!$C$29+AH43+AG43*IF(ISBLANK(Design!$B$43),Constants!$C$6,Design!$B$43)/1000*(1+Constants!$C$36/100*(AR43-25)))/($B43+AH43-AG43*AS43/1000))</f>
        <v>98.990624999999994</v>
      </c>
      <c r="AJ43" s="119">
        <f ca="1">IF(($B43-AG43*IF(ISBLANK(Design!$B$43),Constants!$C$6,Design!$B$43)/1000*(1+Constants!$C$36/100*(AR43-25))-Design!$C$29)/(IF(ISBLANK(Design!$B$42),Design!$B$40,Design!$B$42)/1000000)*AI43/100/(IF(ISBLANK(Design!$B$33),Design!$B$32,Design!$B$33)*1000000)&lt;0,0,($B43-AG43*IF(ISBLANK(Design!$B$43),Constants!$C$6,Design!$B$43)/1000*(1+Constants!$C$36/100*(AR43-25))-Design!$C$29)/(IF(ISBLANK(Design!$B$42),Design!$B$40,Design!$B$42)/1000000)*AI43/100/(IF(ISBLANK(Design!$B$33),Design!$B$32,Design!$B$33)*1000000))</f>
        <v>0</v>
      </c>
      <c r="AK43" s="195">
        <f>$B43*Constants!$C$21/1000+IF(ISBLANK(Design!$B$33),Design!$B$32,Design!$B$33)*1000000*Constants!$D$25/1000000000*($B43-Constants!$C$24)</f>
        <v>6.0943749999999991E-3</v>
      </c>
      <c r="AL43" s="195">
        <f>$B43*AG43*($B43/(Constants!$C$26*1000000000)*IF(ISBLANK(Design!$B$33),Design!$B$32,Design!$B$33)*1000000/2+$B43/(Constants!$C$27*1000000000)*IF(ISBLANK(Design!$B$33),Design!$B$32,Design!$B$33)*1000000/2)</f>
        <v>7.7138828124999979E-3</v>
      </c>
      <c r="AM43" s="195">
        <f t="shared" ca="1" si="2"/>
        <v>0.17666853758693779</v>
      </c>
      <c r="AN43" s="195">
        <f>Constants!$D$25/1000000000*Constants!$C$24*IF(ISBLANK(Design!$B$33),Design!$B$32,Design!$B$33)*1000000</f>
        <v>1.0624999999999999E-2</v>
      </c>
      <c r="AO43" s="195">
        <f t="shared" ca="1" si="11"/>
        <v>0.20110179539943779</v>
      </c>
      <c r="AP43" s="195">
        <f t="shared" ca="1" si="9"/>
        <v>3.250560365965004E-3</v>
      </c>
      <c r="AQ43" s="196">
        <f ca="1">$A43+AP43*Design!$B$19</f>
        <v>85.185281940860008</v>
      </c>
      <c r="AR43" s="196">
        <f ca="1">AO43*Design!$C$12+$A43</f>
        <v>91.837461043580888</v>
      </c>
      <c r="AS43" s="196">
        <f ca="1">Constants!$D$22+Constants!$D$22*Constants!$C$23/100*(AR43-25)</f>
        <v>178.46996883486472</v>
      </c>
      <c r="AT43" s="195">
        <f ca="1">IF(100*(Design!$C$29+AH43+AG43*IF(ISBLANK(Design!$B$43),Constants!$C$6,Design!$B$43)/1000*(1+Constants!$C$36/100*(AR43-25)))/($B43+AH43-AG43*AS43/1000)&gt;Design!$C$36,  (1-Constants!$C$20/1000000000*IF(ISBLANK(Design!$B$33),Design!$B$32/4,Design!$B$33/4)*1000000) * ($B43+AH43-AG43*AS43/1000) - (AH43+AG43*(1+($A43-25)*Constants!$C$36/100)*IF(ISBLANK(Design!$B$43),Constants!$C$6/1000,Design!$B$43/1000)),   (1-Constants!$C$20/1000000000*IF(ISBLANK(Design!$B$33),Design!$B$32,Design!$B$33)*1000000) * ($B43+AH43-AG43*AS43/1000) - (AH43+AG43*(1+($A43-25)*Constants!$C$36/100)*IF(ISBLANK(Design!$B$43),Constants!$C$6/1000,Design!$B$43/1000)) )</f>
        <v>3.349159995797097</v>
      </c>
      <c r="AU43" s="119">
        <f ca="1">IF(AT43&gt;Design!$C$29,Design!$C$29,AT43)</f>
        <v>3.349159995797097</v>
      </c>
    </row>
    <row r="44" spans="1:47" s="120" customFormat="1" ht="12.75" customHeight="1" thickBot="1" x14ac:dyDescent="0.25">
      <c r="A44" s="121">
        <f>Design!$D$13</f>
        <v>85</v>
      </c>
      <c r="B44" s="122">
        <f>Constants!$C$7</f>
        <v>3.4</v>
      </c>
      <c r="C44" s="123">
        <f>Design!$D$7</f>
        <v>3</v>
      </c>
      <c r="D44" s="123">
        <f ca="1">FORECAST(C44, OFFSET(Design!$C$15:$C$17,MATCH(C44,Design!$B$15:$B$17,1)-1,0,2), OFFSET(Design!$B$15:$B$17,MATCH(C44,Design!$B$15:$B$17,1)-1,0,2))+(M44-25)*Design!$B$18/1000</f>
        <v>0.424267700690243</v>
      </c>
      <c r="E44" s="174">
        <f ca="1">IF(100*(Design!$C$29+D44+C44*IF(ISBLANK(Design!$B$43),Constants!$C$6,Design!$B$43)/1000*(1+Constants!$C$36/100*(N44-25)))/($B44+D44-C44*O44/1000)&gt;Design!$C$36,Design!$C$37,100*(Design!$C$29+D44+C44*IF(ISBLANK(Design!$B$43),Constants!$C$6,Design!$B$43)/1000*(1+Constants!$C$36/100*(N44-25)))/($B44+D44-C44*O44/1000))</f>
        <v>98.990624999999994</v>
      </c>
      <c r="F44" s="124">
        <f ca="1">IF(($B44-C44*IF(ISBLANK(Design!$B$43),Constants!$C$6,Design!$B$43)/1000*(1+Constants!$C$36/100*(N44-25))-Design!$C$29)/(IF(ISBLANK(Design!$B$42),Design!$B$40,Design!$B$42)/1000000)*E44/100/(IF(ISBLANK(Design!$B$33),Design!$B$32,Design!$B$33)*1000000)&lt;0, 0, ($B44-C44*IF(ISBLANK(Design!$B$43),Constants!$C$6,Design!$B$43)/1000*(1+Constants!$C$36/100*(N44-25))-Design!$C$29)/(IF(ISBLANK(Design!$B$42),Design!$B$40,Design!$B$42)/1000000)*E44/100/(IF(ISBLANK(Design!$B$33),Design!$B$32,Design!$B$33)*1000000))</f>
        <v>0</v>
      </c>
      <c r="G44" s="167">
        <f>B44*Constants!$C$21/1000+IF(ISBLANK(Design!$B$33),Design!$B$32,Design!$B$33)*1000000*Constants!$D$25/1000000000*(B44-Constants!$C$24)</f>
        <v>5.1000000000000004E-3</v>
      </c>
      <c r="H44" s="167">
        <f>B44*C44*(B44/(Constants!$C$26*1000000000)*IF(ISBLANK(Design!$B$33),Design!$B$32,Design!$B$33)*1000000/2+B44/(Constants!$C$27*1000000000)*IF(ISBLANK(Design!$B$33),Design!$B$32,Design!$B$33)*1000000/2)</f>
        <v>2.047083333333333E-2</v>
      </c>
      <c r="I44" s="167">
        <f t="shared" ca="1" si="0"/>
        <v>2.0458159748049272</v>
      </c>
      <c r="J44" s="167">
        <f>Constants!$D$25/1000000000*Constants!$C$24*IF(ISBLANK(Design!$B$33),Design!$B$32,Design!$B$33)*1000000</f>
        <v>1.0624999999999999E-2</v>
      </c>
      <c r="K44" s="167">
        <f t="shared" ca="1" si="4"/>
        <v>2.0820118081382608</v>
      </c>
      <c r="L44" s="167">
        <f t="shared" ca="1" si="5"/>
        <v>1.2847356311526436E-2</v>
      </c>
      <c r="M44" s="168">
        <f ca="1">A44+L44*Design!$B$19</f>
        <v>85.732299309757011</v>
      </c>
      <c r="N44" s="168">
        <f ca="1">K44*Design!$C$12+A44</f>
        <v>155.78840147670087</v>
      </c>
      <c r="O44" s="168">
        <f ca="1">Constants!$D$22+Constants!$D$22*Constants!$C$23/100*(N44-25)</f>
        <v>229.63072118136068</v>
      </c>
      <c r="P44" s="167">
        <f ca="1">IF(100*(Design!$C$29+D44+C44*IF(ISBLANK(Design!$B$43),Constants!$C$6,Design!$B$43)/1000*(1+Constants!$C$36/100*(N44-25)))/($B44+D44-C44*O44/1000)&gt;Design!$C$36,  (1-Constants!$C$20/1000000000*IF(ISBLANK(Design!$B$33),Design!$B$32/4,Design!$B$33/4)*1000000) * ($B44+D44-C44*O44/1000) - (D44+C44*(1+($A44-25)*Constants!$C$36/100)*IF(ISBLANK(Design!$B$43),Constants!$C$6/1000,Design!$B$43/1000)),   (1-Constants!$C$20/1000000000*IF(ISBLANK(Design!$B$33),Design!$B$32,Design!$B$33)*1000000) * ($B44+D44-C44*O44/1000) - (D44+C44*(1+($A44-25)*Constants!$C$36/100)*IF(ISBLANK(Design!$B$43),Constants!$C$6/1000,Design!$B$43/1000)) )</f>
        <v>2.5311641396278493</v>
      </c>
      <c r="Q44" s="340">
        <f ca="1">IF(P44&gt;Design!$C$29,Design!$C$29,P44)</f>
        <v>2.5311641396278493</v>
      </c>
      <c r="R44" s="185">
        <f>2*Design!$D$7/3</f>
        <v>2</v>
      </c>
      <c r="S44" s="125">
        <f ca="1">FORECAST(R44, OFFSET(Design!$C$15:$C$17,MATCH(R44,Design!$B$15:$B$17,1)-1,0,2), OFFSET(Design!$B$15:$B$17,MATCH(R44,Design!$B$15:$B$17,1)-1,0,2))+(AB44-25)*Design!$B$18/1000</f>
        <v>0.39954025402394783</v>
      </c>
      <c r="T44" s="186">
        <f ca="1">IF(100*(Design!$C$29+S44+R44*IF(ISBLANK(Design!$B$43),Constants!$C$6,Design!$B$43)/1000*(1+Constants!$C$36/100*(AC44-25)))/($B44+S44-R44*AD44/1000)&gt;Design!$C$36,Design!$C$37,100*(Design!$C$29+S44+R44*IF(ISBLANK(Design!$B$43),Constants!$C$6,Design!$B$43)/1000*(1+Constants!$C$36/100*(AC44-25)))/($B44+S44-R44*AD44/1000))</f>
        <v>98.990624999999994</v>
      </c>
      <c r="U44" s="126">
        <f ca="1">IF(($B44-R44*IF(ISBLANK(Design!$B$43),Constants!$C$6,Design!$B$43)/1000*(1+Constants!$C$36/100*(AC44-25))-Design!$C$29)/(Design!$B$42/1000000)*T44/100/(IF(ISBLANK(IF(ISBLANK(Design!$B$42),Design!$B$40,Design!$B$42)),Design!$B$32,Design!$B$33)*1000000)&lt;0,0,($B44-R44*IF(ISBLANK(Design!$B$43),Constants!$C$6,Design!$B$43)/1000*(1+Constants!$C$36/100*(AC44-25))-Design!$C$29)/(IF(ISBLANK(Design!$B$42),Design!$B$40,Design!$B$42)/1000000)*T44/100/(IF(ISBLANK(Design!$B$33),Design!$B$32,Design!$B$33)*1000000))</f>
        <v>0</v>
      </c>
      <c r="V44" s="187">
        <f>$B44*Constants!$C$21/1000+IF(ISBLANK(Design!$B$33),Design!$B$32,Design!$B$33)*1000000*Constants!$D$25/1000000000*($B44-Constants!$C$24)</f>
        <v>5.1000000000000004E-3</v>
      </c>
      <c r="W44" s="187">
        <f>$B44*R44*($B44/(Constants!$C$26*1000000000)*IF(ISBLANK(Design!$B$33),Design!$B$32,Design!$B$33)*1000000/2+$B44/(Constants!$C$27*1000000000)*IF(ISBLANK(Design!$B$33),Design!$B$32,Design!$B$33)*1000000/2)</f>
        <v>1.3647222222222222E-2</v>
      </c>
      <c r="X44" s="187">
        <f t="shared" ca="1" si="1"/>
        <v>0.7712428044832248</v>
      </c>
      <c r="Y44" s="187">
        <f>Constants!$D$25/1000000000*Constants!$C$24*IF(ISBLANK(Design!$B$33),Design!$B$32,Design!$B$33)*1000000</f>
        <v>1.0624999999999999E-2</v>
      </c>
      <c r="Z44" s="187">
        <f t="shared" ca="1" si="10"/>
        <v>0.80061502670544704</v>
      </c>
      <c r="AA44" s="187">
        <f t="shared" ca="1" si="7"/>
        <v>8.065718878108457E-3</v>
      </c>
      <c r="AB44" s="188">
        <f ca="1">$A44+AA44*Design!$B$19</f>
        <v>85.459745976052176</v>
      </c>
      <c r="AC44" s="188">
        <f ca="1">Z44*Design!$C$12+$A44</f>
        <v>112.2209109079852</v>
      </c>
      <c r="AD44" s="188">
        <f ca="1">Constants!$D$22+Constants!$D$22*Constants!$C$23/100*(AC44-25)</f>
        <v>194.77672872638817</v>
      </c>
      <c r="AE44" s="187">
        <f ca="1">IF(100*(Design!$C$29+S44+R44*IF(ISBLANK(Design!$B$43),Constants!$C$6,Design!$B$43)/1000*(1+Constants!$C$36/100*(AC44-25)))/($B44+S44-R44*AD44/1000)&gt;Design!$C$36,  (1-Constants!$C$20/1000000000*IF(ISBLANK(Design!$B$33),Design!$B$32/4,Design!$B$33/4)*1000000) * ($B44+S44-R44*AD44/1000) - (S44+R44*(1+($A44-25)*Constants!$C$36/100)*IF(ISBLANK(Design!$B$43),Constants!$C$6/1000,Design!$B$43/1000)),   (1-Constants!$C$20/1000000000*IF(ISBLANK(Design!$B$33),Design!$B$32,Design!$B$33)*1000000) * ($B44+S44-R44*AD44/1000) - (S44+R44*(1+($A44-25)*Constants!$C$36/100)*IF(ISBLANK(Design!$B$43),Constants!$C$6/1000,Design!$B$43/1000)) )</f>
        <v>2.8771629883193328</v>
      </c>
      <c r="AF44" s="126">
        <f ca="1">IF(AE44&gt;Design!$C$29,Design!$C$29,AE44)</f>
        <v>2.8771629883193328</v>
      </c>
      <c r="AG44" s="127">
        <f>Design!$D$7/3</f>
        <v>1</v>
      </c>
      <c r="AH44" s="127">
        <f ca="1">FORECAST(AG44, OFFSET(Design!$C$15:$C$17,MATCH(AG44,Design!$B$15:$B$17,1)-1,0,2), OFFSET(Design!$B$15:$B$17,MATCH(AG44,Design!$B$15:$B$17,1)-1,0,2))+(AQ44-25)*Design!$B$18/1000</f>
        <v>0.32203694028136221</v>
      </c>
      <c r="AI44" s="197">
        <f ca="1">IF(100*(Design!$C$29+AH44+AG44*IF(ISBLANK(Design!$B$43),Constants!$C$6,Design!$B$43)/1000*(1+Constants!$C$36/100*(AR44-25)))/($B44+AH44-AG44*AS44/1000)&gt;Design!$C$36,Design!$C$37,100*(Design!$C$29+AH44+AG44*IF(ISBLANK(Design!$B$43),Constants!$C$6,Design!$B$43)/1000*(1+Constants!$C$36/100*(AR44-25)))/($B44+AH44-AG44*AS44/1000))</f>
        <v>98.990624999999994</v>
      </c>
      <c r="AJ44" s="128">
        <f ca="1">IF(($B44-AG44*IF(ISBLANK(Design!$B$43),Constants!$C$6,Design!$B$43)/1000*(1+Constants!$C$36/100*(AR44-25))-Design!$C$29)/(IF(ISBLANK(Design!$B$42),Design!$B$40,Design!$B$42)/1000000)*AI44/100/(IF(ISBLANK(Design!$B$33),Design!$B$32,Design!$B$33)*1000000)&lt;0,0,($B44-AG44*IF(ISBLANK(Design!$B$43),Constants!$C$6,Design!$B$43)/1000*(1+Constants!$C$36/100*(AR44-25))-Design!$C$29)/(IF(ISBLANK(Design!$B$42),Design!$B$40,Design!$B$42)/1000000)*AI44/100/(IF(ISBLANK(Design!$B$33),Design!$B$32,Design!$B$33)*1000000))</f>
        <v>0</v>
      </c>
      <c r="AK44" s="198">
        <f>$B44*Constants!$C$21/1000+IF(ISBLANK(Design!$B$33),Design!$B$32,Design!$B$33)*1000000*Constants!$D$25/1000000000*($B44-Constants!$C$24)</f>
        <v>5.1000000000000004E-3</v>
      </c>
      <c r="AL44" s="198">
        <f>$B44*AG44*($B44/(Constants!$C$26*1000000000)*IF(ISBLANK(Design!$B$33),Design!$B$32,Design!$B$33)*1000000/2+$B44/(Constants!$C$27*1000000000)*IF(ISBLANK(Design!$B$33),Design!$B$32,Design!$B$33)*1000000/2)</f>
        <v>6.823611111111111E-3</v>
      </c>
      <c r="AM44" s="198">
        <f t="shared" ca="1" si="2"/>
        <v>0.1766163884884685</v>
      </c>
      <c r="AN44" s="198">
        <f>Constants!$D$25/1000000000*Constants!$C$24*IF(ISBLANK(Design!$B$33),Design!$B$32,Design!$B$33)*1000000</f>
        <v>1.0624999999999999E-2</v>
      </c>
      <c r="AO44" s="198">
        <f t="shared" ca="1" si="11"/>
        <v>0.19916499959957962</v>
      </c>
      <c r="AP44" s="198">
        <f t="shared" ca="1" si="9"/>
        <v>3.250560365965004E-3</v>
      </c>
      <c r="AQ44" s="199">
        <f ca="1">$A44+AP44*Design!$B$19</f>
        <v>85.185281940860008</v>
      </c>
      <c r="AR44" s="199">
        <f ca="1">AO44*Design!$C$12+$A44</f>
        <v>91.771609986385712</v>
      </c>
      <c r="AS44" s="199">
        <f ca="1">Constants!$D$22+Constants!$D$22*Constants!$C$23/100*(AR44-25)</f>
        <v>178.41728798910856</v>
      </c>
      <c r="AT44" s="198">
        <f ca="1">IF(100*(Design!$C$29+AH44+AG44*IF(ISBLANK(Design!$B$43),Constants!$C$6,Design!$B$43)/1000*(1+Constants!$C$36/100*(AR44-25)))/($B44+AH44-AG44*AS44/1000)&gt;Design!$C$36,  (1-Constants!$C$20/1000000000*IF(ISBLANK(Design!$B$33),Design!$B$32/4,Design!$B$33/4)*1000000) * ($B44+AH44-AG44*AS44/1000) - (AH44+AG44*(1+($A44-25)*Constants!$C$36/100)*IF(ISBLANK(Design!$B$43),Constants!$C$6/1000,Design!$B$43/1000)),   (1-Constants!$C$20/1000000000*IF(ISBLANK(Design!$B$33),Design!$B$32,Design!$B$33)*1000000) * ($B44+AH44-AG44*AS44/1000) - (AH44+AG44*(1+($A44-25)*Constants!$C$36/100)*IF(ISBLANK(Design!$B$43),Constants!$C$6/1000,Design!$B$43/1000)) )</f>
        <v>3.1363823011455665</v>
      </c>
      <c r="AU44" s="128">
        <f ca="1">IF(AT44&gt;Design!$C$29,Design!$C$29,AT44)</f>
        <v>3.1363823011455665</v>
      </c>
    </row>
    <row r="45" spans="1:47" s="229" customFormat="1" ht="18" customHeight="1" x14ac:dyDescent="0.25">
      <c r="A45" s="237" t="s">
        <v>263</v>
      </c>
      <c r="B45" s="230"/>
      <c r="C45" s="231"/>
      <c r="D45" s="231"/>
      <c r="E45" s="232"/>
      <c r="F45" s="233"/>
      <c r="G45" s="233"/>
      <c r="H45" s="233"/>
      <c r="I45" s="233"/>
      <c r="J45" s="233"/>
      <c r="K45" s="233"/>
      <c r="L45" s="233"/>
      <c r="M45" s="233"/>
      <c r="N45" s="232"/>
      <c r="O45" s="232"/>
      <c r="P45" s="233"/>
      <c r="Q45" s="233"/>
      <c r="R45" s="231"/>
      <c r="S45" s="231"/>
      <c r="T45" s="232"/>
      <c r="U45" s="233"/>
      <c r="V45" s="233"/>
      <c r="W45" s="233"/>
      <c r="X45" s="233"/>
      <c r="Y45" s="233"/>
      <c r="Z45" s="233"/>
      <c r="AA45" s="233"/>
      <c r="AB45" s="233"/>
      <c r="AC45" s="232"/>
      <c r="AD45" s="232"/>
      <c r="AE45" s="233"/>
      <c r="AF45" s="233"/>
      <c r="AG45" s="231"/>
      <c r="AH45" s="231"/>
      <c r="AI45" s="232"/>
      <c r="AJ45" s="233"/>
      <c r="AK45" s="233"/>
      <c r="AL45" s="233"/>
      <c r="AM45" s="233"/>
      <c r="AN45" s="233"/>
      <c r="AO45" s="233"/>
      <c r="AP45" s="233"/>
      <c r="AQ45" s="233"/>
      <c r="AR45" s="232"/>
      <c r="AS45" s="232"/>
      <c r="AT45" s="233"/>
      <c r="AU45" s="234"/>
    </row>
    <row r="46" spans="1:47" ht="15.75" thickBot="1" x14ac:dyDescent="0.3">
      <c r="A46" s="210" t="s">
        <v>194</v>
      </c>
      <c r="B46" s="235" t="s">
        <v>106</v>
      </c>
      <c r="C46" s="208" t="s">
        <v>92</v>
      </c>
      <c r="D46" s="208" t="s">
        <v>219</v>
      </c>
      <c r="E46" s="200" t="s">
        <v>217</v>
      </c>
      <c r="F46" s="200" t="s">
        <v>218</v>
      </c>
      <c r="G46" s="200" t="s">
        <v>93</v>
      </c>
      <c r="H46" s="200" t="s">
        <v>94</v>
      </c>
      <c r="I46" s="200" t="s">
        <v>95</v>
      </c>
      <c r="J46" s="200" t="s">
        <v>182</v>
      </c>
      <c r="K46" s="200" t="s">
        <v>96</v>
      </c>
      <c r="L46" s="200" t="s">
        <v>237</v>
      </c>
      <c r="M46" s="200" t="s">
        <v>264</v>
      </c>
      <c r="N46" s="200" t="s">
        <v>265</v>
      </c>
      <c r="O46" s="200" t="s">
        <v>111</v>
      </c>
      <c r="P46" s="200" t="s">
        <v>231</v>
      </c>
      <c r="Q46" s="211" t="s">
        <v>230</v>
      </c>
      <c r="R46" s="208" t="s">
        <v>92</v>
      </c>
      <c r="S46" s="208" t="s">
        <v>219</v>
      </c>
      <c r="T46" s="200" t="s">
        <v>217</v>
      </c>
      <c r="U46" s="200" t="s">
        <v>218</v>
      </c>
      <c r="V46" s="200" t="s">
        <v>93</v>
      </c>
      <c r="W46" s="200" t="s">
        <v>94</v>
      </c>
      <c r="X46" s="200" t="s">
        <v>95</v>
      </c>
      <c r="Y46" s="200" t="s">
        <v>182</v>
      </c>
      <c r="Z46" s="200" t="s">
        <v>96</v>
      </c>
      <c r="AA46" s="200" t="s">
        <v>237</v>
      </c>
      <c r="AB46" s="200" t="s">
        <v>264</v>
      </c>
      <c r="AC46" s="200" t="s">
        <v>265</v>
      </c>
      <c r="AD46" s="200" t="s">
        <v>111</v>
      </c>
      <c r="AE46" s="200" t="s">
        <v>231</v>
      </c>
      <c r="AF46" s="211" t="s">
        <v>230</v>
      </c>
      <c r="AG46" s="208" t="s">
        <v>92</v>
      </c>
      <c r="AH46" s="208" t="s">
        <v>219</v>
      </c>
      <c r="AI46" s="200" t="s">
        <v>217</v>
      </c>
      <c r="AJ46" s="200" t="s">
        <v>218</v>
      </c>
      <c r="AK46" s="200" t="s">
        <v>93</v>
      </c>
      <c r="AL46" s="200" t="s">
        <v>94</v>
      </c>
      <c r="AM46" s="200" t="s">
        <v>95</v>
      </c>
      <c r="AN46" s="200" t="s">
        <v>182</v>
      </c>
      <c r="AO46" s="200" t="s">
        <v>96</v>
      </c>
      <c r="AP46" s="200" t="s">
        <v>237</v>
      </c>
      <c r="AQ46" s="200" t="s">
        <v>264</v>
      </c>
      <c r="AR46" s="200" t="s">
        <v>265</v>
      </c>
      <c r="AS46" s="200" t="s">
        <v>111</v>
      </c>
      <c r="AT46" s="200" t="s">
        <v>231</v>
      </c>
      <c r="AU46" s="211" t="s">
        <v>230</v>
      </c>
    </row>
    <row r="47" spans="1:47" ht="12.75" customHeight="1" x14ac:dyDescent="0.25">
      <c r="A47" s="159">
        <f>Design!$D$13</f>
        <v>85</v>
      </c>
      <c r="B47" s="160">
        <f t="shared" ref="B47:B86" si="12">$B48+$AU$88</f>
        <v>11.999999999999995</v>
      </c>
      <c r="C47" s="161">
        <f>Design!$D$7</f>
        <v>3</v>
      </c>
      <c r="D47" s="161">
        <f ca="1">FORECAST(C47, OFFSET(Design!$C$15:$C$17,MATCH(C47,Design!$B$15:$B$17,1)-1,0,2), OFFSET(Design!$B$15:$B$17,MATCH(C47,Design!$B$15:$B$17,1)-1,0,2))+(M47-25)*Design!$B$18/1000</f>
        <v>0.38979945950067352</v>
      </c>
      <c r="E47" s="172">
        <f ca="1">IF(100*(Design!$C$29+D47+C47*IF(ISBLANK(Design!$B$43),Constants!$C$6,Design!$B$43)/1000*(1+Constants!$C$36/100*(N47-25)))/($B47+D47-C47*O47/1000)&gt;Design!$B$36,Design!$B$37,100*(Design!$C$29+D47+C47*IF(ISBLANK(Design!$B$43),Constants!$C$6,Design!$B$43)/1000*(1+Constants!$C$36/100*(N47-25)))/($B47+D47-C47*O47/1000))</f>
        <v>47.190508089764748</v>
      </c>
      <c r="F47" s="162">
        <f ca="1">IF(($B47-C47*IF(ISBLANK(Design!$B$43),Constants!$C$6,Design!$B$43)/1000*(1+Constants!$C$36/100*(N47-25))-Design!$C$29)/(IF(ISBLANK(Design!$B$42),Design!$B$40,Design!$B$42)/1000000)*E47/100/(IF(ISBLANK(Design!$B$33),Design!$B$32,Design!$B$33)*1000000)&lt;0,0,($B47-C47*IF(ISBLANK(Design!$B$43),Constants!$C$6,Design!$B$43)/1000*(1+Constants!$C$36/100*(N47-25))-Design!$C$29)/(IF(ISBLANK(Design!$B$42),Design!$B$40,Design!$B$42)/1000000)*E47/100/(IF(ISBLANK(Design!$B$33),Design!$B$32,Design!$B$33)*1000000))</f>
        <v>0.75878101007011867</v>
      </c>
      <c r="G47" s="163">
        <f>B47*Constants!$C$21/1000+IF(ISBLANK(Design!$B$33),Design!$B$32,Design!$B$33)*1000000*Constants!$D$25/1000000000*(B47-Constants!$C$24)</f>
        <v>4.487499999999997E-2</v>
      </c>
      <c r="H47" s="163">
        <f>B47*C47*(B47/(Constants!$C$26*1000000000)*IF(ISBLANK(Design!$B$33),Design!$B$32,Design!$B$33)*1000000/2+B47/(Constants!$C$27*1000000000)*IF(ISBLANK(Design!$B$33),Design!$B$32,Design!$B$33)*1000000/2)</f>
        <v>0.25499999999999978</v>
      </c>
      <c r="I47" s="163">
        <f t="shared" ref="I47:I87" ca="1" si="13">IF($D$115,1,E47/100*(C47^2+F47^2/12)*O47/1000)</f>
        <v>0.87653310561491882</v>
      </c>
      <c r="J47" s="163">
        <f>Constants!$D$25/1000000000*Constants!$C$24*IF(ISBLANK(Design!$B$33),Design!$B$32,Design!$B$33)*1000000</f>
        <v>1.0624999999999999E-2</v>
      </c>
      <c r="K47" s="163">
        <f ca="1">SUM(G47:J47)</f>
        <v>1.1870331056149186</v>
      </c>
      <c r="L47" s="163">
        <f ca="1">C47*D47*(1-E47/100)</f>
        <v>0.6175533420934467</v>
      </c>
      <c r="M47" s="164">
        <f ca="1">$A47+L47*Design!$B$19</f>
        <v>120.20054049932646</v>
      </c>
      <c r="N47" s="164">
        <f ca="1">K47*Design!$C$12+A47</f>
        <v>125.35912559090724</v>
      </c>
      <c r="O47" s="164">
        <f ca="1">Constants!$D$22+Constants!$D$22*Constants!$C$23/100*(N47-25)</f>
        <v>205.2873004727258</v>
      </c>
      <c r="P47" s="163">
        <f ca="1">IF(100*(Design!$C$29+D47+C47*IF(ISBLANK(Design!$B$43),Constants!$C$6,Design!$B$43)/1000*(1+Constants!$C$36/100*(N47-25)))/($B47+D47-C47*O47/1000)&gt;Design!$B$36,   (1-Constants!$D$20/1000000000*IF(ISBLANK(Design!$B$33),Design!$B$32/4,Design!$B$33/4)*1000000) * ($B47+D47-C47*O47/1000) - (D47+C47*(1+($A47-25)*Constants!$C$36/100)*IF(ISBLANK(Design!$B$43),Constants!$C$6/1000,Design!$B$43/1000)),  (1-Constants!$D$20/1000000000*IF(ISBLANK(Design!$B$33),Design!$B$32,Design!$B$33)*1000000) * ($B47+D47-C47*O47/1000) - (D47+C47*(1+($A47-25)*Constants!$C$36/100)*IF(ISBLANK(Design!$B$43),Constants!$C$6/1000,Design!$B$43/1000)))</f>
        <v>10.585332048497758</v>
      </c>
      <c r="Q47" s="162">
        <f ca="1">IF(P47&gt;Design!$C$29,Design!$C$29,P47)</f>
        <v>4.9990521327014221</v>
      </c>
      <c r="R47" s="176">
        <f>2*Design!$D$7/3</f>
        <v>2</v>
      </c>
      <c r="S47" s="176">
        <f ca="1">FORECAST(R47, OFFSET(Design!$C$15:$C$17,MATCH(R47,Design!$B$15:$B$17,1)-1,0,2), OFFSET(Design!$B$15:$B$17,MATCH(R47,Design!$B$15:$B$17,1)-1,0,2))+(AB47-25)*Design!$B$18/1000</f>
        <v>0.37667241202641488</v>
      </c>
      <c r="T47" s="177">
        <f ca="1">IF(100*(Design!$C$29+S47+R47*IF(ISBLANK(Design!$B$43),Constants!$C$6,Design!$B$43)/1000*(1+Constants!$C$36/100*(AC47-25)))/($B47+S47-R47*AD47/1000)&gt;Design!$B$36,Design!$B$37,100*(Design!$C$29+S47+R47*IF(ISBLANK(Design!$B$43),Constants!$C$6,Design!$B$43)/1000*(1+Constants!$C$36/100*(AC47-25)))/($B47+S47-R47*AD47/1000))</f>
        <v>45.674820308788313</v>
      </c>
      <c r="U47" s="178">
        <f ca="1">IF(($B47-R47*IF(ISBLANK(Design!$B$43),Constants!$C$6,Design!$B$43)/1000*(1+Constants!$C$36/100*(AC47-25))-Design!$C$29)/(IF(ISBLANK(Design!$B$42),Design!$B$40,Design!$B$42)/1000000)*T47/100/(IF(ISBLANK(Design!$B$33),Design!$B$32,Design!$B$33)*1000000)&lt;0,0,($B47-R47*IF(ISBLANK(Design!$B$43),Constants!$C$6,Design!$B$43)/1000*(1+Constants!$C$36/100*(AC47-25))-Design!$C$29)/(IF(ISBLANK(Design!$B$42),Design!$B$40,Design!$B$42)/1000000)*T47/100/(IF(ISBLANK(Design!$B$33),Design!$B$32,Design!$B$33)*1000000))</f>
        <v>0.74110863126432636</v>
      </c>
      <c r="V47" s="179">
        <f>$B47*Constants!$C$21/1000+IF(ISBLANK(Design!$B$33),Design!$B$32,Design!$B$33)*1000000*Constants!$D$25/1000000000*($B47-Constants!$C$24)</f>
        <v>4.487499999999997E-2</v>
      </c>
      <c r="W47" s="179">
        <f>$B47*R47*($B47/(Constants!$C$26*1000000000)*IF(ISBLANK(Design!$B$33),Design!$B$32,Design!$B$33)*1000000/2+$B47/(Constants!$C$27*1000000000)*IF(ISBLANK(Design!$B$33),Design!$B$32,Design!$B$33)*1000000/2)</f>
        <v>0.16999999999999985</v>
      </c>
      <c r="X47" s="179">
        <f t="shared" ref="X47:X87" ca="1" si="14">IF($D$115,1,T47/100*(R47^2+U47^2/12)*AD47/1000)</f>
        <v>0.34853923588192054</v>
      </c>
      <c r="Y47" s="179">
        <f>Constants!$D$25/1000000000*Constants!$C$24*IF(ISBLANK(Design!$B$33),Design!$B$32,Design!$B$33)*1000000</f>
        <v>1.0624999999999999E-2</v>
      </c>
      <c r="Z47" s="179">
        <f ca="1">SUM(V47:Y47)</f>
        <v>0.5740392358819203</v>
      </c>
      <c r="AA47" s="179">
        <f ca="1">R47*S47*(1-T47/100)</f>
        <v>0.4092559293611423</v>
      </c>
      <c r="AB47" s="180">
        <f ca="1">$A47+AA47*Design!$B$19</f>
        <v>108.32758797358511</v>
      </c>
      <c r="AC47" s="180">
        <f ca="1">Z47*Design!$C$12+$A47</f>
        <v>104.5173340199853</v>
      </c>
      <c r="AD47" s="180">
        <f ca="1">Constants!$D$22+Constants!$D$22*Constants!$C$23/100*(AC47-25)</f>
        <v>188.61386721598825</v>
      </c>
      <c r="AE47" s="179">
        <f ca="1">IF(100*(Design!$C$29+S47+R47*IF(ISBLANK(Design!$B$43),Constants!$C$6,Design!$B$43)/1000*(1+Constants!$C$36/100*(AC47-25)))/($B47+S47-R47*AD47/1000)&gt;Design!$B$36,   (1-Constants!$D$20/1000000000*IF(ISBLANK(Design!$B$33),Design!$B$32/4,Design!$B$33/4)*1000000) * ($B47+S47-R47*AD47/1000) - (S47+R47*(1+($A47-25)*Constants!$C$36/100)*IF(ISBLANK(Design!$B$43),Constants!$C$6/1000,Design!$B$43/1000)),  (1-Constants!$D$20/1000000000*IF(ISBLANK(Design!$B$33),Design!$B$32,Design!$B$33)*1000000) * ($B47+S47-R47*AD47/1000) - (S47+R47*(1+($A47-25)*Constants!$C$36/100)*IF(ISBLANK(Design!$B$43),Constants!$C$6/1000,Design!$B$43/1000)))</f>
        <v>10.860938947130926</v>
      </c>
      <c r="AF47" s="178">
        <f ca="1">IF(AE47&gt;Design!$C$29,Design!$C$29,AE47)</f>
        <v>4.9990521327014221</v>
      </c>
      <c r="AG47" s="189">
        <f>Design!$D$7/3</f>
        <v>1</v>
      </c>
      <c r="AH47" s="189">
        <f ca="1">FORECAST(AG47, OFFSET(Design!$C$15:$C$17,MATCH(AG47,Design!$B$15:$B$17,1)-1,0,2), OFFSET(Design!$B$15:$B$17,MATCH(AG47,Design!$B$15:$B$17,1)-1,0,2))+(AQ47-25)*Design!$B$18/1000</f>
        <v>0.31228823470543354</v>
      </c>
      <c r="AI47" s="190">
        <f ca="1">IF(100*(Design!$C$29+AH47+AG47*IF(ISBLANK(Design!$B$43),Constants!$C$6,Design!$B$43)/1000*(1+Constants!$C$36/100*(AR47-25)))/($B47+AH47-AG47*AS47/1000)&gt;Design!$B$36,Design!$B$37,100*(Design!$C$29+AH47+AG47*IF(ISBLANK(Design!$B$43),Constants!$C$6,Design!$B$43)/1000*(1+Constants!$C$36/100*(AR47-25)))/($B47+AH47-AG47*AS47/1000))</f>
        <v>44.192427577340787</v>
      </c>
      <c r="AJ47" s="191">
        <f ca="1">IF(($B47-AG47*IF(ISBLANK(Design!$B$43),Constants!$C$6,Design!$B$43)/1000*(1+Constants!$C$36/100*(AR47-25))-Design!$C$29)/(IF(ISBLANK(Design!$B$42),Design!$B$40,Design!$B$42)/1000000)*AI47/100/(IF(ISBLANK(Design!$B$33),Design!$B$32,Design!$B$33)*1000000)&lt;0,0,($B47-AG47*IF(ISBLANK(Design!$B$43),Constants!$C$6,Design!$B$43)/1000*(1+Constants!$C$36/100*(AR47-25))-Design!$C$29)/(IF(ISBLANK(Design!$B$42),Design!$B$40,Design!$B$42)/1000000)*AI47/100/(IF(ISBLANK(Design!$B$33),Design!$B$32,Design!$B$33)*1000000))</f>
        <v>0.72270981266578294</v>
      </c>
      <c r="AK47" s="192">
        <f>$B47*Constants!$C$21/1000+IF(ISBLANK(Design!$B$33),Design!$B$32,Design!$B$33)*1000000*Constants!$D$25/1000000000*($B47-Constants!$C$24)</f>
        <v>4.487499999999997E-2</v>
      </c>
      <c r="AL47" s="192">
        <f>$B47*AG47*($B47/(Constants!$C$26*1000000000)*IF(ISBLANK(Design!$B$33),Design!$B$32,Design!$B$33)*1000000/2+$B47/(Constants!$C$27*1000000000)*IF(ISBLANK(Design!$B$33),Design!$B$32,Design!$B$33)*1000000/2)</f>
        <v>8.4999999999999923E-2</v>
      </c>
      <c r="AM47" s="192">
        <f t="shared" ref="AM47:AM87" ca="1" si="15">IF($D$115,1,AI47/100*(AG47^2+AJ47^2/12)*AS47/1000)</f>
        <v>8.2578768891990936E-2</v>
      </c>
      <c r="AN47" s="192">
        <f>Constants!$D$25/1000000000*Constants!$C$24*IF(ISBLANK(Design!$B$33),Design!$B$32,Design!$B$33)*1000000</f>
        <v>1.0624999999999999E-2</v>
      </c>
      <c r="AO47" s="192">
        <f ca="1">SUM(AK47:AN47)</f>
        <v>0.22307876889199085</v>
      </c>
      <c r="AP47" s="192">
        <f ca="1">AG47*AH47*(1-AI47/100)</f>
        <v>0.17428048275067881</v>
      </c>
      <c r="AQ47" s="193">
        <f ca="1">$A47+AP47*Design!$B$19</f>
        <v>94.93398751678869</v>
      </c>
      <c r="AR47" s="193">
        <f ca="1">AO47*Design!$C$12+$A47</f>
        <v>92.584678142327689</v>
      </c>
      <c r="AS47" s="193">
        <f ca="1">Constants!$D$22+Constants!$D$22*Constants!$C$23/100*(AR47-25)</f>
        <v>179.06774251386216</v>
      </c>
      <c r="AT47" s="192">
        <f ca="1">IF(100*(Design!$C$29+AH47+AG47*IF(ISBLANK(Design!$B$43),Constants!$C$6,Design!$B$43)/1000*(1+Constants!$C$36/100*(AR47-25)))/($B47+AH47-AG47*AS47/1000)&gt;Design!$B$36,   (1-Constants!$D$20/1000000000*IF(ISBLANK(Design!$B$33),Design!$B$32/4,Design!$B$33/4)*1000000) * ($B47+AH47-AG47*AS47/1000) - (AH47+AG47*(1+($A47-25)*Constants!$C$36/100)*IF(ISBLANK(Design!$B$43),Constants!$C$6/1000,Design!$B$43/1000)),  (1-Constants!$D$20/1000000000*IF(ISBLANK(Design!$B$33),Design!$B$32,Design!$B$33)*1000000) * ($B47+AH47-AG47*AS47/1000) - (AH47+AG47*(1+($A47-25)*Constants!$C$36/100)*IF(ISBLANK(Design!$B$43),Constants!$C$6/1000,Design!$B$43/1000)))</f>
        <v>11.101139825292549</v>
      </c>
      <c r="AU47" s="191">
        <f ca="1">IF(AT47&gt;Design!$C$29,Design!$C$29,AT47)</f>
        <v>4.9990521327014221</v>
      </c>
    </row>
    <row r="48" spans="1:47" ht="12.75" customHeight="1" x14ac:dyDescent="0.25">
      <c r="A48" s="112">
        <f>Design!$D$13</f>
        <v>85</v>
      </c>
      <c r="B48" s="113">
        <f t="shared" si="12"/>
        <v>11.784999999999995</v>
      </c>
      <c r="C48" s="114">
        <f>Design!$D$7</f>
        <v>3</v>
      </c>
      <c r="D48" s="114">
        <f ca="1">FORECAST(C48, OFFSET(Design!$C$15:$C$17,MATCH(C48,Design!$B$15:$B$17,1)-1,0,2), OFFSET(Design!$B$15:$B$17,MATCH(C48,Design!$B$15:$B$17,1)-1,0,2))+(M48-25)*Design!$B$18/1000</f>
        <v>0.39034037944848865</v>
      </c>
      <c r="E48" s="173">
        <f ca="1">IF(100*(Design!$C$29+D48+C48*IF(ISBLANK(Design!$B$43),Constants!$C$6,Design!$B$43)/1000*(1+Constants!$C$36/100*(N48-25)))/($B48+D48-C48*O48/1000)&gt;Design!$B$36,Design!$B$37,100*(Design!$C$29+D48+C48*IF(ISBLANK(Design!$B$43),Constants!$C$6,Design!$B$43)/1000*(1+Constants!$C$36/100*(N48-25)))/($B48+D48-C48*O48/1000))</f>
        <v>48.07407838028449</v>
      </c>
      <c r="F48" s="115">
        <f ca="1">IF(($B48-C48*IF(ISBLANK(Design!$B$43),Constants!$C$6,Design!$B$43)/1000*(1+Constants!$C$36/100*(N48-25))-Design!$C$29)/(IF(ISBLANK(Design!$B$42),Design!$B$40,Design!$B$42)/1000000)*E48/100/(IF(ISBLANK(Design!$B$33),Design!$B$32,Design!$B$33)*1000000)&lt;0,0,($B48-C48*IF(ISBLANK(Design!$B$43),Constants!$C$6,Design!$B$43)/1000*(1+Constants!$C$36/100*(N48-25))-Design!$C$29)/(IF(ISBLANK(Design!$B$42),Design!$B$40,Design!$B$42)/1000000)*E48/100/(IF(ISBLANK(Design!$B$33),Design!$B$32,Design!$B$33)*1000000))</f>
        <v>0.74865537095143442</v>
      </c>
      <c r="G48" s="165">
        <f>B48*Constants!$C$21/1000+IF(ISBLANK(Design!$B$33),Design!$B$32,Design!$B$33)*1000000*Constants!$D$25/1000000000*(B48-Constants!$C$24)</f>
        <v>4.3880624999999979E-2</v>
      </c>
      <c r="H48" s="165">
        <f>B48*C48*(B48/(Constants!$C$26*1000000000)*IF(ISBLANK(Design!$B$33),Design!$B$32,Design!$B$33)*1000000/2+B48/(Constants!$C$27*1000000000)*IF(ISBLANK(Design!$B$33),Design!$B$32,Design!$B$33)*1000000/2)</f>
        <v>0.24594435677083312</v>
      </c>
      <c r="I48" s="165">
        <f t="shared" ca="1" si="13"/>
        <v>0.89365601487782786</v>
      </c>
      <c r="J48" s="165">
        <f>Constants!$D$25/1000000000*Constants!$C$24*IF(ISBLANK(Design!$B$33),Design!$B$32,Design!$B$33)*1000000</f>
        <v>1.0624999999999999E-2</v>
      </c>
      <c r="K48" s="165">
        <f t="shared" ref="K48" ca="1" si="16">SUM(G48:J48)</f>
        <v>1.1941059966486611</v>
      </c>
      <c r="L48" s="165">
        <f t="shared" ref="L48:L87" ca="1" si="17">C48*D48*(1-E48/100)</f>
        <v>0.6080635184475669</v>
      </c>
      <c r="M48" s="166">
        <f ca="1">$A48+L48*Design!$B$19</f>
        <v>119.65962055151131</v>
      </c>
      <c r="N48" s="166">
        <f ca="1">K48*Design!$C$12+A48</f>
        <v>125.59960388605448</v>
      </c>
      <c r="O48" s="166">
        <f ca="1">Constants!$D$22+Constants!$D$22*Constants!$C$23/100*(N48-25)</f>
        <v>205.47968310884357</v>
      </c>
      <c r="P48" s="165">
        <f ca="1">IF(100*(Design!$C$29+D48+C48*IF(ISBLANK(Design!$B$43),Constants!$C$6,Design!$B$43)/1000*(1+Constants!$C$36/100*(N48-25)))/($B48+D48-C48*O48/1000)&gt;Design!$B$36,   (1-Constants!$D$20/1000000000*IF(ISBLANK(Design!$B$33),Design!$B$32/4,Design!$B$33/4)*1000000) * ($B48+D48-C48*O48/1000) - (D48+C48*(1+($A48-25)*Constants!$C$36/100)*IF(ISBLANK(Design!$B$43),Constants!$C$6/1000,Design!$B$43/1000)),  (1-Constants!$D$20/1000000000*IF(ISBLANK(Design!$B$33),Design!$B$32,Design!$B$33)*1000000) * ($B48+D48-C48*O48/1000) - (D48+C48*(1+($A48-25)*Constants!$C$36/100)*IF(ISBLANK(Design!$B$43),Constants!$C$6/1000,Design!$B$43/1000)))</f>
        <v>10.381635652184226</v>
      </c>
      <c r="Q48" s="115">
        <f ca="1">IF(P48&gt;Design!$C$29,Design!$C$29,P48)</f>
        <v>4.9990521327014221</v>
      </c>
      <c r="R48" s="116">
        <f>2*Design!$D$7/3</f>
        <v>2</v>
      </c>
      <c r="S48" s="116">
        <f ca="1">FORECAST(R48, OFFSET(Design!$C$15:$C$17,MATCH(R48,Design!$B$15:$B$17,1)-1,0,2), OFFSET(Design!$B$15:$B$17,MATCH(R48,Design!$B$15:$B$17,1)-1,0,2))+(AB48-25)*Design!$B$18/1000</f>
        <v>0.37701019464168561</v>
      </c>
      <c r="T48" s="182">
        <f ca="1">IF(100*(Design!$C$29+S48+R48*IF(ISBLANK(Design!$B$43),Constants!$C$6,Design!$B$43)/1000*(1+Constants!$C$36/100*(AC48-25)))/($B48+S48-R48*AD48/1000)&gt;Design!$B$36,Design!$B$37,100*(Design!$C$29+S48+R48*IF(ISBLANK(Design!$B$43),Constants!$C$6,Design!$B$43)/1000*(1+Constants!$C$36/100*(AC48-25)))/($B48+S48-R48*AD48/1000))</f>
        <v>46.509414824942866</v>
      </c>
      <c r="U48" s="117">
        <f ca="1">IF(($B48-R48*IF(ISBLANK(Design!$B$43),Constants!$C$6,Design!$B$43)/1000*(1+Constants!$C$36/100*(AC48-25))-Design!$C$29)/(IF(ISBLANK(Design!$B$42),Design!$B$40,Design!$B$42)/1000000)*T48/100/(IF(ISBLANK(Design!$B$33),Design!$B$32,Design!$B$33)*1000000)&lt;0,0,($B48-R48*IF(ISBLANK(Design!$B$43),Constants!$C$6,Design!$B$43)/1000*(1+Constants!$C$36/100*(AC48-25))-Design!$C$29)/(IF(ISBLANK(Design!$B$42),Design!$B$40,Design!$B$42)/1000000)*T48/100/(IF(ISBLANK(Design!$B$33),Design!$B$32,Design!$B$33)*1000000))</f>
        <v>0.73112321824736459</v>
      </c>
      <c r="V48" s="183">
        <f>$B48*Constants!$C$21/1000+IF(ISBLANK(Design!$B$33),Design!$B$32,Design!$B$33)*1000000*Constants!$D$25/1000000000*($B48-Constants!$C$24)</f>
        <v>4.3880624999999979E-2</v>
      </c>
      <c r="W48" s="183">
        <f>$B48*R48*($B48/(Constants!$C$26*1000000000)*IF(ISBLANK(Design!$B$33),Design!$B$32,Design!$B$33)*1000000/2+$B48/(Constants!$C$27*1000000000)*IF(ISBLANK(Design!$B$33),Design!$B$32,Design!$B$33)*1000000/2)</f>
        <v>0.16396290451388876</v>
      </c>
      <c r="X48" s="183">
        <f t="shared" ca="1" si="14"/>
        <v>0.35475892706489115</v>
      </c>
      <c r="Y48" s="183">
        <f>Constants!$D$25/1000000000*Constants!$C$24*IF(ISBLANK(Design!$B$33),Design!$B$32,Design!$B$33)*1000000</f>
        <v>1.0624999999999999E-2</v>
      </c>
      <c r="Z48" s="183">
        <f t="shared" ref="Z48" ca="1" si="18">SUM(V48:Y48)</f>
        <v>0.57322745657877994</v>
      </c>
      <c r="AA48" s="183">
        <f t="shared" ref="AA48:AA87" ca="1" si="19">R48*S48*(1-T48/100)</f>
        <v>0.40332991856691908</v>
      </c>
      <c r="AB48" s="184">
        <f ca="1">$A48+AA48*Design!$B$19</f>
        <v>107.98980535831438</v>
      </c>
      <c r="AC48" s="184">
        <f ca="1">Z48*Design!$C$12+$A48</f>
        <v>104.48973352367852</v>
      </c>
      <c r="AD48" s="184">
        <f ca="1">Constants!$D$22+Constants!$D$22*Constants!$C$23/100*(AC48-25)</f>
        <v>188.59178681894281</v>
      </c>
      <c r="AE48" s="183">
        <f ca="1">IF(100*(Design!$C$29+S48+R48*IF(ISBLANK(Design!$B$43),Constants!$C$6,Design!$B$43)/1000*(1+Constants!$C$36/100*(AC48-25)))/($B48+S48-R48*AD48/1000)&gt;Design!$B$36,   (1-Constants!$D$20/1000000000*IF(ISBLANK(Design!$B$33),Design!$B$32/4,Design!$B$33/4)*1000000) * ($B48+S48-R48*AD48/1000) - (S48+R48*(1+($A48-25)*Constants!$C$36/100)*IF(ISBLANK(Design!$B$43),Constants!$C$6/1000,Design!$B$43/1000)),  (1-Constants!$D$20/1000000000*IF(ISBLANK(Design!$B$33),Design!$B$32,Design!$B$33)*1000000) * ($B48+S48-R48*AD48/1000) - (S48+R48*(1+($A48-25)*Constants!$C$36/100)*IF(ISBLANK(Design!$B$43),Constants!$C$6/1000,Design!$B$43/1000)))</f>
        <v>10.65784075555165</v>
      </c>
      <c r="AF48" s="117">
        <f ca="1">IF(AE48&gt;Design!$C$29,Design!$C$29,AE48)</f>
        <v>4.9990521327014221</v>
      </c>
      <c r="AG48" s="118">
        <f>Design!$D$7/3</f>
        <v>1</v>
      </c>
      <c r="AH48" s="118">
        <f ca="1">FORECAST(AG48, OFFSET(Design!$C$15:$C$17,MATCH(AG48,Design!$B$15:$B$17,1)-1,0,2), OFFSET(Design!$B$15:$B$17,MATCH(AG48,Design!$B$15:$B$17,1)-1,0,2))+(AQ48-25)*Design!$B$18/1000</f>
        <v>0.31242587004191824</v>
      </c>
      <c r="AI48" s="194">
        <f ca="1">IF(100*(Design!$C$29+AH48+AG48*IF(ISBLANK(Design!$B$43),Constants!$C$6,Design!$B$43)/1000*(1+Constants!$C$36/100*(AR48-25)))/($B48+AH48-AG48*AS48/1000)&gt;Design!$B$36,Design!$B$37,100*(Design!$C$29+AH48+AG48*IF(ISBLANK(Design!$B$43),Constants!$C$6,Design!$B$43)/1000*(1+Constants!$C$36/100*(AR48-25)))/($B48+AH48-AG48*AS48/1000))</f>
        <v>44.989885856260138</v>
      </c>
      <c r="AJ48" s="119">
        <f ca="1">IF(($B48-AG48*IF(ISBLANK(Design!$B$43),Constants!$C$6,Design!$B$43)/1000*(1+Constants!$C$36/100*(AR48-25))-Design!$C$29)/(IF(ISBLANK(Design!$B$42),Design!$B$40,Design!$B$42)/1000000)*AI48/100/(IF(ISBLANK(Design!$B$33),Design!$B$32,Design!$B$33)*1000000)&lt;0,0,($B48-AG48*IF(ISBLANK(Design!$B$43),Constants!$C$6,Design!$B$43)/1000*(1+Constants!$C$36/100*(AR48-25))-Design!$C$29)/(IF(ISBLANK(Design!$B$42),Design!$B$40,Design!$B$42)/1000000)*AI48/100/(IF(ISBLANK(Design!$B$33),Design!$B$32,Design!$B$33)*1000000))</f>
        <v>0.71299311827364431</v>
      </c>
      <c r="AK48" s="195">
        <f>$B48*Constants!$C$21/1000+IF(ISBLANK(Design!$B$33),Design!$B$32,Design!$B$33)*1000000*Constants!$D$25/1000000000*($B48-Constants!$C$24)</f>
        <v>4.3880624999999979E-2</v>
      </c>
      <c r="AL48" s="195">
        <f>$B48*AG48*($B48/(Constants!$C$26*1000000000)*IF(ISBLANK(Design!$B$33),Design!$B$32,Design!$B$33)*1000000/2+$B48/(Constants!$C$27*1000000000)*IF(ISBLANK(Design!$B$33),Design!$B$32,Design!$B$33)*1000000/2)</f>
        <v>8.1981452256944379E-2</v>
      </c>
      <c r="AM48" s="195">
        <f t="shared" ca="1" si="15"/>
        <v>8.394145261762849E-2</v>
      </c>
      <c r="AN48" s="195">
        <f>Constants!$D$25/1000000000*Constants!$C$24*IF(ISBLANK(Design!$B$33),Design!$B$32,Design!$B$33)*1000000</f>
        <v>1.0624999999999999E-2</v>
      </c>
      <c r="AO48" s="195">
        <f t="shared" ref="AO48" ca="1" si="20">SUM(AK48:AN48)</f>
        <v>0.22042852987457284</v>
      </c>
      <c r="AP48" s="195">
        <f t="shared" ref="AP48:AP87" ca="1" si="21">AG48*AH48*(1-AI48/100)</f>
        <v>0.1718658277246316</v>
      </c>
      <c r="AQ48" s="196">
        <f ca="1">$A48+AP48*Design!$B$19</f>
        <v>94.796352180303998</v>
      </c>
      <c r="AR48" s="196">
        <f ca="1">AO48*Design!$C$12+$A48</f>
        <v>92.494570015735476</v>
      </c>
      <c r="AS48" s="196">
        <f ca="1">Constants!$D$22+Constants!$D$22*Constants!$C$23/100*(AR48-25)</f>
        <v>178.99565601258837</v>
      </c>
      <c r="AT48" s="195">
        <f ca="1">IF(100*(Design!$C$29+AH48+AG48*IF(ISBLANK(Design!$B$43),Constants!$C$6,Design!$B$43)/1000*(1+Constants!$C$36/100*(AR48-25)))/($B48+AH48-AG48*AS48/1000)&gt;Design!$B$36,   (1-Constants!$D$20/1000000000*IF(ISBLANK(Design!$B$33),Design!$B$32/4,Design!$B$33/4)*1000000) * ($B48+AH48-AG48*AS48/1000) - (AH48+AG48*(1+($A48-25)*Constants!$C$36/100)*IF(ISBLANK(Design!$B$43),Constants!$C$6/1000,Design!$B$43/1000)),  (1-Constants!$D$20/1000000000*IF(ISBLANK(Design!$B$33),Design!$B$32,Design!$B$33)*1000000) * ($B48+AH48-AG48*AS48/1000) - (AH48+AG48*(1+($A48-25)*Constants!$C$36/100)*IF(ISBLANK(Design!$B$43),Constants!$C$6/1000,Design!$B$43/1000)))</f>
        <v>10.898079074662286</v>
      </c>
      <c r="AU48" s="119">
        <f ca="1">IF(AT48&gt;Design!$C$29,Design!$C$29,AT48)</f>
        <v>4.9990521327014221</v>
      </c>
    </row>
    <row r="49" spans="1:47" ht="12.75" customHeight="1" x14ac:dyDescent="0.25">
      <c r="A49" s="112">
        <f>Design!$D$13</f>
        <v>85</v>
      </c>
      <c r="B49" s="113">
        <f t="shared" si="12"/>
        <v>11.569999999999995</v>
      </c>
      <c r="C49" s="114">
        <f>Design!$D$7</f>
        <v>3</v>
      </c>
      <c r="D49" s="114">
        <f ca="1">FORECAST(C49, OFFSET(Design!$C$15:$C$17,MATCH(C49,Design!$B$15:$B$17,1)-1,0,2), OFFSET(Design!$B$15:$B$17,MATCH(C49,Design!$B$15:$B$17,1)-1,0,2))+(M49-25)*Design!$B$18/1000</f>
        <v>0.39090374210774859</v>
      </c>
      <c r="E49" s="173">
        <f ca="1">IF(100*(Design!$C$29+D49+C49*IF(ISBLANK(Design!$B$43),Constants!$C$6,Design!$B$43)/1000*(1+Constants!$C$36/100*(N49-25)))/($B49+D49-C49*O49/1000)&gt;Design!$B$36,Design!$B$37,100*(Design!$C$29+D49+C49*IF(ISBLANK(Design!$B$43),Constants!$C$6,Design!$B$43)/1000*(1+Constants!$C$36/100*(N49-25)))/($B49+D49-C49*O49/1000))</f>
        <v>48.991708308497749</v>
      </c>
      <c r="F49" s="115">
        <f ca="1">IF(($B49-C49*IF(ISBLANK(Design!$B$43),Constants!$C$6,Design!$B$43)/1000*(1+Constants!$C$36/100*(N49-25))-Design!$C$29)/(IF(ISBLANK(Design!$B$42),Design!$B$40,Design!$B$42)/1000000)*E49/100/(IF(ISBLANK(Design!$B$33),Design!$B$32,Design!$B$33)*1000000)&lt;0,0,($B49-C49*IF(ISBLANK(Design!$B$43),Constants!$C$6,Design!$B$43)/1000*(1+Constants!$C$36/100*(N49-25))-Design!$C$29)/(IF(ISBLANK(Design!$B$42),Design!$B$40,Design!$B$42)/1000000)*E49/100/(IF(ISBLANK(Design!$B$33),Design!$B$32,Design!$B$33)*1000000))</f>
        <v>0.73814674105481026</v>
      </c>
      <c r="G49" s="165">
        <f>B49*Constants!$C$21/1000+IF(ISBLANK(Design!$B$33),Design!$B$32,Design!$B$33)*1000000*Constants!$D$25/1000000000*(B49-Constants!$C$24)</f>
        <v>4.2886249999999973E-2</v>
      </c>
      <c r="H49" s="165">
        <f>B49*C49*(B49/(Constants!$C$26*1000000000)*IF(ISBLANK(Design!$B$33),Design!$B$32,Design!$B$33)*1000000/2+B49/(Constants!$C$27*1000000000)*IF(ISBLANK(Design!$B$33),Design!$B$32,Design!$B$33)*1000000/2)</f>
        <v>0.2370524270833331</v>
      </c>
      <c r="I49" s="165">
        <f t="shared" ca="1" si="13"/>
        <v>0.91154786081085792</v>
      </c>
      <c r="J49" s="165">
        <f>Constants!$D$25/1000000000*Constants!$C$24*IF(ISBLANK(Design!$B$33),Design!$B$32,Design!$B$33)*1000000</f>
        <v>1.0624999999999999E-2</v>
      </c>
      <c r="K49" s="165">
        <f ca="1">SUM(G49:J49)</f>
        <v>1.2021115378941911</v>
      </c>
      <c r="L49" s="165">
        <f t="shared" ca="1" si="17"/>
        <v>0.59817996302195431</v>
      </c>
      <c r="M49" s="166">
        <f ca="1">$A49+L49*Design!$B$19</f>
        <v>119.0962578922514</v>
      </c>
      <c r="N49" s="166">
        <f ca="1">K49*Design!$C$12+A49</f>
        <v>125.8717922884025</v>
      </c>
      <c r="O49" s="166">
        <f ca="1">Constants!$D$22+Constants!$D$22*Constants!$C$23/100*(N49-25)</f>
        <v>205.69743383072199</v>
      </c>
      <c r="P49" s="165">
        <f ca="1">IF(100*(Design!$C$29+D49+C49*IF(ISBLANK(Design!$B$43),Constants!$C$6,Design!$B$43)/1000*(1+Constants!$C$36/100*(N49-25)))/($B49+D49-C49*O49/1000)&gt;Design!$B$36,   (1-Constants!$D$20/1000000000*IF(ISBLANK(Design!$B$33),Design!$B$32/4,Design!$B$33/4)*1000000) * ($B49+D49-C49*O49/1000) - (D49+C49*(1+($A49-25)*Constants!$C$36/100)*IF(ISBLANK(Design!$B$43),Constants!$C$6/1000,Design!$B$43/1000)),  (1-Constants!$D$20/1000000000*IF(ISBLANK(Design!$B$33),Design!$B$32,Design!$B$33)*1000000) * ($B49+D49-C49*O49/1000) - (D49+C49*(1+($A49-25)*Constants!$C$36/100)*IF(ISBLANK(Design!$B$43),Constants!$C$6/1000,Design!$B$43/1000)))</f>
        <v>10.177866116413817</v>
      </c>
      <c r="Q49" s="115">
        <f ca="1">IF(P49&gt;Design!$C$29,Design!$C$29,P49)</f>
        <v>4.9990521327014221</v>
      </c>
      <c r="R49" s="116">
        <f>2*Design!$D$7/3</f>
        <v>2</v>
      </c>
      <c r="S49" s="116">
        <f ca="1">FORECAST(R49, OFFSET(Design!$C$15:$C$17,MATCH(R49,Design!$B$15:$B$17,1)-1,0,2), OFFSET(Design!$B$15:$B$17,MATCH(R49,Design!$B$15:$B$17,1)-1,0,2))+(AB49-25)*Design!$B$18/1000</f>
        <v>0.37736121913271414</v>
      </c>
      <c r="T49" s="182">
        <f ca="1">IF(100*(Design!$C$29+S49+R49*IF(ISBLANK(Design!$B$43),Constants!$C$6,Design!$B$43)/1000*(1+Constants!$C$36/100*(AC49-25)))/($B49+S49-R49*AD49/1000)&gt;Design!$B$36,Design!$B$37,100*(Design!$C$29+S49+R49*IF(ISBLANK(Design!$B$43),Constants!$C$6,Design!$B$43)/1000*(1+Constants!$C$36/100*(AC49-25)))/($B49+S49-R49*AD49/1000))</f>
        <v>47.375144288047601</v>
      </c>
      <c r="U49" s="117">
        <f ca="1">IF(($B49-R49*IF(ISBLANK(Design!$B$43),Constants!$C$6,Design!$B$43)/1000*(1+Constants!$C$36/100*(AC49-25))-Design!$C$29)/(IF(ISBLANK(Design!$B$42),Design!$B$40,Design!$B$42)/1000000)*T49/100/(IF(ISBLANK(Design!$B$33),Design!$B$32,Design!$B$33)*1000000)&lt;0,0,($B49-R49*IF(ISBLANK(Design!$B$43),Constants!$C$6,Design!$B$43)/1000*(1+Constants!$C$36/100*(AC49-25))-Design!$C$29)/(IF(ISBLANK(Design!$B$42),Design!$B$40,Design!$B$42)/1000000)*T49/100/(IF(ISBLANK(Design!$B$33),Design!$B$32,Design!$B$33)*1000000))</f>
        <v>0.72076668843350067</v>
      </c>
      <c r="V49" s="183">
        <f>$B49*Constants!$C$21/1000+IF(ISBLANK(Design!$B$33),Design!$B$32,Design!$B$33)*1000000*Constants!$D$25/1000000000*($B49-Constants!$C$24)</f>
        <v>4.2886249999999973E-2</v>
      </c>
      <c r="W49" s="183">
        <f>$B49*R49*($B49/(Constants!$C$26*1000000000)*IF(ISBLANK(Design!$B$33),Design!$B$32,Design!$B$33)*1000000/2+$B49/(Constants!$C$27*1000000000)*IF(ISBLANK(Design!$B$33),Design!$B$32,Design!$B$33)*1000000/2)</f>
        <v>0.15803495138888873</v>
      </c>
      <c r="X49" s="183">
        <f t="shared" ca="1" si="14"/>
        <v>0.36122680223915671</v>
      </c>
      <c r="Y49" s="183">
        <f>Constants!$D$25/1000000000*Constants!$C$24*IF(ISBLANK(Design!$B$33),Design!$B$32,Design!$B$33)*1000000</f>
        <v>1.0624999999999999E-2</v>
      </c>
      <c r="Z49" s="183">
        <f ca="1">SUM(V49:Y49)</f>
        <v>0.5727730036280454</v>
      </c>
      <c r="AA49" s="183">
        <f t="shared" ca="1" si="19"/>
        <v>0.39717159416291065</v>
      </c>
      <c r="AB49" s="184">
        <f ca="1">$A49+AA49*Design!$B$19</f>
        <v>107.6387808672859</v>
      </c>
      <c r="AC49" s="184">
        <f ca="1">Z49*Design!$C$12+$A49</f>
        <v>104.47428212335355</v>
      </c>
      <c r="AD49" s="184">
        <f ca="1">Constants!$D$22+Constants!$D$22*Constants!$C$23/100*(AC49-25)</f>
        <v>188.57942569868283</v>
      </c>
      <c r="AE49" s="183">
        <f ca="1">IF(100*(Design!$C$29+S49+R49*IF(ISBLANK(Design!$B$43),Constants!$C$6,Design!$B$43)/1000*(1+Constants!$C$36/100*(AC49-25)))/($B49+S49-R49*AD49/1000)&gt;Design!$B$36,   (1-Constants!$D$20/1000000000*IF(ISBLANK(Design!$B$33),Design!$B$32/4,Design!$B$33/4)*1000000) * ($B49+S49-R49*AD49/1000) - (S49+R49*(1+($A49-25)*Constants!$C$36/100)*IF(ISBLANK(Design!$B$43),Constants!$C$6/1000,Design!$B$43/1000)),  (1-Constants!$D$20/1000000000*IF(ISBLANK(Design!$B$33),Design!$B$32,Design!$B$33)*1000000) * ($B49+S49-R49*AD49/1000) - (S49+R49*(1+($A49-25)*Constants!$C$36/100)*IF(ISBLANK(Design!$B$43),Constants!$C$6/1000,Design!$B$43/1000)))</f>
        <v>10.45472346778525</v>
      </c>
      <c r="AF49" s="117">
        <f ca="1">IF(AE49&gt;Design!$C$29,Design!$C$29,AE49)</f>
        <v>4.9990521327014221</v>
      </c>
      <c r="AG49" s="118">
        <f>Design!$D$7/3</f>
        <v>1</v>
      </c>
      <c r="AH49" s="118">
        <f ca="1">FORECAST(AG49, OFFSET(Design!$C$15:$C$17,MATCH(AG49,Design!$B$15:$B$17,1)-1,0,2), OFFSET(Design!$B$15:$B$17,MATCH(AG49,Design!$B$15:$B$17,1)-1,0,2))+(AQ49-25)*Design!$B$18/1000</f>
        <v>0.31256869228891543</v>
      </c>
      <c r="AI49" s="194">
        <f ca="1">IF(100*(Design!$C$29+AH49+AG49*IF(ISBLANK(Design!$B$43),Constants!$C$6,Design!$B$43)/1000*(1+Constants!$C$36/100*(AR49-25)))/($B49+AH49-AG49*AS49/1000)&gt;Design!$B$36,Design!$B$37,100*(Design!$C$29+AH49+AG49*IF(ISBLANK(Design!$B$43),Constants!$C$6,Design!$B$43)/1000*(1+Constants!$C$36/100*(AR49-25)))/($B49+AH49-AG49*AS49/1000))</f>
        <v>45.816654563728072</v>
      </c>
      <c r="AJ49" s="119">
        <f ca="1">IF(($B49-AG49*IF(ISBLANK(Design!$B$43),Constants!$C$6,Design!$B$43)/1000*(1+Constants!$C$36/100*(AR49-25))-Design!$C$29)/(IF(ISBLANK(Design!$B$42),Design!$B$40,Design!$B$42)/1000000)*AI49/100/(IF(ISBLANK(Design!$B$33),Design!$B$32,Design!$B$33)*1000000)&lt;0,0,($B49-AG49*IF(ISBLANK(Design!$B$43),Constants!$C$6,Design!$B$43)/1000*(1+Constants!$C$36/100*(AR49-25))-Design!$C$29)/(IF(ISBLANK(Design!$B$42),Design!$B$40,Design!$B$42)/1000000)*AI49/100/(IF(ISBLANK(Design!$B$33),Design!$B$32,Design!$B$33)*1000000))</f>
        <v>0.70291925773322472</v>
      </c>
      <c r="AK49" s="195">
        <f>$B49*Constants!$C$21/1000+IF(ISBLANK(Design!$B$33),Design!$B$32,Design!$B$33)*1000000*Constants!$D$25/1000000000*($B49-Constants!$C$24)</f>
        <v>4.2886249999999973E-2</v>
      </c>
      <c r="AL49" s="195">
        <f>$B49*AG49*($B49/(Constants!$C$26*1000000000)*IF(ISBLANK(Design!$B$33),Design!$B$32,Design!$B$33)*1000000/2+$B49/(Constants!$C$27*1000000000)*IF(ISBLANK(Design!$B$33),Design!$B$32,Design!$B$33)*1000000/2)</f>
        <v>7.9017475694444367E-2</v>
      </c>
      <c r="AM49" s="195">
        <f t="shared" ca="1" si="15"/>
        <v>8.5353506061165901E-2</v>
      </c>
      <c r="AN49" s="195">
        <f>Constants!$D$25/1000000000*Constants!$C$24*IF(ISBLANK(Design!$B$33),Design!$B$32,Design!$B$33)*1000000</f>
        <v>1.0624999999999999E-2</v>
      </c>
      <c r="AO49" s="195">
        <f ca="1">SUM(AK49:AN49)</f>
        <v>0.21788223175561022</v>
      </c>
      <c r="AP49" s="195">
        <f t="shared" ca="1" si="21"/>
        <v>0.16936017426854089</v>
      </c>
      <c r="AQ49" s="196">
        <f ca="1">$A49+AP49*Design!$B$19</f>
        <v>94.653529933306828</v>
      </c>
      <c r="AR49" s="196">
        <f ca="1">AO49*Design!$C$12+$A49</f>
        <v>92.407995879690745</v>
      </c>
      <c r="AS49" s="196">
        <f ca="1">Constants!$D$22+Constants!$D$22*Constants!$C$23/100*(AR49-25)</f>
        <v>178.9263967037526</v>
      </c>
      <c r="AT49" s="195">
        <f ca="1">IF(100*(Design!$C$29+AH49+AG49*IF(ISBLANK(Design!$B$43),Constants!$C$6,Design!$B$43)/1000*(1+Constants!$C$36/100*(AR49-25)))/($B49+AH49-AG49*AS49/1000)&gt;Design!$B$36,   (1-Constants!$D$20/1000000000*IF(ISBLANK(Design!$B$33),Design!$B$32/4,Design!$B$33/4)*1000000) * ($B49+AH49-AG49*AS49/1000) - (AH49+AG49*(1+($A49-25)*Constants!$C$36/100)*IF(ISBLANK(Design!$B$43),Constants!$C$6/1000,Design!$B$43/1000)),  (1-Constants!$D$20/1000000000*IF(ISBLANK(Design!$B$33),Design!$B$32,Design!$B$33)*1000000) * ($B49+AH49-AG49*AS49/1000) - (AH49+AG49*(1+($A49-25)*Constants!$C$36/100)*IF(ISBLANK(Design!$B$43),Constants!$C$6/1000,Design!$B$43/1000)))</f>
        <v>10.69501536646516</v>
      </c>
      <c r="AU49" s="119">
        <f ca="1">IF(AT49&gt;Design!$C$29,Design!$C$29,AT49)</f>
        <v>4.9990521327014221</v>
      </c>
    </row>
    <row r="50" spans="1:47" ht="12.75" customHeight="1" x14ac:dyDescent="0.25">
      <c r="A50" s="112">
        <f>Design!$D$13</f>
        <v>85</v>
      </c>
      <c r="B50" s="113">
        <f t="shared" si="12"/>
        <v>11.354999999999995</v>
      </c>
      <c r="C50" s="114">
        <f>Design!$D$7</f>
        <v>3</v>
      </c>
      <c r="D50" s="114">
        <f ca="1">FORECAST(C50, OFFSET(Design!$C$15:$C$17,MATCH(C50,Design!$B$15:$B$17,1)-1,0,2), OFFSET(Design!$B$15:$B$17,MATCH(C50,Design!$B$15:$B$17,1)-1,0,2))+(M50-25)*Design!$B$18/1000</f>
        <v>0.39149098174627678</v>
      </c>
      <c r="E50" s="173">
        <f ca="1">IF(100*(Design!$C$29+D50+C50*IF(ISBLANK(Design!$B$43),Constants!$C$6,Design!$B$43)/1000*(1+Constants!$C$36/100*(N50-25)))/($B50+D50-C50*O50/1000)&gt;Design!$B$36,Design!$B$37,100*(Design!$C$29+D50+C50*IF(ISBLANK(Design!$B$43),Constants!$C$6,Design!$B$43)/1000*(1+Constants!$C$36/100*(N50-25)))/($B50+D50-C50*O50/1000))</f>
        <v>49.945418870106963</v>
      </c>
      <c r="F50" s="115">
        <f ca="1">IF(($B50-C50*IF(ISBLANK(Design!$B$43),Constants!$C$6,Design!$B$43)/1000*(1+Constants!$C$36/100*(N50-25))-Design!$C$29)/(IF(ISBLANK(Design!$B$42),Design!$B$40,Design!$B$42)/1000000)*E50/100/(IF(ISBLANK(Design!$B$33),Design!$B$32,Design!$B$33)*1000000)&lt;0,0,($B50-C50*IF(ISBLANK(Design!$B$43),Constants!$C$6,Design!$B$43)/1000*(1+Constants!$C$36/100*(N50-25))-Design!$C$29)/(IF(ISBLANK(Design!$B$42),Design!$B$40,Design!$B$42)/1000000)*E50/100/(IF(ISBLANK(Design!$B$33),Design!$B$32,Design!$B$33)*1000000))</f>
        <v>0.7272326314580505</v>
      </c>
      <c r="G50" s="165">
        <f>B50*Constants!$C$21/1000+IF(ISBLANK(Design!$B$33),Design!$B$32,Design!$B$33)*1000000*Constants!$D$25/1000000000*(B50-Constants!$C$24)</f>
        <v>4.1891874999999981E-2</v>
      </c>
      <c r="H50" s="165">
        <f>B50*C50*(B50/(Constants!$C$26*1000000000)*IF(ISBLANK(Design!$B$33),Design!$B$32,Design!$B$33)*1000000/2+B50/(Constants!$C$27*1000000000)*IF(ISBLANK(Design!$B$33),Design!$B$32,Design!$B$33)*1000000/2)</f>
        <v>0.22832421093749983</v>
      </c>
      <c r="I50" s="165">
        <f t="shared" ca="1" si="13"/>
        <v>0.93026038202511596</v>
      </c>
      <c r="J50" s="165">
        <f>Constants!$D$25/1000000000*Constants!$C$24*IF(ISBLANK(Design!$B$33),Design!$B$32,Design!$B$33)*1000000</f>
        <v>1.0624999999999999E-2</v>
      </c>
      <c r="K50" s="165">
        <f t="shared" ref="K50:K87" ca="1" si="22">SUM(G50:J50)</f>
        <v>1.211101467962616</v>
      </c>
      <c r="L50" s="165">
        <f t="shared" ca="1" si="17"/>
        <v>0.58787751322321458</v>
      </c>
      <c r="M50" s="166">
        <f ca="1">$A50+L50*Design!$B$19</f>
        <v>118.50901825372324</v>
      </c>
      <c r="N50" s="166">
        <f ca="1">K50*Design!$C$12+A50</f>
        <v>126.17744991072894</v>
      </c>
      <c r="O50" s="166">
        <f ca="1">Constants!$D$22+Constants!$D$22*Constants!$C$23/100*(N50-25)</f>
        <v>205.94195992858317</v>
      </c>
      <c r="P50" s="165">
        <f ca="1">IF(100*(Design!$C$29+D50+C50*IF(ISBLANK(Design!$B$43),Constants!$C$6,Design!$B$43)/1000*(1+Constants!$C$36/100*(N50-25)))/($B50+D50-C50*O50/1000)&gt;Design!$B$36,   (1-Constants!$D$20/1000000000*IF(ISBLANK(Design!$B$33),Design!$B$32/4,Design!$B$33/4)*1000000) * ($B50+D50-C50*O50/1000) - (D50+C50*(1+($A50-25)*Constants!$C$36/100)*IF(ISBLANK(Design!$B$43),Constants!$C$6/1000,Design!$B$43/1000)),  (1-Constants!$D$20/1000000000*IF(ISBLANK(Design!$B$33),Design!$B$32,Design!$B$33)*1000000) * ($B50+D50-C50*O50/1000) - (D50+C50*(1+($A50-25)*Constants!$C$36/100)*IF(ISBLANK(Design!$B$43),Constants!$C$6/1000,Design!$B$43/1000)))</f>
        <v>9.9740193733309255</v>
      </c>
      <c r="Q50" s="115">
        <f ca="1">IF(P50&gt;Design!$C$29,Design!$C$29,P50)</f>
        <v>4.9990521327014221</v>
      </c>
      <c r="R50" s="116">
        <f>2*Design!$D$7/3</f>
        <v>2</v>
      </c>
      <c r="S50" s="116">
        <f ca="1">FORECAST(R50, OFFSET(Design!$C$15:$C$17,MATCH(R50,Design!$B$15:$B$17,1)-1,0,2), OFFSET(Design!$B$15:$B$17,MATCH(R50,Design!$B$15:$B$17,1)-1,0,2))+(AB50-25)*Design!$B$18/1000</f>
        <v>0.37772627968996242</v>
      </c>
      <c r="T50" s="182">
        <f ca="1">IF(100*(Design!$C$29+S50+R50*IF(ISBLANK(Design!$B$43),Constants!$C$6,Design!$B$43)/1000*(1+Constants!$C$36/100*(AC50-25)))/($B50+S50-R50*AD50/1000)&gt;Design!$B$36,Design!$B$37,100*(Design!$C$29+S50+R50*IF(ISBLANK(Design!$B$43),Constants!$C$6,Design!$B$43)/1000*(1+Constants!$C$36/100*(AC50-25)))/($B50+S50-R50*AD50/1000))</f>
        <v>48.273783954897567</v>
      </c>
      <c r="U50" s="117">
        <f ca="1">IF(($B50-R50*IF(ISBLANK(Design!$B$43),Constants!$C$6,Design!$B$43)/1000*(1+Constants!$C$36/100*(AC50-25))-Design!$C$29)/(IF(ISBLANK(Design!$B$42),Design!$B$40,Design!$B$42)/1000000)*T50/100/(IF(ISBLANK(Design!$B$33),Design!$B$32,Design!$B$33)*1000000)&lt;0,0,($B50-R50*IF(ISBLANK(Design!$B$43),Constants!$C$6,Design!$B$43)/1000*(1+Constants!$C$36/100*(AC50-25))-Design!$C$29)/(IF(ISBLANK(Design!$B$42),Design!$B$40,Design!$B$42)/1000000)*T50/100/(IF(ISBLANK(Design!$B$33),Design!$B$32,Design!$B$33)*1000000))</f>
        <v>0.71001786037197978</v>
      </c>
      <c r="V50" s="183">
        <f>$B50*Constants!$C$21/1000+IF(ISBLANK(Design!$B$33),Design!$B$32,Design!$B$33)*1000000*Constants!$D$25/1000000000*($B50-Constants!$C$24)</f>
        <v>4.1891874999999981E-2</v>
      </c>
      <c r="W50" s="183">
        <f>$B50*R50*($B50/(Constants!$C$26*1000000000)*IF(ISBLANK(Design!$B$33),Design!$B$32,Design!$B$33)*1000000/2+$B50/(Constants!$C$27*1000000000)*IF(ISBLANK(Design!$B$33),Design!$B$32,Design!$B$33)*1000000/2)</f>
        <v>0.15221614062499988</v>
      </c>
      <c r="X50" s="183">
        <f t="shared" ca="1" si="14"/>
        <v>0.36795772927531278</v>
      </c>
      <c r="Y50" s="183">
        <f>Constants!$D$25/1000000000*Constants!$C$24*IF(ISBLANK(Design!$B$33),Design!$B$32,Design!$B$33)*1000000</f>
        <v>1.0624999999999999E-2</v>
      </c>
      <c r="Z50" s="183">
        <f t="shared" ref="Z50:Z87" ca="1" si="23">SUM(V50:Y50)</f>
        <v>0.57269074490031258</v>
      </c>
      <c r="AA50" s="183">
        <f t="shared" ca="1" si="19"/>
        <v>0.39076702298311566</v>
      </c>
      <c r="AB50" s="184">
        <f ca="1">$A50+AA50*Design!$B$19</f>
        <v>107.27372031003759</v>
      </c>
      <c r="AC50" s="184">
        <f ca="1">Z50*Design!$C$12+$A50</f>
        <v>104.47148532661063</v>
      </c>
      <c r="AD50" s="184">
        <f ca="1">Constants!$D$22+Constants!$D$22*Constants!$C$23/100*(AC50-25)</f>
        <v>188.57718826128851</v>
      </c>
      <c r="AE50" s="183">
        <f ca="1">IF(100*(Design!$C$29+S50+R50*IF(ISBLANK(Design!$B$43),Constants!$C$6,Design!$B$43)/1000*(1+Constants!$C$36/100*(AC50-25)))/($B50+S50-R50*AD50/1000)&gt;Design!$B$36,   (1-Constants!$D$20/1000000000*IF(ISBLANK(Design!$B$33),Design!$B$32/4,Design!$B$33/4)*1000000) * ($B50+S50-R50*AD50/1000) - (S50+R50*(1+($A50-25)*Constants!$C$36/100)*IF(ISBLANK(Design!$B$43),Constants!$C$6/1000,Design!$B$43/1000)),  (1-Constants!$D$20/1000000000*IF(ISBLANK(Design!$B$33),Design!$B$32,Design!$B$33)*1000000) * ($B50+S50-R50*AD50/1000) - (S50+R50*(1+($A50-25)*Constants!$C$36/100)*IF(ISBLANK(Design!$B$43),Constants!$C$6/1000,Design!$B$43/1000)))</f>
        <v>10.251586275827421</v>
      </c>
      <c r="AF50" s="117">
        <f ca="1">IF(AE50&gt;Design!$C$29,Design!$C$29,AE50)</f>
        <v>4.9990521327014221</v>
      </c>
      <c r="AG50" s="118">
        <f>Design!$D$7/3</f>
        <v>1</v>
      </c>
      <c r="AH50" s="118">
        <f ca="1">FORECAST(AG50, OFFSET(Design!$C$15:$C$17,MATCH(AG50,Design!$B$15:$B$17,1)-1,0,2), OFFSET(Design!$B$15:$B$17,MATCH(AG50,Design!$B$15:$B$17,1)-1,0,2))+(AQ50-25)*Design!$B$18/1000</f>
        <v>0.31271700011671538</v>
      </c>
      <c r="AI50" s="194">
        <f ca="1">IF(100*(Design!$C$29+AH50+AG50*IF(ISBLANK(Design!$B$43),Constants!$C$6,Design!$B$43)/1000*(1+Constants!$C$36/100*(AR50-25)))/($B50+AH50-AG50*AS50/1000)&gt;Design!$B$36,Design!$B$37,100*(Design!$C$29+AH50+AG50*IF(ISBLANK(Design!$B$43),Constants!$C$6,Design!$B$43)/1000*(1+Constants!$C$36/100*(AR50-25)))/($B50+AH50-AG50*AS50/1000))</f>
        <v>46.674378914317778</v>
      </c>
      <c r="AJ50" s="119">
        <f ca="1">IF(($B50-AG50*IF(ISBLANK(Design!$B$43),Constants!$C$6,Design!$B$43)/1000*(1+Constants!$C$36/100*(AR50-25))-Design!$C$29)/(IF(ISBLANK(Design!$B$42),Design!$B$40,Design!$B$42)/1000000)*AI50/100/(IF(ISBLANK(Design!$B$33),Design!$B$32,Design!$B$33)*1000000)&lt;0,0,($B50-AG50*IF(ISBLANK(Design!$B$43),Constants!$C$6,Design!$B$43)/1000*(1+Constants!$C$36/100*(AR50-25))-Design!$C$29)/(IF(ISBLANK(Design!$B$42),Design!$B$40,Design!$B$42)/1000000)*AI50/100/(IF(ISBLANK(Design!$B$33),Design!$B$32,Design!$B$33)*1000000))</f>
        <v>0.69246815476383983</v>
      </c>
      <c r="AK50" s="195">
        <f>$B50*Constants!$C$21/1000+IF(ISBLANK(Design!$B$33),Design!$B$32,Design!$B$33)*1000000*Constants!$D$25/1000000000*($B50-Constants!$C$24)</f>
        <v>4.1891874999999981E-2</v>
      </c>
      <c r="AL50" s="195">
        <f>$B50*AG50*($B50/(Constants!$C$26*1000000000)*IF(ISBLANK(Design!$B$33),Design!$B$32,Design!$B$33)*1000000/2+$B50/(Constants!$C$27*1000000000)*IF(ISBLANK(Design!$B$33),Design!$B$32,Design!$B$33)*1000000/2)</f>
        <v>7.6108070312499942E-2</v>
      </c>
      <c r="AM50" s="195">
        <f t="shared" ca="1" si="15"/>
        <v>8.6817691253404661E-2</v>
      </c>
      <c r="AN50" s="195">
        <f>Constants!$D$25/1000000000*Constants!$C$24*IF(ISBLANK(Design!$B$33),Design!$B$32,Design!$B$33)*1000000</f>
        <v>1.0624999999999999E-2</v>
      </c>
      <c r="AO50" s="195">
        <f t="shared" ref="AO50:AO87" ca="1" si="24">SUM(AK50:AN50)</f>
        <v>0.21544263656590457</v>
      </c>
      <c r="AP50" s="195">
        <f t="shared" ca="1" si="21"/>
        <v>0.16675828255275207</v>
      </c>
      <c r="AQ50" s="196">
        <f ca="1">$A50+AP50*Design!$B$19</f>
        <v>94.505222105506874</v>
      </c>
      <c r="AR50" s="196">
        <f ca="1">AO50*Design!$C$12+$A50</f>
        <v>92.32504964324076</v>
      </c>
      <c r="AS50" s="196">
        <f ca="1">Constants!$D$22+Constants!$D$22*Constants!$C$23/100*(AR50-25)</f>
        <v>178.8600397145926</v>
      </c>
      <c r="AT50" s="195">
        <f ca="1">IF(100*(Design!$C$29+AH50+AG50*IF(ISBLANK(Design!$B$43),Constants!$C$6,Design!$B$43)/1000*(1+Constants!$C$36/100*(AR50-25)))/($B50+AH50-AG50*AS50/1000)&gt;Design!$B$36,   (1-Constants!$D$20/1000000000*IF(ISBLANK(Design!$B$33),Design!$B$32/4,Design!$B$33/4)*1000000) * ($B50+AH50-AG50*AS50/1000) - (AH50+AG50*(1+($A50-25)*Constants!$C$36/100)*IF(ISBLANK(Design!$B$43),Constants!$C$6/1000,Design!$B$43/1000)),  (1-Constants!$D$20/1000000000*IF(ISBLANK(Design!$B$33),Design!$B$32,Design!$B$33)*1000000) * ($B50+AH50-AG50*AS50/1000) - (AH50+AG50*(1+($A50-25)*Constants!$C$36/100)*IF(ISBLANK(Design!$B$43),Constants!$C$6/1000,Design!$B$43/1000)))</f>
        <v>10.491948613223183</v>
      </c>
      <c r="AU50" s="119">
        <f ca="1">IF(AT50&gt;Design!$C$29,Design!$C$29,AT50)</f>
        <v>4.9990521327014221</v>
      </c>
    </row>
    <row r="51" spans="1:47" ht="12.75" customHeight="1" x14ac:dyDescent="0.25">
      <c r="A51" s="112">
        <f>Design!$D$13</f>
        <v>85</v>
      </c>
      <c r="B51" s="113">
        <f t="shared" si="12"/>
        <v>11.139999999999995</v>
      </c>
      <c r="C51" s="114">
        <f>Design!$D$7</f>
        <v>3</v>
      </c>
      <c r="D51" s="114">
        <f ca="1">FORECAST(C51, OFFSET(Design!$C$15:$C$17,MATCH(C51,Design!$B$15:$B$17,1)-1,0,2), OFFSET(Design!$B$15:$B$17,MATCH(C51,Design!$B$15:$B$17,1)-1,0,2))+(M51-25)*Design!$B$18/1000</f>
        <v>0.3921036583699759</v>
      </c>
      <c r="E51" s="173">
        <f ca="1">IF(100*(Design!$C$29+D51+C51*IF(ISBLANK(Design!$B$43),Constants!$C$6,Design!$B$43)/1000*(1+Constants!$C$36/100*(N51-25)))/($B51+D51-C51*O51/1000)&gt;Design!$B$36,Design!$B$37,100*(Design!$C$29+D51+C51*IF(ISBLANK(Design!$B$43),Constants!$C$6,Design!$B$43)/1000*(1+Constants!$C$36/100*(N51-25)))/($B51+D51-C51*O51/1000))</f>
        <v>50.937395574941014</v>
      </c>
      <c r="F51" s="115">
        <f ca="1">IF(($B51-C51*IF(ISBLANK(Design!$B$43),Constants!$C$6,Design!$B$43)/1000*(1+Constants!$C$36/100*(N51-25))-Design!$C$29)/(IF(ISBLANK(Design!$B$42),Design!$B$40,Design!$B$42)/1000000)*E51/100/(IF(ISBLANK(Design!$B$33),Design!$B$32,Design!$B$33)*1000000)&lt;0,0,($B51-C51*IF(ISBLANK(Design!$B$43),Constants!$C$6,Design!$B$43)/1000*(1+Constants!$C$36/100*(N51-25))-Design!$C$29)/(IF(ISBLANK(Design!$B$42),Design!$B$40,Design!$B$42)/1000000)*E51/100/(IF(ISBLANK(Design!$B$33),Design!$B$32,Design!$B$33)*1000000))</f>
        <v>0.71588874867838648</v>
      </c>
      <c r="G51" s="165">
        <f>B51*Constants!$C$21/1000+IF(ISBLANK(Design!$B$33),Design!$B$32,Design!$B$33)*1000000*Constants!$D$25/1000000000*(B51-Constants!$C$24)</f>
        <v>4.0897499999999976E-2</v>
      </c>
      <c r="H51" s="165">
        <f>B51*C51*(B51/(Constants!$C$26*1000000000)*IF(ISBLANK(Design!$B$33),Design!$B$32,Design!$B$33)*1000000/2+B51/(Constants!$C$27*1000000000)*IF(ISBLANK(Design!$B$33),Design!$B$32,Design!$B$33)*1000000/2)</f>
        <v>0.21975970833333314</v>
      </c>
      <c r="I51" s="165">
        <f t="shared" ca="1" si="13"/>
        <v>0.94985010423475613</v>
      </c>
      <c r="J51" s="165">
        <f>Constants!$D$25/1000000000*Constants!$C$24*IF(ISBLANK(Design!$B$33),Design!$B$32,Design!$B$33)*1000000</f>
        <v>1.0624999999999999E-2</v>
      </c>
      <c r="K51" s="165">
        <f t="shared" ca="1" si="22"/>
        <v>1.2211323125680893</v>
      </c>
      <c r="L51" s="165">
        <f t="shared" ca="1" si="17"/>
        <v>0.57712880052673787</v>
      </c>
      <c r="M51" s="166">
        <f ca="1">$A51+L51*Design!$B$19</f>
        <v>117.89634163002407</v>
      </c>
      <c r="N51" s="166">
        <f ca="1">K51*Design!$C$12+A51</f>
        <v>126.51849862731504</v>
      </c>
      <c r="O51" s="166">
        <f ca="1">Constants!$D$22+Constants!$D$22*Constants!$C$23/100*(N51-25)</f>
        <v>206.21479890185202</v>
      </c>
      <c r="P51" s="165">
        <f ca="1">IF(100*(Design!$C$29+D51+C51*IF(ISBLANK(Design!$B$43),Constants!$C$6,Design!$B$43)/1000*(1+Constants!$C$36/100*(N51-25)))/($B51+D51-C51*O51/1000)&gt;Design!$B$36,   (1-Constants!$D$20/1000000000*IF(ISBLANK(Design!$B$33),Design!$B$32/4,Design!$B$33/4)*1000000) * ($B51+D51-C51*O51/1000) - (D51+C51*(1+($A51-25)*Constants!$C$36/100)*IF(ISBLANK(Design!$B$43),Constants!$C$6/1000,Design!$B$43/1000)),  (1-Constants!$D$20/1000000000*IF(ISBLANK(Design!$B$33),Design!$B$32,Design!$B$33)*1000000) * ($B51+D51-C51*O51/1000) - (D51+C51*(1+($A51-25)*Constants!$C$36/100)*IF(ISBLANK(Design!$B$43),Constants!$C$6/1000,Design!$B$43/1000)))</f>
        <v>9.7700909790874793</v>
      </c>
      <c r="Q51" s="115">
        <f ca="1">IF(P51&gt;Design!$C$29,Design!$C$29,P51)</f>
        <v>4.9990521327014221</v>
      </c>
      <c r="R51" s="116">
        <f>2*Design!$D$7/3</f>
        <v>2</v>
      </c>
      <c r="S51" s="116">
        <f ca="1">FORECAST(R51, OFFSET(Design!$C$15:$C$17,MATCH(R51,Design!$B$15:$B$17,1)-1,0,2), OFFSET(Design!$B$15:$B$17,MATCH(R51,Design!$B$15:$B$17,1)-1,0,2))+(AB51-25)*Design!$B$18/1000</f>
        <v>0.37810623532632598</v>
      </c>
      <c r="T51" s="182">
        <f ca="1">IF(100*(Design!$C$29+S51+R51*IF(ISBLANK(Design!$B$43),Constants!$C$6,Design!$B$43)/1000*(1+Constants!$C$36/100*(AC51-25)))/($B51+S51-R51*AD51/1000)&gt;Design!$B$36,Design!$B$37,100*(Design!$C$29+S51+R51*IF(ISBLANK(Design!$B$43),Constants!$C$6,Design!$B$43)/1000*(1+Constants!$C$36/100*(AC51-25)))/($B51+S51-R51*AD51/1000))</f>
        <v>49.207246702192002</v>
      </c>
      <c r="U51" s="117">
        <f ca="1">IF(($B51-R51*IF(ISBLANK(Design!$B$43),Constants!$C$6,Design!$B$43)/1000*(1+Constants!$C$36/100*(AC51-25))-Design!$C$29)/(IF(ISBLANK(Design!$B$42),Design!$B$40,Design!$B$42)/1000000)*T51/100/(IF(ISBLANK(Design!$B$33),Design!$B$32,Design!$B$33)*1000000)&lt;0,0,($B51-R51*IF(ISBLANK(Design!$B$43),Constants!$C$6,Design!$B$43)/1000*(1+Constants!$C$36/100*(AC51-25))-Design!$C$29)/(IF(ISBLANK(Design!$B$42),Design!$B$40,Design!$B$42)/1000000)*T51/100/(IF(ISBLANK(Design!$B$33),Design!$B$32,Design!$B$33)*1000000))</f>
        <v>0.69885391020962928</v>
      </c>
      <c r="V51" s="183">
        <f>$B51*Constants!$C$21/1000+IF(ISBLANK(Design!$B$33),Design!$B$32,Design!$B$33)*1000000*Constants!$D$25/1000000000*($B51-Constants!$C$24)</f>
        <v>4.0897499999999976E-2</v>
      </c>
      <c r="W51" s="183">
        <f>$B51*R51*($B51/(Constants!$C$26*1000000000)*IF(ISBLANK(Design!$B$33),Design!$B$32,Design!$B$33)*1000000/2+$B51/(Constants!$C$27*1000000000)*IF(ISBLANK(Design!$B$33),Design!$B$32,Design!$B$33)*1000000/2)</f>
        <v>0.1465064722222221</v>
      </c>
      <c r="X51" s="183">
        <f t="shared" ca="1" si="14"/>
        <v>0.37496779581994294</v>
      </c>
      <c r="Y51" s="183">
        <f>Constants!$D$25/1000000000*Constants!$C$24*IF(ISBLANK(Design!$B$33),Design!$B$32,Design!$B$33)*1000000</f>
        <v>1.0624999999999999E-2</v>
      </c>
      <c r="Z51" s="183">
        <f t="shared" ca="1" si="23"/>
        <v>0.57299676804216504</v>
      </c>
      <c r="AA51" s="183">
        <f t="shared" ca="1" si="19"/>
        <v>0.38410113462586015</v>
      </c>
      <c r="AB51" s="184">
        <f ca="1">$A51+AA51*Design!$B$19</f>
        <v>106.89376467367403</v>
      </c>
      <c r="AC51" s="184">
        <f ca="1">Z51*Design!$C$12+$A51</f>
        <v>104.48189011343361</v>
      </c>
      <c r="AD51" s="184">
        <f ca="1">Constants!$D$22+Constants!$D$22*Constants!$C$23/100*(AC51-25)</f>
        <v>188.58551209074687</v>
      </c>
      <c r="AE51" s="183">
        <f ca="1">IF(100*(Design!$C$29+S51+R51*IF(ISBLANK(Design!$B$43),Constants!$C$6,Design!$B$43)/1000*(1+Constants!$C$36/100*(AC51-25)))/($B51+S51-R51*AD51/1000)&gt;Design!$B$36,   (1-Constants!$D$20/1000000000*IF(ISBLANK(Design!$B$33),Design!$B$32/4,Design!$B$33/4)*1000000) * ($B51+S51-R51*AD51/1000) - (S51+R51*(1+($A51-25)*Constants!$C$36/100)*IF(ISBLANK(Design!$B$43),Constants!$C$6/1000,Design!$B$43/1000)),  (1-Constants!$D$20/1000000000*IF(ISBLANK(Design!$B$33),Design!$B$32,Design!$B$33)*1000000) * ($B51+S51-R51*AD51/1000) - (S51+R51*(1+($A51-25)*Constants!$C$36/100)*IF(ISBLANK(Design!$B$43),Constants!$C$6/1000,Design!$B$43/1000)))</f>
        <v>10.048428305402751</v>
      </c>
      <c r="AF51" s="117">
        <f ca="1">IF(AE51&gt;Design!$C$29,Design!$C$29,AE51)</f>
        <v>4.9990521327014221</v>
      </c>
      <c r="AG51" s="118">
        <f>Design!$D$7/3</f>
        <v>1</v>
      </c>
      <c r="AH51" s="118">
        <f ca="1">FORECAST(AG51, OFFSET(Design!$C$15:$C$17,MATCH(AG51,Design!$B$15:$B$17,1)-1,0,2), OFFSET(Design!$B$15:$B$17,MATCH(AG51,Design!$B$15:$B$17,1)-1,0,2))+(AQ51-25)*Design!$B$18/1000</f>
        <v>0.31287111556303204</v>
      </c>
      <c r="AI51" s="194">
        <f ca="1">IF(100*(Design!$C$29+AH51+AG51*IF(ISBLANK(Design!$B$43),Constants!$C$6,Design!$B$43)/1000*(1+Constants!$C$36/100*(AR51-25)))/($B51+AH51-AG51*AS51/1000)&gt;Design!$B$36,Design!$B$37,100*(Design!$C$29+AH51+AG51*IF(ISBLANK(Design!$B$43),Constants!$C$6,Design!$B$43)/1000*(1+Constants!$C$36/100*(AR51-25)))/($B51+AH51-AG51*AS51/1000))</f>
        <v>47.56482953129639</v>
      </c>
      <c r="AJ51" s="119">
        <f ca="1">IF(($B51-AG51*IF(ISBLANK(Design!$B$43),Constants!$C$6,Design!$B$43)/1000*(1+Constants!$C$36/100*(AR51-25))-Design!$C$29)/(IF(ISBLANK(Design!$B$42),Design!$B$40,Design!$B$42)/1000000)*AI51/100/(IF(ISBLANK(Design!$B$33),Design!$B$32,Design!$B$33)*1000000)&lt;0,0,($B51-AG51*IF(ISBLANK(Design!$B$43),Constants!$C$6,Design!$B$43)/1000*(1+Constants!$C$36/100*(AR51-25))-Design!$C$29)/(IF(ISBLANK(Design!$B$42),Design!$B$40,Design!$B$42)/1000000)*AI51/100/(IF(ISBLANK(Design!$B$33),Design!$B$32,Design!$B$33)*1000000))</f>
        <v>0.68161820079945235</v>
      </c>
      <c r="AK51" s="195">
        <f>$B51*Constants!$C$21/1000+IF(ISBLANK(Design!$B$33),Design!$B$32,Design!$B$33)*1000000*Constants!$D$25/1000000000*($B51-Constants!$C$24)</f>
        <v>4.0897499999999976E-2</v>
      </c>
      <c r="AL51" s="195">
        <f>$B51*AG51*($B51/(Constants!$C$26*1000000000)*IF(ISBLANK(Design!$B$33),Design!$B$32,Design!$B$33)*1000000/2+$B51/(Constants!$C$27*1000000000)*IF(ISBLANK(Design!$B$33),Design!$B$32,Design!$B$33)*1000000/2)</f>
        <v>7.325323611111105E-2</v>
      </c>
      <c r="AM51" s="195">
        <f t="shared" ca="1" si="15"/>
        <v>8.8336986262492548E-2</v>
      </c>
      <c r="AN51" s="195">
        <f>Constants!$D$25/1000000000*Constants!$C$24*IF(ISBLANK(Design!$B$33),Design!$B$32,Design!$B$33)*1000000</f>
        <v>1.0624999999999999E-2</v>
      </c>
      <c r="AO51" s="195">
        <f t="shared" ca="1" si="24"/>
        <v>0.21311272237360357</v>
      </c>
      <c r="AP51" s="195">
        <f t="shared" ca="1" si="21"/>
        <v>0.1640545027928105</v>
      </c>
      <c r="AQ51" s="196">
        <f ca="1">$A51+AP51*Design!$B$19</f>
        <v>94.351106659190194</v>
      </c>
      <c r="AR51" s="196">
        <f ca="1">AO51*Design!$C$12+$A51</f>
        <v>92.245832560702524</v>
      </c>
      <c r="AS51" s="196">
        <f ca="1">Constants!$D$22+Constants!$D$22*Constants!$C$23/100*(AR51-25)</f>
        <v>178.79666604856203</v>
      </c>
      <c r="AT51" s="195">
        <f ca="1">IF(100*(Design!$C$29+AH51+AG51*IF(ISBLANK(Design!$B$43),Constants!$C$6,Design!$B$43)/1000*(1+Constants!$C$36/100*(AR51-25)))/($B51+AH51-AG51*AS51/1000)&gt;Design!$B$36,   (1-Constants!$D$20/1000000000*IF(ISBLANK(Design!$B$33),Design!$B$32/4,Design!$B$33/4)*1000000) * ($B51+AH51-AG51*AS51/1000) - (AH51+AG51*(1+($A51-25)*Constants!$C$36/100)*IF(ISBLANK(Design!$B$43),Constants!$C$6/1000,Design!$B$43/1000)),  (1-Constants!$D$20/1000000000*IF(ISBLANK(Design!$B$33),Design!$B$32,Design!$B$33)*1000000) * ($B51+AH51-AG51*AS51/1000) - (AH51+AG51*(1+($A51-25)*Constants!$C$36/100)*IF(ISBLANK(Design!$B$43),Constants!$C$6/1000,Design!$B$43/1000)))</f>
        <v>10.288878720615759</v>
      </c>
      <c r="AU51" s="119">
        <f ca="1">IF(AT51&gt;Design!$C$29,Design!$C$29,AT51)</f>
        <v>4.9990521327014221</v>
      </c>
    </row>
    <row r="52" spans="1:47" ht="12.75" customHeight="1" x14ac:dyDescent="0.25">
      <c r="A52" s="112">
        <f>Design!$D$13</f>
        <v>85</v>
      </c>
      <c r="B52" s="113">
        <f t="shared" si="12"/>
        <v>10.924999999999995</v>
      </c>
      <c r="C52" s="114">
        <f>Design!$D$7</f>
        <v>3</v>
      </c>
      <c r="D52" s="114">
        <f ca="1">FORECAST(C52, OFFSET(Design!$C$15:$C$17,MATCH(C52,Design!$B$15:$B$17,1)-1,0,2), OFFSET(Design!$B$15:$B$17,MATCH(C52,Design!$B$15:$B$17,1)-1,0,2))+(M52-25)*Design!$B$18/1000</f>
        <v>0.39274347191840947</v>
      </c>
      <c r="E52" s="173">
        <f ca="1">IF(100*(Design!$C$29+D52+C52*IF(ISBLANK(Design!$B$43),Constants!$C$6,Design!$B$43)/1000*(1+Constants!$C$36/100*(N52-25)))/($B52+D52-C52*O52/1000)&gt;Design!$B$36,Design!$B$37,100*(Design!$C$29+D52+C52*IF(ISBLANK(Design!$B$43),Constants!$C$6,Design!$B$43)/1000*(1+Constants!$C$36/100*(N52-25)))/($B52+D52-C52*O52/1000))</f>
        <v>51.970005708206351</v>
      </c>
      <c r="F52" s="115">
        <f ca="1">IF(($B52-C52*IF(ISBLANK(Design!$B$43),Constants!$C$6,Design!$B$43)/1000*(1+Constants!$C$36/100*(N52-25))-Design!$C$29)/(IF(ISBLANK(Design!$B$42),Design!$B$40,Design!$B$42)/1000000)*E52/100/(IF(ISBLANK(Design!$B$33),Design!$B$32,Design!$B$33)*1000000)&lt;0,0,($B52-C52*IF(ISBLANK(Design!$B$43),Constants!$C$6,Design!$B$43)/1000*(1+Constants!$C$36/100*(N52-25))-Design!$C$29)/(IF(ISBLANK(Design!$B$42),Design!$B$40,Design!$B$42)/1000000)*E52/100/(IF(ISBLANK(Design!$B$33),Design!$B$32,Design!$B$33)*1000000))</f>
        <v>0.70408880851174427</v>
      </c>
      <c r="G52" s="165">
        <f>B52*Constants!$C$21/1000+IF(ISBLANK(Design!$B$33),Design!$B$32,Design!$B$33)*1000000*Constants!$D$25/1000000000*(B52-Constants!$C$24)</f>
        <v>3.9903124999999984E-2</v>
      </c>
      <c r="H52" s="165">
        <f>B52*C52*(B52/(Constants!$C$26*1000000000)*IF(ISBLANK(Design!$B$33),Design!$B$32,Design!$B$33)*1000000/2+B52/(Constants!$C$27*1000000000)*IF(ISBLANK(Design!$B$33),Design!$B$32,Design!$B$33)*1000000/2)</f>
        <v>0.21135891927083314</v>
      </c>
      <c r="I52" s="165">
        <f t="shared" ca="1" si="13"/>
        <v>0.97037891158681078</v>
      </c>
      <c r="J52" s="165">
        <f>Constants!$D$25/1000000000*Constants!$C$24*IF(ISBLANK(Design!$B$33),Design!$B$32,Design!$B$33)*1000000</f>
        <v>1.0624999999999999E-2</v>
      </c>
      <c r="K52" s="165">
        <f t="shared" ca="1" si="22"/>
        <v>1.2322659558576441</v>
      </c>
      <c r="L52" s="165">
        <f t="shared" ca="1" si="17"/>
        <v>0.56590400143141284</v>
      </c>
      <c r="M52" s="166">
        <f ca="1">$A52+L52*Design!$B$19</f>
        <v>117.25652808159053</v>
      </c>
      <c r="N52" s="166">
        <f ca="1">K52*Design!$C$12+A52</f>
        <v>126.89704249915991</v>
      </c>
      <c r="O52" s="166">
        <f ca="1">Constants!$D$22+Constants!$D$22*Constants!$C$23/100*(N52-25)</f>
        <v>206.51763399932793</v>
      </c>
      <c r="P52" s="165">
        <f ca="1">IF(100*(Design!$C$29+D52+C52*IF(ISBLANK(Design!$B$43),Constants!$C$6,Design!$B$43)/1000*(1+Constants!$C$36/100*(N52-25)))/($B52+D52-C52*O52/1000)&gt;Design!$B$36,   (1-Constants!$D$20/1000000000*IF(ISBLANK(Design!$B$33),Design!$B$32/4,Design!$B$33/4)*1000000) * ($B52+D52-C52*O52/1000) - (D52+C52*(1+($A52-25)*Constants!$C$36/100)*IF(ISBLANK(Design!$B$43),Constants!$C$6/1000,Design!$B$43/1000)),  (1-Constants!$D$20/1000000000*IF(ISBLANK(Design!$B$33),Design!$B$32,Design!$B$33)*1000000) * ($B52+D52-C52*O52/1000) - (D52+C52*(1+($A52-25)*Constants!$C$36/100)*IF(ISBLANK(Design!$B$43),Constants!$C$6/1000,Design!$B$43/1000)))</f>
        <v>9.5660760690139082</v>
      </c>
      <c r="Q52" s="115">
        <f ca="1">IF(P52&gt;Design!$C$29,Design!$C$29,P52)</f>
        <v>4.9990521327014221</v>
      </c>
      <c r="R52" s="116">
        <f>2*Design!$D$7/3</f>
        <v>2</v>
      </c>
      <c r="S52" s="116">
        <f ca="1">FORECAST(R52, OFFSET(Design!$C$15:$C$17,MATCH(R52,Design!$B$15:$B$17,1)-1,0,2), OFFSET(Design!$B$15:$B$17,MATCH(R52,Design!$B$15:$B$17,1)-1,0,2))+(AB52-25)*Design!$B$18/1000</f>
        <v>0.37850201663053146</v>
      </c>
      <c r="T52" s="182">
        <f ca="1">IF(100*(Design!$C$29+S52+R52*IF(ISBLANK(Design!$B$43),Constants!$C$6,Design!$B$43)/1000*(1+Constants!$C$36/100*(AC52-25)))/($B52+S52-R52*AD52/1000)&gt;Design!$B$36,Design!$B$37,100*(Design!$C$29+S52+R52*IF(ISBLANK(Design!$B$43),Constants!$C$6,Design!$B$43)/1000*(1+Constants!$C$36/100*(AC52-25)))/($B52+S52-R52*AD52/1000))</f>
        <v>50.177596630708521</v>
      </c>
      <c r="U52" s="117">
        <f ca="1">IF(($B52-R52*IF(ISBLANK(Design!$B$43),Constants!$C$6,Design!$B$43)/1000*(1+Constants!$C$36/100*(AC52-25))-Design!$C$29)/(IF(ISBLANK(Design!$B$42),Design!$B$40,Design!$B$42)/1000000)*T52/100/(IF(ISBLANK(Design!$B$33),Design!$B$32,Design!$B$33)*1000000)&lt;0,0,($B52-R52*IF(ISBLANK(Design!$B$43),Constants!$C$6,Design!$B$43)/1000*(1+Constants!$C$36/100*(AC52-25))-Design!$C$29)/(IF(ISBLANK(Design!$B$42),Design!$B$40,Design!$B$42)/1000000)*T52/100/(IF(ISBLANK(Design!$B$33),Design!$B$32,Design!$B$33)*1000000))</f>
        <v>0.6872502093018702</v>
      </c>
      <c r="V52" s="183">
        <f>$B52*Constants!$C$21/1000+IF(ISBLANK(Design!$B$33),Design!$B$32,Design!$B$33)*1000000*Constants!$D$25/1000000000*($B52-Constants!$C$24)</f>
        <v>3.9903124999999984E-2</v>
      </c>
      <c r="W52" s="183">
        <f>$B52*R52*($B52/(Constants!$C$26*1000000000)*IF(ISBLANK(Design!$B$33),Design!$B$32,Design!$B$33)*1000000/2+$B52/(Constants!$C$27*1000000000)*IF(ISBLANK(Design!$B$33),Design!$B$32,Design!$B$33)*1000000/2)</f>
        <v>0.14090594618055544</v>
      </c>
      <c r="X52" s="183">
        <f t="shared" ca="1" si="14"/>
        <v>0.38227443782558196</v>
      </c>
      <c r="Y52" s="183">
        <f>Constants!$D$25/1000000000*Constants!$C$24*IF(ISBLANK(Design!$B$33),Design!$B$32,Design!$B$33)*1000000</f>
        <v>1.0624999999999999E-2</v>
      </c>
      <c r="Z52" s="183">
        <f t="shared" ca="1" si="23"/>
        <v>0.57370850900613735</v>
      </c>
      <c r="AA52" s="183">
        <f t="shared" ca="1" si="19"/>
        <v>0.37715760297313222</v>
      </c>
      <c r="AB52" s="184">
        <f ca="1">$A52+AA52*Design!$B$19</f>
        <v>106.49798336946853</v>
      </c>
      <c r="AC52" s="184">
        <f ca="1">Z52*Design!$C$12+$A52</f>
        <v>104.50608930620866</v>
      </c>
      <c r="AD52" s="184">
        <f ca="1">Constants!$D$22+Constants!$D$22*Constants!$C$23/100*(AC52-25)</f>
        <v>188.60487144496693</v>
      </c>
      <c r="AE52" s="183">
        <f ca="1">IF(100*(Design!$C$29+S52+R52*IF(ISBLANK(Design!$B$43),Constants!$C$6,Design!$B$43)/1000*(1+Constants!$C$36/100*(AC52-25)))/($B52+S52-R52*AD52/1000)&gt;Design!$B$36,   (1-Constants!$D$20/1000000000*IF(ISBLANK(Design!$B$33),Design!$B$32/4,Design!$B$33/4)*1000000) * ($B52+S52-R52*AD52/1000) - (S52+R52*(1+($A52-25)*Constants!$C$36/100)*IF(ISBLANK(Design!$B$43),Constants!$C$6/1000,Design!$B$43/1000)),  (1-Constants!$D$20/1000000000*IF(ISBLANK(Design!$B$33),Design!$B$32,Design!$B$33)*1000000) * ($B52+S52-R52*AD52/1000) - (S52+R52*(1+($A52-25)*Constants!$C$36/100)*IF(ISBLANK(Design!$B$43),Constants!$C$6/1000,Design!$B$43/1000)))</f>
        <v>9.8452486089858926</v>
      </c>
      <c r="AF52" s="117">
        <f ca="1">IF(AE52&gt;Design!$C$29,Design!$C$29,AE52)</f>
        <v>4.9990521327014221</v>
      </c>
      <c r="AG52" s="118">
        <f>Design!$D$7/3</f>
        <v>1</v>
      </c>
      <c r="AH52" s="118">
        <f ca="1">FORECAST(AG52, OFFSET(Design!$C$15:$C$17,MATCH(AG52,Design!$B$15:$B$17,1)-1,0,2), OFFSET(Design!$B$15:$B$17,MATCH(AG52,Design!$B$15:$B$17,1)-1,0,2))+(AQ52-25)*Design!$B$18/1000</f>
        <v>0.31303138636266326</v>
      </c>
      <c r="AI52" s="194">
        <f ca="1">IF(100*(Design!$C$29+AH52+AG52*IF(ISBLANK(Design!$B$43),Constants!$C$6,Design!$B$43)/1000*(1+Constants!$C$36/100*(AR52-25)))/($B52+AH52-AG52*AS52/1000)&gt;Design!$B$36,Design!$B$37,100*(Design!$C$29+AH52+AG52*IF(ISBLANK(Design!$B$43),Constants!$C$6,Design!$B$43)/1000*(1+Constants!$C$36/100*(AR52-25)))/($B52+AH52-AG52*AS52/1000))</f>
        <v>48.489914621079059</v>
      </c>
      <c r="AJ52" s="119">
        <f ca="1">IF(($B52-AG52*IF(ISBLANK(Design!$B$43),Constants!$C$6,Design!$B$43)/1000*(1+Constants!$C$36/100*(AR52-25))-Design!$C$29)/(IF(ISBLANK(Design!$B$42),Design!$B$40,Design!$B$42)/1000000)*AI52/100/(IF(ISBLANK(Design!$B$33),Design!$B$32,Design!$B$33)*1000000)&lt;0,0,($B52-AG52*IF(ISBLANK(Design!$B$43),Constants!$C$6,Design!$B$43)/1000*(1+Constants!$C$36/100*(AR52-25))-Design!$C$29)/(IF(ISBLANK(Design!$B$42),Design!$B$40,Design!$B$42)/1000000)*AI52/100/(IF(ISBLANK(Design!$B$33),Design!$B$32,Design!$B$33)*1000000))</f>
        <v>0.6703461060415119</v>
      </c>
      <c r="AK52" s="195">
        <f>$B52*Constants!$C$21/1000+IF(ISBLANK(Design!$B$33),Design!$B$32,Design!$B$33)*1000000*Constants!$D$25/1000000000*($B52-Constants!$C$24)</f>
        <v>3.9903124999999984E-2</v>
      </c>
      <c r="AL52" s="195">
        <f>$B52*AG52*($B52/(Constants!$C$26*1000000000)*IF(ISBLANK(Design!$B$33),Design!$B$32,Design!$B$33)*1000000/2+$B52/(Constants!$C$27*1000000000)*IF(ISBLANK(Design!$B$33),Design!$B$32,Design!$B$33)*1000000/2)</f>
        <v>7.0452973090277718E-2</v>
      </c>
      <c r="AM52" s="195">
        <f t="shared" ca="1" si="15"/>
        <v>8.9914607356811255E-2</v>
      </c>
      <c r="AN52" s="195">
        <f>Constants!$D$25/1000000000*Constants!$C$24*IF(ISBLANK(Design!$B$33),Design!$B$32,Design!$B$33)*1000000</f>
        <v>1.0624999999999999E-2</v>
      </c>
      <c r="AO52" s="195">
        <f t="shared" ca="1" si="24"/>
        <v>0.21089570544708897</v>
      </c>
      <c r="AP52" s="195">
        <f t="shared" ca="1" si="21"/>
        <v>0.16124273437822773</v>
      </c>
      <c r="AQ52" s="196">
        <f ca="1">$A52+AP52*Design!$B$19</f>
        <v>94.190835859558973</v>
      </c>
      <c r="AR52" s="196">
        <f ca="1">AO52*Design!$C$12+$A52</f>
        <v>92.170453985201021</v>
      </c>
      <c r="AS52" s="196">
        <f ca="1">Constants!$D$22+Constants!$D$22*Constants!$C$23/100*(AR52-25)</f>
        <v>178.73636318816082</v>
      </c>
      <c r="AT52" s="195">
        <f ca="1">IF(100*(Design!$C$29+AH52+AG52*IF(ISBLANK(Design!$B$43),Constants!$C$6,Design!$B$43)/1000*(1+Constants!$C$36/100*(AR52-25)))/($B52+AH52-AG52*AS52/1000)&gt;Design!$B$36,   (1-Constants!$D$20/1000000000*IF(ISBLANK(Design!$B$33),Design!$B$32/4,Design!$B$33/4)*1000000) * ($B52+AH52-AG52*AS52/1000) - (AH52+AG52*(1+($A52-25)*Constants!$C$36/100)*IF(ISBLANK(Design!$B$43),Constants!$C$6/1000,Design!$B$43/1000)),  (1-Constants!$D$20/1000000000*IF(ISBLANK(Design!$B$33),Design!$B$32,Design!$B$33)*1000000) * ($B52+AH52-AG52*AS52/1000) - (AH52+AG52*(1+($A52-25)*Constants!$C$36/100)*IF(ISBLANK(Design!$B$43),Constants!$C$6/1000,Design!$B$43/1000)))</f>
        <v>10.085805586781444</v>
      </c>
      <c r="AU52" s="119">
        <f ca="1">IF(AT52&gt;Design!$C$29,Design!$C$29,AT52)</f>
        <v>4.9990521327014221</v>
      </c>
    </row>
    <row r="53" spans="1:47" ht="12.75" customHeight="1" x14ac:dyDescent="0.25">
      <c r="A53" s="112">
        <f>Design!$D$13</f>
        <v>85</v>
      </c>
      <c r="B53" s="113">
        <f t="shared" si="12"/>
        <v>10.709999999999996</v>
      </c>
      <c r="C53" s="114">
        <f>Design!$D$7</f>
        <v>3</v>
      </c>
      <c r="D53" s="114">
        <f ca="1">FORECAST(C53, OFFSET(Design!$C$15:$C$17,MATCH(C53,Design!$B$15:$B$17,1)-1,0,2), OFFSET(Design!$B$15:$B$17,MATCH(C53,Design!$B$15:$B$17,1)-1,0,2))+(M53-25)*Design!$B$18/1000</f>
        <v>0.39341227844461618</v>
      </c>
      <c r="E53" s="173">
        <f ca="1">IF(100*(Design!$C$29+D53+C53*IF(ISBLANK(Design!$B$43),Constants!$C$6,Design!$B$43)/1000*(1+Constants!$C$36/100*(N53-25)))/($B53+D53-C53*O53/1000)&gt;Design!$B$36,Design!$B$37,100*(Design!$C$29+D53+C53*IF(ISBLANK(Design!$B$43),Constants!$C$6,Design!$B$43)/1000*(1+Constants!$C$36/100*(N53-25)))/($B53+D53-C53*O53/1000))</f>
        <v>53.045817838208002</v>
      </c>
      <c r="F53" s="115">
        <f ca="1">IF(($B53-C53*IF(ISBLANK(Design!$B$43),Constants!$C$6,Design!$B$43)/1000*(1+Constants!$C$36/100*(N53-25))-Design!$C$29)/(IF(ISBLANK(Design!$B$42),Design!$B$40,Design!$B$42)/1000000)*E53/100/(IF(ISBLANK(Design!$B$33),Design!$B$32,Design!$B$33)*1000000)&lt;0,0,($B53-C53*IF(ISBLANK(Design!$B$43),Constants!$C$6,Design!$B$43)/1000*(1+Constants!$C$36/100*(N53-25))-Design!$C$29)/(IF(ISBLANK(Design!$B$42),Design!$B$40,Design!$B$42)/1000000)*E53/100/(IF(ISBLANK(Design!$B$33),Design!$B$32,Design!$B$33)*1000000))</f>
        <v>0.69180432611852749</v>
      </c>
      <c r="G53" s="165">
        <f>B53*Constants!$C$21/1000+IF(ISBLANK(Design!$B$33),Design!$B$32,Design!$B$33)*1000000*Constants!$D$25/1000000000*(B53-Constants!$C$24)</f>
        <v>3.8908749999999978E-2</v>
      </c>
      <c r="H53" s="165">
        <f>B53*C53*(B53/(Constants!$C$26*1000000000)*IF(ISBLANK(Design!$B$33),Design!$B$32,Design!$B$33)*1000000/2+B53/(Constants!$C$27*1000000000)*IF(ISBLANK(Design!$B$33),Design!$B$32,Design!$B$33)*1000000/2)</f>
        <v>0.20312184374999986</v>
      </c>
      <c r="I53" s="165">
        <f t="shared" ca="1" si="13"/>
        <v>0.99191470249148972</v>
      </c>
      <c r="J53" s="165">
        <f>Constants!$D$25/1000000000*Constants!$C$24*IF(ISBLANK(Design!$B$33),Design!$B$32,Design!$B$33)*1000000</f>
        <v>1.0624999999999999E-2</v>
      </c>
      <c r="K53" s="165">
        <f t="shared" ca="1" si="22"/>
        <v>1.2445702962414897</v>
      </c>
      <c r="L53" s="165">
        <f t="shared" ca="1" si="17"/>
        <v>0.55417055360322443</v>
      </c>
      <c r="M53" s="166">
        <f ca="1">$A53+L53*Design!$B$19</f>
        <v>116.58772155538379</v>
      </c>
      <c r="N53" s="166">
        <f ca="1">K53*Design!$C$12+A53</f>
        <v>127.31539007221065</v>
      </c>
      <c r="O53" s="166">
        <f ca="1">Constants!$D$22+Constants!$D$22*Constants!$C$23/100*(N53-25)</f>
        <v>206.85231205776853</v>
      </c>
      <c r="P53" s="165">
        <f ca="1">IF(100*(Design!$C$29+D53+C53*IF(ISBLANK(Design!$B$43),Constants!$C$6,Design!$B$43)/1000*(1+Constants!$C$36/100*(N53-25)))/($B53+D53-C53*O53/1000)&gt;Design!$B$36,   (1-Constants!$D$20/1000000000*IF(ISBLANK(Design!$B$33),Design!$B$32/4,Design!$B$33/4)*1000000) * ($B53+D53-C53*O53/1000) - (D53+C53*(1+($A53-25)*Constants!$C$36/100)*IF(ISBLANK(Design!$B$43),Constants!$C$6/1000,Design!$B$43/1000)),  (1-Constants!$D$20/1000000000*IF(ISBLANK(Design!$B$33),Design!$B$32,Design!$B$33)*1000000) * ($B53+D53-C53*O53/1000) - (D53+C53*(1+($A53-25)*Constants!$C$36/100)*IF(ISBLANK(Design!$B$43),Constants!$C$6/1000,Design!$B$43/1000)))</f>
        <v>9.3619693061662002</v>
      </c>
      <c r="Q53" s="115">
        <f ca="1">IF(P53&gt;Design!$C$29,Design!$C$29,P53)</f>
        <v>4.9990521327014221</v>
      </c>
      <c r="R53" s="116">
        <f>2*Design!$D$7/3</f>
        <v>2</v>
      </c>
      <c r="S53" s="116">
        <f ca="1">FORECAST(R53, OFFSET(Design!$C$15:$C$17,MATCH(R53,Design!$B$15:$B$17,1)-1,0,2), OFFSET(Design!$B$15:$B$17,MATCH(R53,Design!$B$15:$B$17,1)-1,0,2))+(AB53-25)*Design!$B$18/1000</f>
        <v>0.37891463338311909</v>
      </c>
      <c r="T53" s="182">
        <f ca="1">IF(100*(Design!$C$29+S53+R53*IF(ISBLANK(Design!$B$43),Constants!$C$6,Design!$B$43)/1000*(1+Constants!$C$36/100*(AC53-25)))/($B53+S53-R53*AD53/1000)&gt;Design!$B$36,Design!$B$37,100*(Design!$C$29+S53+R53*IF(ISBLANK(Design!$B$43),Constants!$C$6,Design!$B$43)/1000*(1+Constants!$C$36/100*(AC53-25)))/($B53+S53-R53*AD53/1000))</f>
        <v>51.18706431656399</v>
      </c>
      <c r="U53" s="117">
        <f ca="1">IF(($B53-R53*IF(ISBLANK(Design!$B$43),Constants!$C$6,Design!$B$43)/1000*(1+Constants!$C$36/100*(AC53-25))-Design!$C$29)/(IF(ISBLANK(Design!$B$42),Design!$B$40,Design!$B$42)/1000000)*T53/100/(IF(ISBLANK(Design!$B$33),Design!$B$32,Design!$B$33)*1000000)&lt;0,0,($B53-R53*IF(ISBLANK(Design!$B$43),Constants!$C$6,Design!$B$43)/1000*(1+Constants!$C$36/100*(AC53-25))-Design!$C$29)/(IF(ISBLANK(Design!$B$42),Design!$B$40,Design!$B$42)/1000000)*T53/100/(IF(ISBLANK(Design!$B$33),Design!$B$32,Design!$B$33)*1000000))</f>
        <v>0.67518014216055233</v>
      </c>
      <c r="V53" s="183">
        <f>$B53*Constants!$C$21/1000+IF(ISBLANK(Design!$B$33),Design!$B$32,Design!$B$33)*1000000*Constants!$D$25/1000000000*($B53-Constants!$C$24)</f>
        <v>3.8908749999999978E-2</v>
      </c>
      <c r="W53" s="183">
        <f>$B53*R53*($B53/(Constants!$C$26*1000000000)*IF(ISBLANK(Design!$B$33),Design!$B$32,Design!$B$33)*1000000/2+$B53/(Constants!$C$27*1000000000)*IF(ISBLANK(Design!$B$33),Design!$B$32,Design!$B$33)*1000000/2)</f>
        <v>0.13541456249999989</v>
      </c>
      <c r="X53" s="183">
        <f t="shared" ca="1" si="14"/>
        <v>0.38989658478599665</v>
      </c>
      <c r="Y53" s="183">
        <f>Constants!$D$25/1000000000*Constants!$C$24*IF(ISBLANK(Design!$B$33),Design!$B$32,Design!$B$33)*1000000</f>
        <v>1.0624999999999999E-2</v>
      </c>
      <c r="Z53" s="183">
        <f t="shared" ca="1" si="23"/>
        <v>0.57484489728599653</v>
      </c>
      <c r="AA53" s="183">
        <f t="shared" ca="1" si="19"/>
        <v>0.36991871257685854</v>
      </c>
      <c r="AB53" s="184">
        <f ca="1">$A53+AA53*Design!$B$19</f>
        <v>106.08536661688093</v>
      </c>
      <c r="AC53" s="184">
        <f ca="1">Z53*Design!$C$12+$A53</f>
        <v>104.54472650772388</v>
      </c>
      <c r="AD53" s="184">
        <f ca="1">Constants!$D$22+Constants!$D$22*Constants!$C$23/100*(AC53-25)</f>
        <v>188.6357812061791</v>
      </c>
      <c r="AE53" s="183">
        <f ca="1">IF(100*(Design!$C$29+S53+R53*IF(ISBLANK(Design!$B$43),Constants!$C$6,Design!$B$43)/1000*(1+Constants!$C$36/100*(AC53-25)))/($B53+S53-R53*AD53/1000)&gt;Design!$B$36,   (1-Constants!$D$20/1000000000*IF(ISBLANK(Design!$B$33),Design!$B$32/4,Design!$B$33/4)*1000000) * ($B53+S53-R53*AD53/1000) - (S53+R53*(1+($A53-25)*Constants!$C$36/100)*IF(ISBLANK(Design!$B$43),Constants!$C$6/1000,Design!$B$43/1000)),  (1-Constants!$D$20/1000000000*IF(ISBLANK(Design!$B$33),Design!$B$32,Design!$B$33)*1000000) * ($B53+S53-R53*AD53/1000) - (S53+R53*(1+($A53-25)*Constants!$C$36/100)*IF(ISBLANK(Design!$B$43),Constants!$C$6/1000,Design!$B$43/1000)))</f>
        <v>9.6420461579165018</v>
      </c>
      <c r="AF53" s="117">
        <f ca="1">IF(AE53&gt;Design!$C$29,Design!$C$29,AE53)</f>
        <v>4.9990521327014221</v>
      </c>
      <c r="AG53" s="118">
        <f>Design!$D$7/3</f>
        <v>1</v>
      </c>
      <c r="AH53" s="118">
        <f ca="1">FORECAST(AG53, OFFSET(Design!$C$15:$C$17,MATCH(AG53,Design!$B$15:$B$17,1)-1,0,2), OFFSET(Design!$B$15:$B$17,MATCH(AG53,Design!$B$15:$B$17,1)-1,0,2))+(AQ53-25)*Design!$B$18/1000</f>
        <v>0.31319818856138326</v>
      </c>
      <c r="AI53" s="194">
        <f ca="1">IF(100*(Design!$C$29+AH53+AG53*IF(ISBLANK(Design!$B$43),Constants!$C$6,Design!$B$43)/1000*(1+Constants!$C$36/100*(AR53-25)))/($B53+AH53-AG53*AS53/1000)&gt;Design!$B$36,Design!$B$37,100*(Design!$C$29+AH53+AG53*IF(ISBLANK(Design!$B$43),Constants!$C$6,Design!$B$43)/1000*(1+Constants!$C$36/100*(AR53-25)))/($B53+AH53-AG53*AS53/1000))</f>
        <v>49.451693593147901</v>
      </c>
      <c r="AJ53" s="119">
        <f ca="1">IF(($B53-AG53*IF(ISBLANK(Design!$B$43),Constants!$C$6,Design!$B$43)/1000*(1+Constants!$C$36/100*(AR53-25))-Design!$C$29)/(IF(ISBLANK(Design!$B$42),Design!$B$40,Design!$B$42)/1000000)*AI53/100/(IF(ISBLANK(Design!$B$33),Design!$B$32,Design!$B$33)*1000000)&lt;0,0,($B53-AG53*IF(ISBLANK(Design!$B$43),Constants!$C$6,Design!$B$43)/1000*(1+Constants!$C$36/100*(AR53-25))-Design!$C$29)/(IF(ISBLANK(Design!$B$42),Design!$B$40,Design!$B$42)/1000000)*AI53/100/(IF(ISBLANK(Design!$B$33),Design!$B$32,Design!$B$33)*1000000))</f>
        <v>0.65862673280348194</v>
      </c>
      <c r="AK53" s="195">
        <f>$B53*Constants!$C$21/1000+IF(ISBLANK(Design!$B$33),Design!$B$32,Design!$B$33)*1000000*Constants!$D$25/1000000000*($B53-Constants!$C$24)</f>
        <v>3.8908749999999978E-2</v>
      </c>
      <c r="AL53" s="195">
        <f>$B53*AG53*($B53/(Constants!$C$26*1000000000)*IF(ISBLANK(Design!$B$33),Design!$B$32,Design!$B$33)*1000000/2+$B53/(Constants!$C$27*1000000000)*IF(ISBLANK(Design!$B$33),Design!$B$32,Design!$B$33)*1000000/2)</f>
        <v>6.7707281249999945E-2</v>
      </c>
      <c r="AM53" s="195">
        <f t="shared" ca="1" si="15"/>
        <v>9.155403402590262E-2</v>
      </c>
      <c r="AN53" s="195">
        <f>Constants!$D$25/1000000000*Constants!$C$24*IF(ISBLANK(Design!$B$33),Design!$B$32,Design!$B$33)*1000000</f>
        <v>1.0624999999999999E-2</v>
      </c>
      <c r="AO53" s="195">
        <f t="shared" ca="1" si="24"/>
        <v>0.20879506527590252</v>
      </c>
      <c r="AP53" s="195">
        <f t="shared" ca="1" si="21"/>
        <v>0.15831638001471843</v>
      </c>
      <c r="AQ53" s="196">
        <f ca="1">$A53+AP53*Design!$B$19</f>
        <v>94.024033660838953</v>
      </c>
      <c r="AR53" s="196">
        <f ca="1">AO53*Design!$C$12+$A53</f>
        <v>92.099032219380689</v>
      </c>
      <c r="AS53" s="196">
        <f ca="1">Constants!$D$22+Constants!$D$22*Constants!$C$23/100*(AR53-25)</f>
        <v>178.67922577550456</v>
      </c>
      <c r="AT53" s="195">
        <f ca="1">IF(100*(Design!$C$29+AH53+AG53*IF(ISBLANK(Design!$B$43),Constants!$C$6,Design!$B$43)/1000*(1+Constants!$C$36/100*(AR53-25)))/($B53+AH53-AG53*AS53/1000)&gt;Design!$B$36,   (1-Constants!$D$20/1000000000*IF(ISBLANK(Design!$B$33),Design!$B$32/4,Design!$B$33/4)*1000000) * ($B53+AH53-AG53*AS53/1000) - (AH53+AG53*(1+($A53-25)*Constants!$C$36/100)*IF(ISBLANK(Design!$B$43),Constants!$C$6/1000,Design!$B$43/1000)),  (1-Constants!$D$20/1000000000*IF(ISBLANK(Design!$B$33),Design!$B$32,Design!$B$33)*1000000) * ($B53+AH53-AG53*AS53/1000) - (AH53+AG53*(1+($A53-25)*Constants!$C$36/100)*IF(ISBLANK(Design!$B$43),Constants!$C$6/1000,Design!$B$43/1000)))</f>
        <v>9.8827291015305718</v>
      </c>
      <c r="AU53" s="119">
        <f ca="1">IF(AT53&gt;Design!$C$29,Design!$C$29,AT53)</f>
        <v>4.9990521327014221</v>
      </c>
    </row>
    <row r="54" spans="1:47" ht="12.75" customHeight="1" x14ac:dyDescent="0.25">
      <c r="A54" s="112">
        <f>Design!$D$13</f>
        <v>85</v>
      </c>
      <c r="B54" s="113">
        <f t="shared" si="12"/>
        <v>10.494999999999996</v>
      </c>
      <c r="C54" s="114">
        <f>Design!$D$7</f>
        <v>3</v>
      </c>
      <c r="D54" s="114">
        <f ca="1">FORECAST(C54, OFFSET(Design!$C$15:$C$17,MATCH(C54,Design!$B$15:$B$17,1)-1,0,2), OFFSET(Design!$B$15:$B$17,MATCH(C54,Design!$B$15:$B$17,1)-1,0,2))+(M54-25)*Design!$B$18/1000</f>
        <v>0.39411210861351698</v>
      </c>
      <c r="E54" s="173">
        <f ca="1">IF(100*(Design!$C$29+D54+C54*IF(ISBLANK(Design!$B$43),Constants!$C$6,Design!$B$43)/1000*(1+Constants!$C$36/100*(N54-25)))/($B54+D54-C54*O54/1000)&gt;Design!$B$36,Design!$B$37,100*(Design!$C$29+D54+C54*IF(ISBLANK(Design!$B$43),Constants!$C$6,Design!$B$43)/1000*(1+Constants!$C$36/100*(N54-25)))/($B54+D54-C54*O54/1000))</f>
        <v>54.167623924050339</v>
      </c>
      <c r="F54" s="115">
        <f ca="1">IF(($B54-C54*IF(ISBLANK(Design!$B$43),Constants!$C$6,Design!$B$43)/1000*(1+Constants!$C$36/100*(N54-25))-Design!$C$29)/(IF(ISBLANK(Design!$B$42),Design!$B$40,Design!$B$42)/1000000)*E54/100/(IF(ISBLANK(Design!$B$33),Design!$B$32,Design!$B$33)*1000000)&lt;0,0,($B54-C54*IF(ISBLANK(Design!$B$43),Constants!$C$6,Design!$B$43)/1000*(1+Constants!$C$36/100*(N54-25))-Design!$C$29)/(IF(ISBLANK(Design!$B$42),Design!$B$40,Design!$B$42)/1000000)*E54/100/(IF(ISBLANK(Design!$B$33),Design!$B$32,Design!$B$33)*1000000))</f>
        <v>0.67900437870229047</v>
      </c>
      <c r="G54" s="165">
        <f>B54*Constants!$C$21/1000+IF(ISBLANK(Design!$B$33),Design!$B$32,Design!$B$33)*1000000*Constants!$D$25/1000000000*(B54-Constants!$C$24)</f>
        <v>3.7914374999999979E-2</v>
      </c>
      <c r="H54" s="165">
        <f>B54*C54*(B54/(Constants!$C$26*1000000000)*IF(ISBLANK(Design!$B$33),Design!$B$32,Design!$B$33)*1000000/2+B54/(Constants!$C$27*1000000000)*IF(ISBLANK(Design!$B$33),Design!$B$32,Design!$B$33)*1000000/2)</f>
        <v>0.19504848177083314</v>
      </c>
      <c r="I54" s="165">
        <f t="shared" ca="1" si="13"/>
        <v>1.0145321450220322</v>
      </c>
      <c r="J54" s="165">
        <f>Constants!$D$25/1000000000*Constants!$C$24*IF(ISBLANK(Design!$B$33),Design!$B$32,Design!$B$33)*1000000</f>
        <v>1.0624999999999999E-2</v>
      </c>
      <c r="K54" s="165">
        <f t="shared" ca="1" si="22"/>
        <v>1.2581200017928653</v>
      </c>
      <c r="L54" s="165">
        <f t="shared" ca="1" si="17"/>
        <v>0.54189283134180688</v>
      </c>
      <c r="M54" s="166">
        <f ca="1">$A54+L54*Design!$B$19</f>
        <v>115.88789138648299</v>
      </c>
      <c r="N54" s="166">
        <f ca="1">K54*Design!$C$12+A54</f>
        <v>127.77608006095741</v>
      </c>
      <c r="O54" s="166">
        <f ca="1">Constants!$D$22+Constants!$D$22*Constants!$C$23/100*(N54-25)</f>
        <v>207.22086404876592</v>
      </c>
      <c r="P54" s="165">
        <f ca="1">IF(100*(Design!$C$29+D54+C54*IF(ISBLANK(Design!$B$43),Constants!$C$6,Design!$B$43)/1000*(1+Constants!$C$36/100*(N54-25)))/($B54+D54-C54*O54/1000)&gt;Design!$B$36,   (1-Constants!$D$20/1000000000*IF(ISBLANK(Design!$B$33),Design!$B$32/4,Design!$B$33/4)*1000000) * ($B54+D54-C54*O54/1000) - (D54+C54*(1+($A54-25)*Constants!$C$36/100)*IF(ISBLANK(Design!$B$43),Constants!$C$6/1000,Design!$B$43/1000)),  (1-Constants!$D$20/1000000000*IF(ISBLANK(Design!$B$33),Design!$B$32,Design!$B$33)*1000000) * ($B54+D54-C54*O54/1000) - (D54+C54*(1+($A54-25)*Constants!$C$36/100)*IF(ISBLANK(Design!$B$43),Constants!$C$6/1000,Design!$B$43/1000)))</f>
        <v>9.1577648220688843</v>
      </c>
      <c r="Q54" s="115">
        <f ca="1">IF(P54&gt;Design!$C$29,Design!$C$29,P54)</f>
        <v>4.9990521327014221</v>
      </c>
      <c r="R54" s="116">
        <f>2*Design!$D$7/3</f>
        <v>2</v>
      </c>
      <c r="S54" s="116">
        <f ca="1">FORECAST(R54, OFFSET(Design!$C$15:$C$17,MATCH(R54,Design!$B$15:$B$17,1)-1,0,2), OFFSET(Design!$B$15:$B$17,MATCH(R54,Design!$B$15:$B$17,1)-1,0,2))+(AB54-25)*Design!$B$18/1000</f>
        <v>0.3793451831663982</v>
      </c>
      <c r="T54" s="182">
        <f ca="1">IF(100*(Design!$C$29+S54+R54*IF(ISBLANK(Design!$B$43),Constants!$C$6,Design!$B$43)/1000*(1+Constants!$C$36/100*(AC54-25)))/($B54+S54-R54*AD54/1000)&gt;Design!$B$36,Design!$B$37,100*(Design!$C$29+S54+R54*IF(ISBLANK(Design!$B$43),Constants!$C$6,Design!$B$43)/1000*(1+Constants!$C$36/100*(AC54-25)))/($B54+S54-R54*AD54/1000))</f>
        <v>52.238063947144063</v>
      </c>
      <c r="U54" s="117">
        <f ca="1">IF(($B54-R54*IF(ISBLANK(Design!$B$43),Constants!$C$6,Design!$B$43)/1000*(1+Constants!$C$36/100*(AC54-25))-Design!$C$29)/(IF(ISBLANK(Design!$B$42),Design!$B$40,Design!$B$42)/1000000)*T54/100/(IF(ISBLANK(Design!$B$33),Design!$B$32,Design!$B$33)*1000000)&lt;0,0,($B54-R54*IF(ISBLANK(Design!$B$43),Constants!$C$6,Design!$B$43)/1000*(1+Constants!$C$36/100*(AC54-25))-Design!$C$29)/(IF(ISBLANK(Design!$B$42),Design!$B$40,Design!$B$42)/1000000)*T54/100/(IF(ISBLANK(Design!$B$33),Design!$B$32,Design!$B$33)*1000000))</f>
        <v>0.66261490190232031</v>
      </c>
      <c r="V54" s="183">
        <f>$B54*Constants!$C$21/1000+IF(ISBLANK(Design!$B$33),Design!$B$32,Design!$B$33)*1000000*Constants!$D$25/1000000000*($B54-Constants!$C$24)</f>
        <v>3.7914374999999979E-2</v>
      </c>
      <c r="W54" s="183">
        <f>$B54*R54*($B54/(Constants!$C$26*1000000000)*IF(ISBLANK(Design!$B$33),Design!$B$32,Design!$B$33)*1000000/2+$B54/(Constants!$C$27*1000000000)*IF(ISBLANK(Design!$B$33),Design!$B$32,Design!$B$33)*1000000/2)</f>
        <v>0.13003232118055544</v>
      </c>
      <c r="X54" s="183">
        <f t="shared" ca="1" si="14"/>
        <v>0.39785482428127861</v>
      </c>
      <c r="Y54" s="183">
        <f>Constants!$D$25/1000000000*Constants!$C$24*IF(ISBLANK(Design!$B$33),Design!$B$32,Design!$B$33)*1000000</f>
        <v>1.0624999999999999E-2</v>
      </c>
      <c r="Z54" s="183">
        <f t="shared" ca="1" si="23"/>
        <v>0.57642652046183407</v>
      </c>
      <c r="AA54" s="183">
        <f t="shared" ca="1" si="19"/>
        <v>0.36236520760704866</v>
      </c>
      <c r="AB54" s="184">
        <f ca="1">$A54+AA54*Design!$B$19</f>
        <v>105.65481683360177</v>
      </c>
      <c r="AC54" s="184">
        <f ca="1">Z54*Design!$C$12+$A54</f>
        <v>104.59850169570235</v>
      </c>
      <c r="AD54" s="184">
        <f ca="1">Constants!$D$22+Constants!$D$22*Constants!$C$23/100*(AC54-25)</f>
        <v>188.67880135656188</v>
      </c>
      <c r="AE54" s="183">
        <f ca="1">IF(100*(Design!$C$29+S54+R54*IF(ISBLANK(Design!$B$43),Constants!$C$6,Design!$B$43)/1000*(1+Constants!$C$36/100*(AC54-25)))/($B54+S54-R54*AD54/1000)&gt;Design!$B$36,   (1-Constants!$D$20/1000000000*IF(ISBLANK(Design!$B$33),Design!$B$32/4,Design!$B$33/4)*1000000) * ($B54+S54-R54*AD54/1000) - (S54+R54*(1+($A54-25)*Constants!$C$36/100)*IF(ISBLANK(Design!$B$43),Constants!$C$6/1000,Design!$B$43/1000)),  (1-Constants!$D$20/1000000000*IF(ISBLANK(Design!$B$33),Design!$B$32,Design!$B$33)*1000000) * ($B54+S54-R54*AD54/1000) - (S54+R54*(1+($A54-25)*Constants!$C$36/100)*IF(ISBLANK(Design!$B$43),Constants!$C$6/1000,Design!$B$43/1000)))</f>
        <v>9.4388198334668285</v>
      </c>
      <c r="AF54" s="117">
        <f ca="1">IF(AE54&gt;Design!$C$29,Design!$C$29,AE54)</f>
        <v>4.9990521327014221</v>
      </c>
      <c r="AG54" s="118">
        <f>Design!$D$7/3</f>
        <v>1</v>
      </c>
      <c r="AH54" s="118">
        <f ca="1">FORECAST(AG54, OFFSET(Design!$C$15:$C$17,MATCH(AG54,Design!$B$15:$B$17,1)-1,0,2), OFFSET(Design!$B$15:$B$17,MATCH(AG54,Design!$B$15:$B$17,1)-1,0,2))+(AQ54-25)*Design!$B$18/1000</f>
        <v>0.31337192945534292</v>
      </c>
      <c r="AI54" s="194">
        <f ca="1">IF(100*(Design!$C$29+AH54+AG54*IF(ISBLANK(Design!$B$43),Constants!$C$6,Design!$B$43)/1000*(1+Constants!$C$36/100*(AR54-25)))/($B54+AH54-AG54*AS54/1000)&gt;Design!$B$36,Design!$B$37,100*(Design!$C$29+AH54+AG54*IF(ISBLANK(Design!$B$43),Constants!$C$6,Design!$B$43)/1000*(1+Constants!$C$36/100*(AR54-25)))/($B54+AH54-AG54*AS54/1000))</f>
        <v>50.452392329574089</v>
      </c>
      <c r="AJ54" s="119">
        <f ca="1">IF(($B54-AG54*IF(ISBLANK(Design!$B$43),Constants!$C$6,Design!$B$43)/1000*(1+Constants!$C$36/100*(AR54-25))-Design!$C$29)/(IF(ISBLANK(Design!$B$42),Design!$B$40,Design!$B$42)/1000000)*AI54/100/(IF(ISBLANK(Design!$B$33),Design!$B$32,Design!$B$33)*1000000)&lt;0,0,($B54-AG54*IF(ISBLANK(Design!$B$43),Constants!$C$6,Design!$B$43)/1000*(1+Constants!$C$36/100*(AR54-25))-Design!$C$29)/(IF(ISBLANK(Design!$B$42),Design!$B$40,Design!$B$42)/1000000)*AI54/100/(IF(ISBLANK(Design!$B$33),Design!$B$32,Design!$B$33)*1000000))</f>
        <v>0.64643290864272773</v>
      </c>
      <c r="AK54" s="195">
        <f>$B54*Constants!$C$21/1000+IF(ISBLANK(Design!$B$33),Design!$B$32,Design!$B$33)*1000000*Constants!$D$25/1000000000*($B54-Constants!$C$24)</f>
        <v>3.7914374999999979E-2</v>
      </c>
      <c r="AL54" s="195">
        <f>$B54*AG54*($B54/(Constants!$C$26*1000000000)*IF(ISBLANK(Design!$B$33),Design!$B$32,Design!$B$33)*1000000/2+$B54/(Constants!$C$27*1000000000)*IF(ISBLANK(Design!$B$33),Design!$B$32,Design!$B$33)*1000000/2)</f>
        <v>6.5016160590277719E-2</v>
      </c>
      <c r="AM54" s="195">
        <f t="shared" ca="1" si="15"/>
        <v>9.3259037308286608E-2</v>
      </c>
      <c r="AN54" s="195">
        <f>Constants!$D$25/1000000000*Constants!$C$24*IF(ISBLANK(Design!$B$33),Design!$B$32,Design!$B$33)*1000000</f>
        <v>1.0624999999999999E-2</v>
      </c>
      <c r="AO54" s="195">
        <f t="shared" ca="1" si="24"/>
        <v>0.20681457289856431</v>
      </c>
      <c r="AP54" s="195">
        <f t="shared" ca="1" si="21"/>
        <v>0.15526829415577717</v>
      </c>
      <c r="AQ54" s="196">
        <f ca="1">$A54+AP54*Design!$B$19</f>
        <v>93.850292766879306</v>
      </c>
      <c r="AR54" s="196">
        <f ca="1">AO54*Design!$C$12+$A54</f>
        <v>92.031695478551185</v>
      </c>
      <c r="AS54" s="196">
        <f ca="1">Constants!$D$22+Constants!$D$22*Constants!$C$23/100*(AR54-25)</f>
        <v>178.62535638284095</v>
      </c>
      <c r="AT54" s="195">
        <f ca="1">IF(100*(Design!$C$29+AH54+AG54*IF(ISBLANK(Design!$B$43),Constants!$C$6,Design!$B$43)/1000*(1+Constants!$C$36/100*(AR54-25)))/($B54+AH54-AG54*AS54/1000)&gt;Design!$B$36,   (1-Constants!$D$20/1000000000*IF(ISBLANK(Design!$B$33),Design!$B$32/4,Design!$B$33/4)*1000000) * ($B54+AH54-AG54*AS54/1000) - (AH54+AG54*(1+($A54-25)*Constants!$C$36/100)*IF(ISBLANK(Design!$B$43),Constants!$C$6/1000,Design!$B$43/1000)),  (1-Constants!$D$20/1000000000*IF(ISBLANK(Design!$B$33),Design!$B$32,Design!$B$33)*1000000) * ($B54+AH54-AG54*AS54/1000) - (AH54+AG54*(1+($A54-25)*Constants!$C$36/100)*IF(ISBLANK(Design!$B$43),Constants!$C$6/1000,Design!$B$43/1000)))</f>
        <v>9.6796491454548992</v>
      </c>
      <c r="AU54" s="119">
        <f ca="1">IF(AT54&gt;Design!$C$29,Design!$C$29,AT54)</f>
        <v>4.9990521327014221</v>
      </c>
    </row>
    <row r="55" spans="1:47" ht="12.75" customHeight="1" x14ac:dyDescent="0.25">
      <c r="A55" s="112">
        <f>Design!$D$13</f>
        <v>85</v>
      </c>
      <c r="B55" s="113">
        <f t="shared" si="12"/>
        <v>10.279999999999996</v>
      </c>
      <c r="C55" s="114">
        <f>Design!$D$7</f>
        <v>3</v>
      </c>
      <c r="D55" s="114">
        <f ca="1">FORECAST(C55, OFFSET(Design!$C$15:$C$17,MATCH(C55,Design!$B$15:$B$17,1)-1,0,2), OFFSET(Design!$B$15:$B$17,MATCH(C55,Design!$B$15:$B$17,1)-1,0,2))+(M55-25)*Design!$B$18/1000</f>
        <v>0.39484518891991044</v>
      </c>
      <c r="E55" s="173">
        <f ca="1">IF(100*(Design!$C$29+D55+C55*IF(ISBLANK(Design!$B$43),Constants!$C$6,Design!$B$43)/1000*(1+Constants!$C$36/100*(N55-25)))/($B55+D55-C55*O55/1000)&gt;Design!$B$36,Design!$B$37,100*(Design!$C$29+D55+C55*IF(ISBLANK(Design!$B$43),Constants!$C$6,Design!$B$43)/1000*(1+Constants!$C$36/100*(N55-25)))/($B55+D55-C55*O55/1000))</f>
        <v>55.338464442899095</v>
      </c>
      <c r="F55" s="115">
        <f ca="1">IF(($B55-C55*IF(ISBLANK(Design!$B$43),Constants!$C$6,Design!$B$43)/1000*(1+Constants!$C$36/100*(N55-25))-Design!$C$29)/(IF(ISBLANK(Design!$B$42),Design!$B$40,Design!$B$42)/1000000)*E55/100/(IF(ISBLANK(Design!$B$33),Design!$B$32,Design!$B$33)*1000000)&lt;0,0,($B55-C55*IF(ISBLANK(Design!$B$43),Constants!$C$6,Design!$B$43)/1000*(1+Constants!$C$36/100*(N55-25))-Design!$C$29)/(IF(ISBLANK(Design!$B$42),Design!$B$40,Design!$B$42)/1000000)*E55/100/(IF(ISBLANK(Design!$B$33),Design!$B$32,Design!$B$33)*1000000))</f>
        <v>0.6656553364622303</v>
      </c>
      <c r="G55" s="165">
        <f>B55*Constants!$C$21/1000+IF(ISBLANK(Design!$B$33),Design!$B$32,Design!$B$33)*1000000*Constants!$D$25/1000000000*(B55-Constants!$C$24)</f>
        <v>3.6919999999999981E-2</v>
      </c>
      <c r="H55" s="165">
        <f>B55*C55*(B55/(Constants!$C$26*1000000000)*IF(ISBLANK(Design!$B$33),Design!$B$32,Design!$B$33)*1000000/2+B55/(Constants!$C$27*1000000000)*IF(ISBLANK(Design!$B$33),Design!$B$32,Design!$B$33)*1000000/2)</f>
        <v>0.1871388333333332</v>
      </c>
      <c r="I55" s="165">
        <f t="shared" ca="1" si="13"/>
        <v>1.0383135501296976</v>
      </c>
      <c r="J55" s="165">
        <f>Constants!$D$25/1000000000*Constants!$C$24*IF(ISBLANK(Design!$B$33),Design!$B$32,Design!$B$33)*1000000</f>
        <v>1.0624999999999999E-2</v>
      </c>
      <c r="K55" s="165">
        <f t="shared" ca="1" si="22"/>
        <v>1.2729973834630308</v>
      </c>
      <c r="L55" s="165">
        <f t="shared" ca="1" si="17"/>
        <v>0.52903177333490414</v>
      </c>
      <c r="M55" s="166">
        <f ca="1">$A55+L55*Design!$B$19</f>
        <v>115.15481108008953</v>
      </c>
      <c r="N55" s="166">
        <f ca="1">K55*Design!$C$12+A55</f>
        <v>128.28191103774304</v>
      </c>
      <c r="O55" s="166">
        <f ca="1">Constants!$D$22+Constants!$D$22*Constants!$C$23/100*(N55-25)</f>
        <v>207.62552883019444</v>
      </c>
      <c r="P55" s="165">
        <f ca="1">IF(100*(Design!$C$29+D55+C55*IF(ISBLANK(Design!$B$43),Constants!$C$6,Design!$B$43)/1000*(1+Constants!$C$36/100*(N55-25)))/($B55+D55-C55*O55/1000)&gt;Design!$B$36,   (1-Constants!$D$20/1000000000*IF(ISBLANK(Design!$B$33),Design!$B$32/4,Design!$B$33/4)*1000000) * ($B55+D55-C55*O55/1000) - (D55+C55*(1+($A55-25)*Constants!$C$36/100)*IF(ISBLANK(Design!$B$43),Constants!$C$6/1000,Design!$B$43/1000)),  (1-Constants!$D$20/1000000000*IF(ISBLANK(Design!$B$33),Design!$B$32,Design!$B$33)*1000000) * ($B55+D55-C55*O55/1000) - (D55+C55*(1+($A55-25)*Constants!$C$36/100)*IF(ISBLANK(Design!$B$43),Constants!$C$6/1000,Design!$B$43/1000)))</f>
        <v>8.9534561482251913</v>
      </c>
      <c r="Q55" s="115">
        <f ca="1">IF(P55&gt;Design!$C$29,Design!$C$29,P55)</f>
        <v>4.9990521327014221</v>
      </c>
      <c r="R55" s="116">
        <f>2*Design!$D$7/3</f>
        <v>2</v>
      </c>
      <c r="S55" s="116">
        <f ca="1">FORECAST(R55, OFFSET(Design!$C$15:$C$17,MATCH(R55,Design!$B$15:$B$17,1)-1,0,2), OFFSET(Design!$B$15:$B$17,MATCH(R55,Design!$B$15:$B$17,1)-1,0,2))+(AB55-25)*Design!$B$18/1000</f>
        <v>0.37979486112315969</v>
      </c>
      <c r="T55" s="182">
        <f ca="1">IF(100*(Design!$C$29+S55+R55*IF(ISBLANK(Design!$B$43),Constants!$C$6,Design!$B$43)/1000*(1+Constants!$C$36/100*(AC55-25)))/($B55+S55-R55*AD55/1000)&gt;Design!$B$36,Design!$B$37,100*(Design!$C$29+S55+R55*IF(ISBLANK(Design!$B$43),Constants!$C$6,Design!$B$43)/1000*(1+Constants!$C$36/100*(AC55-25)))/($B55+S55-R55*AD55/1000))</f>
        <v>53.333212619302337</v>
      </c>
      <c r="U55" s="117">
        <f ca="1">IF(($B55-R55*IF(ISBLANK(Design!$B$43),Constants!$C$6,Design!$B$43)/1000*(1+Constants!$C$36/100*(AC55-25))-Design!$C$29)/(IF(ISBLANK(Design!$B$42),Design!$B$40,Design!$B$42)/1000000)*T55/100/(IF(ISBLANK(Design!$B$33),Design!$B$32,Design!$B$33)*1000000)&lt;0,0,($B55-R55*IF(ISBLANK(Design!$B$43),Constants!$C$6,Design!$B$43)/1000*(1+Constants!$C$36/100*(AC55-25))-Design!$C$29)/(IF(ISBLANK(Design!$B$42),Design!$B$40,Design!$B$42)/1000000)*T55/100/(IF(ISBLANK(Design!$B$33),Design!$B$32,Design!$B$33)*1000000))</f>
        <v>0.6495232598835502</v>
      </c>
      <c r="V55" s="183">
        <f>$B55*Constants!$C$21/1000+IF(ISBLANK(Design!$B$33),Design!$B$32,Design!$B$33)*1000000*Constants!$D$25/1000000000*($B55-Constants!$C$24)</f>
        <v>3.6919999999999981E-2</v>
      </c>
      <c r="W55" s="183">
        <f>$B55*R55*($B55/(Constants!$C$26*1000000000)*IF(ISBLANK(Design!$B$33),Design!$B$32,Design!$B$33)*1000000/2+$B55/(Constants!$C$27*1000000000)*IF(ISBLANK(Design!$B$33),Design!$B$32,Design!$B$33)*1000000/2)</f>
        <v>0.12475922222222212</v>
      </c>
      <c r="X55" s="183">
        <f t="shared" ca="1" si="14"/>
        <v>0.40617158891450444</v>
      </c>
      <c r="Y55" s="183">
        <f>Constants!$D$25/1000000000*Constants!$C$24*IF(ISBLANK(Design!$B$33),Design!$B$32,Design!$B$33)*1000000</f>
        <v>1.0624999999999999E-2</v>
      </c>
      <c r="Z55" s="183">
        <f t="shared" ca="1" si="23"/>
        <v>0.57847581113672653</v>
      </c>
      <c r="AA55" s="183">
        <f t="shared" ca="1" si="19"/>
        <v>0.35447612064632178</v>
      </c>
      <c r="AB55" s="184">
        <f ca="1">$A55+AA55*Design!$B$19</f>
        <v>105.20513887684034</v>
      </c>
      <c r="AC55" s="184">
        <f ca="1">Z55*Design!$C$12+$A55</f>
        <v>104.66817757864871</v>
      </c>
      <c r="AD55" s="184">
        <f ca="1">Constants!$D$22+Constants!$D$22*Constants!$C$23/100*(AC55-25)</f>
        <v>188.73454206291896</v>
      </c>
      <c r="AE55" s="183">
        <f ca="1">IF(100*(Design!$C$29+S55+R55*IF(ISBLANK(Design!$B$43),Constants!$C$6,Design!$B$43)/1000*(1+Constants!$C$36/100*(AC55-25)))/($B55+S55-R55*AD55/1000)&gt;Design!$B$36,   (1-Constants!$D$20/1000000000*IF(ISBLANK(Design!$B$33),Design!$B$32/4,Design!$B$33/4)*1000000) * ($B55+S55-R55*AD55/1000) - (S55+R55*(1+($A55-25)*Constants!$C$36/100)*IF(ISBLANK(Design!$B$43),Constants!$C$6/1000,Design!$B$43/1000)),  (1-Constants!$D$20/1000000000*IF(ISBLANK(Design!$B$33),Design!$B$32,Design!$B$33)*1000000) * ($B55+S55-R55*AD55/1000) - (S55+R55*(1+($A55-25)*Constants!$C$36/100)*IF(ISBLANK(Design!$B$43),Constants!$C$6/1000,Design!$B$43/1000)))</f>
        <v>9.2355684166950542</v>
      </c>
      <c r="AF55" s="117">
        <f ca="1">IF(AE55&gt;Design!$C$29,Design!$C$29,AE55)</f>
        <v>4.9990521327014221</v>
      </c>
      <c r="AG55" s="118">
        <f>Design!$D$7/3</f>
        <v>1</v>
      </c>
      <c r="AH55" s="118">
        <f ca="1">FORECAST(AG55, OFFSET(Design!$C$15:$C$17,MATCH(AG55,Design!$B$15:$B$17,1)-1,0,2), OFFSET(Design!$B$15:$B$17,MATCH(AG55,Design!$B$15:$B$17,1)-1,0,2))+(AQ55-25)*Design!$B$18/1000</f>
        <v>0.3135530509042444</v>
      </c>
      <c r="AI55" s="194">
        <f ca="1">IF(100*(Design!$C$29+AH55+AG55*IF(ISBLANK(Design!$B$43),Constants!$C$6,Design!$B$43)/1000*(1+Constants!$C$36/100*(AR55-25)))/($B55+AH55-AG55*AS55/1000)&gt;Design!$B$36,Design!$B$37,100*(Design!$C$29+AH55+AG55*IF(ISBLANK(Design!$B$43),Constants!$C$6,Design!$B$43)/1000*(1+Constants!$C$36/100*(AR55-25)))/($B55+AH55-AG55*AS55/1000))</f>
        <v>51.494420341886311</v>
      </c>
      <c r="AJ55" s="119">
        <f ca="1">IF(($B55-AG55*IF(ISBLANK(Design!$B$43),Constants!$C$6,Design!$B$43)/1000*(1+Constants!$C$36/100*(AR55-25))-Design!$C$29)/(IF(ISBLANK(Design!$B$42),Design!$B$40,Design!$B$42)/1000000)*AI55/100/(IF(ISBLANK(Design!$B$33),Design!$B$32,Design!$B$33)*1000000)&lt;0,0,($B55-AG55*IF(ISBLANK(Design!$B$43),Constants!$C$6,Design!$B$43)/1000*(1+Constants!$C$36/100*(AR55-25))-Design!$C$29)/(IF(ISBLANK(Design!$B$42),Design!$B$40,Design!$B$42)/1000000)*AI55/100/(IF(ISBLANK(Design!$B$33),Design!$B$32,Design!$B$33)*1000000))</f>
        <v>0.63373521636257646</v>
      </c>
      <c r="AK55" s="195">
        <f>$B55*Constants!$C$21/1000+IF(ISBLANK(Design!$B$33),Design!$B$32,Design!$B$33)*1000000*Constants!$D$25/1000000000*($B55-Constants!$C$24)</f>
        <v>3.6919999999999981E-2</v>
      </c>
      <c r="AL55" s="195">
        <f>$B55*AG55*($B55/(Constants!$C$26*1000000000)*IF(ISBLANK(Design!$B$33),Design!$B$32,Design!$B$33)*1000000/2+$B55/(Constants!$C$27*1000000000)*IF(ISBLANK(Design!$B$33),Design!$B$32,Design!$B$33)*1000000/2)</f>
        <v>6.2379611111111059E-2</v>
      </c>
      <c r="AM55" s="195">
        <f t="shared" ca="1" si="15"/>
        <v>9.5033711958747852E-2</v>
      </c>
      <c r="AN55" s="195">
        <f>Constants!$D$25/1000000000*Constants!$C$24*IF(ISBLANK(Design!$B$33),Design!$B$32,Design!$B$33)*1000000</f>
        <v>1.0624999999999999E-2</v>
      </c>
      <c r="AO55" s="195">
        <f t="shared" ca="1" si="24"/>
        <v>0.20495832306985889</v>
      </c>
      <c r="AP55" s="195">
        <f t="shared" ca="1" si="21"/>
        <v>0.15209072487680403</v>
      </c>
      <c r="AQ55" s="196">
        <f ca="1">$A55+AP55*Design!$B$19</f>
        <v>93.669171317977828</v>
      </c>
      <c r="AR55" s="196">
        <f ca="1">AO55*Design!$C$12+$A55</f>
        <v>91.968582984375203</v>
      </c>
      <c r="AS55" s="196">
        <f ca="1">Constants!$D$22+Constants!$D$22*Constants!$C$23/100*(AR55-25)</f>
        <v>178.57486638750015</v>
      </c>
      <c r="AT55" s="195">
        <f ca="1">IF(100*(Design!$C$29+AH55+AG55*IF(ISBLANK(Design!$B$43),Constants!$C$6,Design!$B$43)/1000*(1+Constants!$C$36/100*(AR55-25)))/($B55+AH55-AG55*AS55/1000)&gt;Design!$B$36,   (1-Constants!$D$20/1000000000*IF(ISBLANK(Design!$B$33),Design!$B$32/4,Design!$B$33/4)*1000000) * ($B55+AH55-AG55*AS55/1000) - (AH55+AG55*(1+($A55-25)*Constants!$C$36/100)*IF(ISBLANK(Design!$B$43),Constants!$C$6/1000,Design!$B$43/1000)),  (1-Constants!$D$20/1000000000*IF(ISBLANK(Design!$B$33),Design!$B$32,Design!$B$33)*1000000) * ($B55+AH55-AG55*AS55/1000) - (AH55+AG55*(1+($A55-25)*Constants!$C$36/100)*IF(ISBLANK(Design!$B$43),Constants!$C$6/1000,Design!$B$43/1000)))</f>
        <v>9.4765655889179463</v>
      </c>
      <c r="AU55" s="119">
        <f ca="1">IF(AT55&gt;Design!$C$29,Design!$C$29,AT55)</f>
        <v>4.9990521327014221</v>
      </c>
    </row>
    <row r="56" spans="1:47" ht="12.75" customHeight="1" x14ac:dyDescent="0.25">
      <c r="A56" s="112">
        <f>Design!$D$13</f>
        <v>85</v>
      </c>
      <c r="B56" s="113">
        <f t="shared" si="12"/>
        <v>10.064999999999996</v>
      </c>
      <c r="C56" s="114">
        <f>Design!$D$7</f>
        <v>3</v>
      </c>
      <c r="D56" s="114">
        <f ca="1">FORECAST(C56, OFFSET(Design!$C$15:$C$17,MATCH(C56,Design!$B$15:$B$17,1)-1,0,2), OFFSET(Design!$B$15:$B$17,MATCH(C56,Design!$B$15:$B$17,1)-1,0,2))+(M56-25)*Design!$B$18/1000</f>
        <v>0.39561396610918398</v>
      </c>
      <c r="E56" s="173">
        <f ca="1">IF(100*(Design!$C$29+D56+C56*IF(ISBLANK(Design!$B$43),Constants!$C$6,Design!$B$43)/1000*(1+Constants!$C$36/100*(N56-25)))/($B56+D56-C56*O56/1000)&gt;Design!$B$36,Design!$B$37,100*(Design!$C$29+D56+C56*IF(ISBLANK(Design!$B$43),Constants!$C$6,Design!$B$43)/1000*(1+Constants!$C$36/100*(N56-25)))/($B56+D56-C56*O56/1000))</f>
        <v>56.561657036937575</v>
      </c>
      <c r="F56" s="115">
        <f ca="1">IF(($B56-C56*IF(ISBLANK(Design!$B$43),Constants!$C$6,Design!$B$43)/1000*(1+Constants!$C$36/100*(N56-25))-Design!$C$29)/(IF(ISBLANK(Design!$B$42),Design!$B$40,Design!$B$42)/1000000)*E56/100/(IF(ISBLANK(Design!$B$33),Design!$B$32,Design!$B$33)*1000000)&lt;0,0,($B56-C56*IF(ISBLANK(Design!$B$43),Constants!$C$6,Design!$B$43)/1000*(1+Constants!$C$36/100*(N56-25))-Design!$C$29)/(IF(ISBLANK(Design!$B$42),Design!$B$40,Design!$B$42)/1000000)*E56/100/(IF(ISBLANK(Design!$B$33),Design!$B$32,Design!$B$33)*1000000))</f>
        <v>0.65172055669326856</v>
      </c>
      <c r="G56" s="165">
        <f>B56*Constants!$C$21/1000+IF(ISBLANK(Design!$B$33),Design!$B$32,Design!$B$33)*1000000*Constants!$D$25/1000000000*(B56-Constants!$C$24)</f>
        <v>3.5925624999999982E-2</v>
      </c>
      <c r="H56" s="165">
        <f>B56*C56*(B56/(Constants!$C$26*1000000000)*IF(ISBLANK(Design!$B$33),Design!$B$32,Design!$B$33)*1000000/2+B56/(Constants!$C$27*1000000000)*IF(ISBLANK(Design!$B$33),Design!$B$32,Design!$B$33)*1000000/2)</f>
        <v>0.17939289843749984</v>
      </c>
      <c r="I56" s="165">
        <f t="shared" ca="1" si="13"/>
        <v>1.0633498848758247</v>
      </c>
      <c r="J56" s="165">
        <f>Constants!$D$25/1000000000*Constants!$C$24*IF(ISBLANK(Design!$B$33),Design!$B$32,Design!$B$33)*1000000</f>
        <v>1.0624999999999999E-2</v>
      </c>
      <c r="K56" s="165">
        <f t="shared" ca="1" si="22"/>
        <v>1.2892934083133247</v>
      </c>
      <c r="L56" s="165">
        <f t="shared" ca="1" si="17"/>
        <v>0.51554445422484263</v>
      </c>
      <c r="M56" s="166">
        <f ca="1">$A56+L56*Design!$B$19</f>
        <v>114.38603389081604</v>
      </c>
      <c r="N56" s="166">
        <f ca="1">K56*Design!$C$12+A56</f>
        <v>128.83597588265303</v>
      </c>
      <c r="O56" s="166">
        <f ca="1">Constants!$D$22+Constants!$D$22*Constants!$C$23/100*(N56-25)</f>
        <v>208.06878070612242</v>
      </c>
      <c r="P56" s="165">
        <f ca="1">IF(100*(Design!$C$29+D56+C56*IF(ISBLANK(Design!$B$43),Constants!$C$6,Design!$B$43)/1000*(1+Constants!$C$36/100*(N56-25)))/($B56+D56-C56*O56/1000)&gt;Design!$B$36,   (1-Constants!$D$20/1000000000*IF(ISBLANK(Design!$B$33),Design!$B$32/4,Design!$B$33/4)*1000000) * ($B56+D56-C56*O56/1000) - (D56+C56*(1+($A56-25)*Constants!$C$36/100)*IF(ISBLANK(Design!$B$43),Constants!$C$6/1000,Design!$B$43/1000)),  (1-Constants!$D$20/1000000000*IF(ISBLANK(Design!$B$33),Design!$B$32,Design!$B$33)*1000000) * ($B56+D56-C56*O56/1000) - (D56+C56*(1+($A56-25)*Constants!$C$36/100)*IF(ISBLANK(Design!$B$43),Constants!$C$6/1000,Design!$B$43/1000)))</f>
        <v>8.7490361366561373</v>
      </c>
      <c r="Q56" s="115">
        <f ca="1">IF(P56&gt;Design!$C$29,Design!$C$29,P56)</f>
        <v>4.9990521327014221</v>
      </c>
      <c r="R56" s="116">
        <f>2*Design!$D$7/3</f>
        <v>2</v>
      </c>
      <c r="S56" s="116">
        <f ca="1">FORECAST(R56, OFFSET(Design!$C$15:$C$17,MATCH(R56,Design!$B$15:$B$17,1)-1,0,2), OFFSET(Design!$B$15:$B$17,MATCH(R56,Design!$B$15:$B$17,1)-1,0,2))+(AB56-25)*Design!$B$18/1000</f>
        <v>0.38026497104711454</v>
      </c>
      <c r="T56" s="182">
        <f ca="1">IF(100*(Design!$C$29+S56+R56*IF(ISBLANK(Design!$B$43),Constants!$C$6,Design!$B$43)/1000*(1+Constants!$C$36/100*(AC56-25)))/($B56+S56-R56*AD56/1000)&gt;Design!$B$36,Design!$B$37,100*(Design!$C$29+S56+R56*IF(ISBLANK(Design!$B$43),Constants!$C$6,Design!$B$43)/1000*(1+Constants!$C$36/100*(AC56-25)))/($B56+S56-R56*AD56/1000))</f>
        <v>54.475352125202704</v>
      </c>
      <c r="U56" s="117">
        <f ca="1">IF(($B56-R56*IF(ISBLANK(Design!$B$43),Constants!$C$6,Design!$B$43)/1000*(1+Constants!$C$36/100*(AC56-25))-Design!$C$29)/(IF(ISBLANK(Design!$B$42),Design!$B$40,Design!$B$42)/1000000)*T56/100/(IF(ISBLANK(Design!$B$33),Design!$B$32,Design!$B$33)*1000000)&lt;0,0,($B56-R56*IF(ISBLANK(Design!$B$43),Constants!$C$6,Design!$B$43)/1000*(1+Constants!$C$36/100*(AC56-25))-Design!$C$29)/(IF(ISBLANK(Design!$B$42),Design!$B$40,Design!$B$42)/1000000)*T56/100/(IF(ISBLANK(Design!$B$33),Design!$B$32,Design!$B$33)*1000000))</f>
        <v>0.6358713056376929</v>
      </c>
      <c r="V56" s="183">
        <f>$B56*Constants!$C$21/1000+IF(ISBLANK(Design!$B$33),Design!$B$32,Design!$B$33)*1000000*Constants!$D$25/1000000000*($B56-Constants!$C$24)</f>
        <v>3.5925624999999982E-2</v>
      </c>
      <c r="W56" s="183">
        <f>$B56*R56*($B56/(Constants!$C$26*1000000000)*IF(ISBLANK(Design!$B$33),Design!$B$32,Design!$B$33)*1000000/2+$B56/(Constants!$C$27*1000000000)*IF(ISBLANK(Design!$B$33),Design!$B$32,Design!$B$33)*1000000/2)</f>
        <v>0.11959526562499989</v>
      </c>
      <c r="X56" s="183">
        <f t="shared" ca="1" si="14"/>
        <v>0.41487136930017504</v>
      </c>
      <c r="Y56" s="183">
        <f>Constants!$D$25/1000000000*Constants!$C$24*IF(ISBLANK(Design!$B$33),Design!$B$32,Design!$B$33)*1000000</f>
        <v>1.0624999999999999E-2</v>
      </c>
      <c r="Z56" s="183">
        <f t="shared" ca="1" si="23"/>
        <v>0.58101725992517494</v>
      </c>
      <c r="AA56" s="183">
        <f t="shared" ca="1" si="19"/>
        <v>0.34622857812079755</v>
      </c>
      <c r="AB56" s="184">
        <f ca="1">$A56+AA56*Design!$B$19</f>
        <v>104.73502895288546</v>
      </c>
      <c r="AC56" s="184">
        <f ca="1">Z56*Design!$C$12+$A56</f>
        <v>104.75458683745595</v>
      </c>
      <c r="AD56" s="184">
        <f ca="1">Constants!$D$22+Constants!$D$22*Constants!$C$23/100*(AC56-25)</f>
        <v>188.80366946996475</v>
      </c>
      <c r="AE56" s="183">
        <f ca="1">IF(100*(Design!$C$29+S56+R56*IF(ISBLANK(Design!$B$43),Constants!$C$6,Design!$B$43)/1000*(1+Constants!$C$36/100*(AC56-25)))/($B56+S56-R56*AD56/1000)&gt;Design!$B$36,   (1-Constants!$D$20/1000000000*IF(ISBLANK(Design!$B$33),Design!$B$32/4,Design!$B$33/4)*1000000) * ($B56+S56-R56*AD56/1000) - (S56+R56*(1+($A56-25)*Constants!$C$36/100)*IF(ISBLANK(Design!$B$43),Constants!$C$6/1000,Design!$B$43/1000)),  (1-Constants!$D$20/1000000000*IF(ISBLANK(Design!$B$33),Design!$B$32,Design!$B$33)*1000000) * ($B56+S56-R56*AD56/1000) - (S56+R56*(1+($A56-25)*Constants!$C$36/100)*IF(ISBLANK(Design!$B$43),Constants!$C$6/1000,Design!$B$43/1000)))</f>
        <v>9.0322905768861457</v>
      </c>
      <c r="AF56" s="117">
        <f ca="1">IF(AE56&gt;Design!$C$29,Design!$C$29,AE56)</f>
        <v>4.9990521327014221</v>
      </c>
      <c r="AG56" s="118">
        <f>Design!$D$7/3</f>
        <v>1</v>
      </c>
      <c r="AH56" s="118">
        <f ca="1">FORECAST(AG56, OFFSET(Design!$C$15:$C$17,MATCH(AG56,Design!$B$15:$B$17,1)-1,0,2), OFFSET(Design!$B$15:$B$17,MATCH(AG56,Design!$B$15:$B$17,1)-1,0,2))+(AQ56-25)*Design!$B$18/1000</f>
        <v>0.31374203307491011</v>
      </c>
      <c r="AI56" s="194">
        <f ca="1">IF(100*(Design!$C$29+AH56+AG56*IF(ISBLANK(Design!$B$43),Constants!$C$6,Design!$B$43)/1000*(1+Constants!$C$36/100*(AR56-25)))/($B56+AH56-AG56*AS56/1000)&gt;Design!$B$36,Design!$B$37,100*(Design!$C$29+AH56+AG56*IF(ISBLANK(Design!$B$43),Constants!$C$6,Design!$B$43)/1000*(1+Constants!$C$36/100*(AR56-25)))/($B56+AH56-AG56*AS56/1000))</f>
        <v>52.580390092985418</v>
      </c>
      <c r="AJ56" s="119">
        <f ca="1">IF(($B56-AG56*IF(ISBLANK(Design!$B$43),Constants!$C$6,Design!$B$43)/1000*(1+Constants!$C$36/100*(AR56-25))-Design!$C$29)/(IF(ISBLANK(Design!$B$42),Design!$B$40,Design!$B$42)/1000000)*AI56/100/(IF(ISBLANK(Design!$B$33),Design!$B$32,Design!$B$33)*1000000)&lt;0,0,($B56-AG56*IF(ISBLANK(Design!$B$43),Constants!$C$6,Design!$B$43)/1000*(1+Constants!$C$36/100*(AR56-25))-Design!$C$29)/(IF(ISBLANK(Design!$B$42),Design!$B$40,Design!$B$42)/1000000)*AI56/100/(IF(ISBLANK(Design!$B$33),Design!$B$32,Design!$B$33)*1000000))</f>
        <v>0.62050175747641789</v>
      </c>
      <c r="AK56" s="195">
        <f>$B56*Constants!$C$21/1000+IF(ISBLANK(Design!$B$33),Design!$B$32,Design!$B$33)*1000000*Constants!$D$25/1000000000*($B56-Constants!$C$24)</f>
        <v>3.5925624999999982E-2</v>
      </c>
      <c r="AL56" s="195">
        <f>$B56*AG56*($B56/(Constants!$C$26*1000000000)*IF(ISBLANK(Design!$B$33),Design!$B$32,Design!$B$33)*1000000/2+$B56/(Constants!$C$27*1000000000)*IF(ISBLANK(Design!$B$33),Design!$B$32,Design!$B$33)*1000000/2)</f>
        <v>5.9797632812499946E-2</v>
      </c>
      <c r="AM56" s="195">
        <f t="shared" ca="1" si="15"/>
        <v>9.6882513089570993E-2</v>
      </c>
      <c r="AN56" s="195">
        <f>Constants!$D$25/1000000000*Constants!$C$24*IF(ISBLANK(Design!$B$33),Design!$B$32,Design!$B$33)*1000000</f>
        <v>1.0624999999999999E-2</v>
      </c>
      <c r="AO56" s="195">
        <f t="shared" ca="1" si="24"/>
        <v>0.20323077090207092</v>
      </c>
      <c r="AP56" s="195">
        <f t="shared" ca="1" si="21"/>
        <v>0.14877524819845903</v>
      </c>
      <c r="AQ56" s="196">
        <f ca="1">$A56+AP56*Design!$B$19</f>
        <v>93.48018914731216</v>
      </c>
      <c r="AR56" s="196">
        <f ca="1">AO56*Design!$C$12+$A56</f>
        <v>91.909846210670409</v>
      </c>
      <c r="AS56" s="196">
        <f ca="1">Constants!$D$22+Constants!$D$22*Constants!$C$23/100*(AR56-25)</f>
        <v>178.52787696853633</v>
      </c>
      <c r="AT56" s="195">
        <f ca="1">IF(100*(Design!$C$29+AH56+AG56*IF(ISBLANK(Design!$B$43),Constants!$C$6,Design!$B$43)/1000*(1+Constants!$C$36/100*(AR56-25)))/($B56+AH56-AG56*AS56/1000)&gt;Design!$B$36,   (1-Constants!$D$20/1000000000*IF(ISBLANK(Design!$B$33),Design!$B$32/4,Design!$B$33/4)*1000000) * ($B56+AH56-AG56*AS56/1000) - (AH56+AG56*(1+($A56-25)*Constants!$C$36/100)*IF(ISBLANK(Design!$B$43),Constants!$C$6/1000,Design!$B$43/1000)),  (1-Constants!$D$20/1000000000*IF(ISBLANK(Design!$B$33),Design!$B$32,Design!$B$33)*1000000) * ($B56+AH56-AG56*AS56/1000) - (AH56+AG56*(1+($A56-25)*Constants!$C$36/100)*IF(ISBLANK(Design!$B$43),Constants!$C$6/1000,Design!$B$43/1000)))</f>
        <v>9.2734782909065814</v>
      </c>
      <c r="AU56" s="119">
        <f ca="1">IF(AT56&gt;Design!$C$29,Design!$C$29,AT56)</f>
        <v>4.9990521327014221</v>
      </c>
    </row>
    <row r="57" spans="1:47" ht="12.75" customHeight="1" x14ac:dyDescent="0.25">
      <c r="A57" s="112">
        <f>Design!$D$13</f>
        <v>85</v>
      </c>
      <c r="B57" s="113">
        <f t="shared" si="12"/>
        <v>9.8499999999999961</v>
      </c>
      <c r="C57" s="114">
        <f>Design!$D$7</f>
        <v>3</v>
      </c>
      <c r="D57" s="114">
        <f ca="1">FORECAST(C57, OFFSET(Design!$C$15:$C$17,MATCH(C57,Design!$B$15:$B$17,1)-1,0,2), OFFSET(Design!$B$15:$B$17,MATCH(C57,Design!$B$15:$B$17,1)-1,0,2))+(M57-25)*Design!$B$18/1000</f>
        <v>0.39642113538563517</v>
      </c>
      <c r="E57" s="173">
        <f ca="1">IF(100*(Design!$C$29+D57+C57*IF(ISBLANK(Design!$B$43),Constants!$C$6,Design!$B$43)/1000*(1+Constants!$C$36/100*(N57-25)))/($B57+D57-C57*O57/1000)&gt;Design!$B$36,Design!$B$37,100*(Design!$C$29+D57+C57*IF(ISBLANK(Design!$B$43),Constants!$C$6,Design!$B$43)/1000*(1+Constants!$C$36/100*(N57-25)))/($B57+D57-C57*O57/1000))</f>
        <v>57.840829278863055</v>
      </c>
      <c r="F57" s="115">
        <f ca="1">IF(($B57-C57*IF(ISBLANK(Design!$B$43),Constants!$C$6,Design!$B$43)/1000*(1+Constants!$C$36/100*(N57-25))-Design!$C$29)/(IF(ISBLANK(Design!$B$42),Design!$B$40,Design!$B$42)/1000000)*E57/100/(IF(ISBLANK(Design!$B$33),Design!$B$32,Design!$B$33)*1000000)&lt;0,0,($B57-C57*IF(ISBLANK(Design!$B$43),Constants!$C$6,Design!$B$43)/1000*(1+Constants!$C$36/100*(N57-25))-Design!$C$29)/(IF(ISBLANK(Design!$B$42),Design!$B$40,Design!$B$42)/1000000)*E57/100/(IF(ISBLANK(Design!$B$33),Design!$B$32,Design!$B$33)*1000000))</f>
        <v>0.63716003492373041</v>
      </c>
      <c r="G57" s="165">
        <f>B57*Constants!$C$21/1000+IF(ISBLANK(Design!$B$33),Design!$B$32,Design!$B$33)*1000000*Constants!$D$25/1000000000*(B57-Constants!$C$24)</f>
        <v>3.4931249999999983E-2</v>
      </c>
      <c r="H57" s="165">
        <f>B57*C57*(B57/(Constants!$C$26*1000000000)*IF(ISBLANK(Design!$B$33),Design!$B$32,Design!$B$33)*1000000/2+B57/(Constants!$C$27*1000000000)*IF(ISBLANK(Design!$B$33),Design!$B$32,Design!$B$33)*1000000/2)</f>
        <v>0.1718106770833332</v>
      </c>
      <c r="I57" s="165">
        <f t="shared" ca="1" si="13"/>
        <v>1.0897419528393617</v>
      </c>
      <c r="J57" s="165">
        <f>Constants!$D$25/1000000000*Constants!$C$24*IF(ISBLANK(Design!$B$33),Design!$B$32,Design!$B$33)*1000000</f>
        <v>1.0624999999999999E-2</v>
      </c>
      <c r="K57" s="165">
        <f t="shared" ca="1" si="22"/>
        <v>1.3071088799226951</v>
      </c>
      <c r="L57" s="165">
        <f t="shared" ca="1" si="17"/>
        <v>0.50138358972569796</v>
      </c>
      <c r="M57" s="166">
        <f ca="1">$A57+L57*Design!$B$19</f>
        <v>113.57886461436479</v>
      </c>
      <c r="N57" s="166">
        <f ca="1">K57*Design!$C$12+A57</f>
        <v>129.44170191737163</v>
      </c>
      <c r="O57" s="166">
        <f ca="1">Constants!$D$22+Constants!$D$22*Constants!$C$23/100*(N57-25)</f>
        <v>208.55336153389732</v>
      </c>
      <c r="P57" s="165">
        <f ca="1">IF(100*(Design!$C$29+D57+C57*IF(ISBLANK(Design!$B$43),Constants!$C$6,Design!$B$43)/1000*(1+Constants!$C$36/100*(N57-25)))/($B57+D57-C57*O57/1000)&gt;Design!$B$36,   (1-Constants!$D$20/1000000000*IF(ISBLANK(Design!$B$33),Design!$B$32/4,Design!$B$33/4)*1000000) * ($B57+D57-C57*O57/1000) - (D57+C57*(1+($A57-25)*Constants!$C$36/100)*IF(ISBLANK(Design!$B$43),Constants!$C$6/1000,Design!$B$43/1000)),  (1-Constants!$D$20/1000000000*IF(ISBLANK(Design!$B$33),Design!$B$32,Design!$B$33)*1000000) * ($B57+D57-C57*O57/1000) - (D57+C57*(1+($A57-25)*Constants!$C$36/100)*IF(ISBLANK(Design!$B$43),Constants!$C$6/1000,Design!$B$43/1000)))</f>
        <v>8.5444968673424899</v>
      </c>
      <c r="Q57" s="115">
        <f ca="1">IF(P57&gt;Design!$C$29,Design!$C$29,P57)</f>
        <v>4.9990521327014221</v>
      </c>
      <c r="R57" s="116">
        <f>2*Design!$D$7/3</f>
        <v>2</v>
      </c>
      <c r="S57" s="116">
        <f ca="1">FORECAST(R57, OFFSET(Design!$C$15:$C$17,MATCH(R57,Design!$B$15:$B$17,1)-1,0,2), OFFSET(Design!$B$15:$B$17,MATCH(R57,Design!$B$15:$B$17,1)-1,0,2))+(AB57-25)*Design!$B$18/1000</f>
        <v>0.38075693802213528</v>
      </c>
      <c r="T57" s="182">
        <f ca="1">IF(100*(Design!$C$29+S57+R57*IF(ISBLANK(Design!$B$43),Constants!$C$6,Design!$B$43)/1000*(1+Constants!$C$36/100*(AC57-25)))/($B57+S57-R57*AD57/1000)&gt;Design!$B$36,Design!$B$37,100*(Design!$C$29+S57+R57*IF(ISBLANK(Design!$B$43),Constants!$C$6,Design!$B$43)/1000*(1+Constants!$C$36/100*(AC57-25)))/($B57+S57-R57*AD57/1000))</f>
        <v>55.667573608415218</v>
      </c>
      <c r="U57" s="117">
        <f ca="1">IF(($B57-R57*IF(ISBLANK(Design!$B$43),Constants!$C$6,Design!$B$43)/1000*(1+Constants!$C$36/100*(AC57-25))-Design!$C$29)/(IF(ISBLANK(Design!$B$42),Design!$B$40,Design!$B$42)/1000000)*T57/100/(IF(ISBLANK(Design!$B$33),Design!$B$32,Design!$B$33)*1000000)&lt;0,0,($B57-R57*IF(ISBLANK(Design!$B$43),Constants!$C$6,Design!$B$43)/1000*(1+Constants!$C$36/100*(AC57-25))-Design!$C$29)/(IF(ISBLANK(Design!$B$42),Design!$B$40,Design!$B$42)/1000000)*T57/100/(IF(ISBLANK(Design!$B$33),Design!$B$32,Design!$B$33)*1000000))</f>
        <v>0.62162215254780862</v>
      </c>
      <c r="V57" s="183">
        <f>$B57*Constants!$C$21/1000+IF(ISBLANK(Design!$B$33),Design!$B$32,Design!$B$33)*1000000*Constants!$D$25/1000000000*($B57-Constants!$C$24)</f>
        <v>3.4931249999999983E-2</v>
      </c>
      <c r="W57" s="183">
        <f>$B57*R57*($B57/(Constants!$C$26*1000000000)*IF(ISBLANK(Design!$B$33),Design!$B$32,Design!$B$33)*1000000/2+$B57/(Constants!$C$27*1000000000)*IF(ISBLANK(Design!$B$33),Design!$B$32,Design!$B$33)*1000000/2)</f>
        <v>0.1145404513888888</v>
      </c>
      <c r="X57" s="183">
        <f t="shared" ca="1" si="14"/>
        <v>0.42398095746886122</v>
      </c>
      <c r="Y57" s="183">
        <f>Constants!$D$25/1000000000*Constants!$C$24*IF(ISBLANK(Design!$B$33),Design!$B$32,Design!$B$33)*1000000</f>
        <v>1.0624999999999999E-2</v>
      </c>
      <c r="Z57" s="183">
        <f t="shared" ca="1" si="23"/>
        <v>0.58407765885774998</v>
      </c>
      <c r="AA57" s="183">
        <f t="shared" ca="1" si="19"/>
        <v>0.33759757855903039</v>
      </c>
      <c r="AB57" s="184">
        <f ca="1">$A57+AA57*Design!$B$19</f>
        <v>104.24306197786473</v>
      </c>
      <c r="AC57" s="184">
        <f ca="1">Z57*Design!$C$12+$A57</f>
        <v>104.8586404011635</v>
      </c>
      <c r="AD57" s="184">
        <f ca="1">Constants!$D$22+Constants!$D$22*Constants!$C$23/100*(AC57-25)</f>
        <v>188.8869123209308</v>
      </c>
      <c r="AE57" s="183">
        <f ca="1">IF(100*(Design!$C$29+S57+R57*IF(ISBLANK(Design!$B$43),Constants!$C$6,Design!$B$43)/1000*(1+Constants!$C$36/100*(AC57-25)))/($B57+S57-R57*AD57/1000)&gt;Design!$B$36,   (1-Constants!$D$20/1000000000*IF(ISBLANK(Design!$B$33),Design!$B$32/4,Design!$B$33/4)*1000000) * ($B57+S57-R57*AD57/1000) - (S57+R57*(1+($A57-25)*Constants!$C$36/100)*IF(ISBLANK(Design!$B$43),Constants!$C$6/1000,Design!$B$43/1000)),  (1-Constants!$D$20/1000000000*IF(ISBLANK(Design!$B$33),Design!$B$32,Design!$B$33)*1000000) * ($B57+S57-R57*AD57/1000) - (S57+R57*(1+($A57-25)*Constants!$C$36/100)*IF(ISBLANK(Design!$B$43),Constants!$C$6/1000,Design!$B$43/1000)))</f>
        <v>8.8289848583438744</v>
      </c>
      <c r="AF57" s="117">
        <f ca="1">IF(AE57&gt;Design!$C$29,Design!$C$29,AE57)</f>
        <v>4.9990521327014221</v>
      </c>
      <c r="AG57" s="118">
        <f>Design!$D$7/3</f>
        <v>1</v>
      </c>
      <c r="AH57" s="118">
        <f ca="1">FORECAST(AG57, OFFSET(Design!$C$15:$C$17,MATCH(AG57,Design!$B$15:$B$17,1)-1,0,2), OFFSET(Design!$B$15:$B$17,MATCH(AG57,Design!$B$15:$B$17,1)-1,0,2))+(AQ57-25)*Design!$B$18/1000</f>
        <v>0.31393939868187742</v>
      </c>
      <c r="AI57" s="194">
        <f ca="1">IF(100*(Design!$C$29+AH57+AG57*IF(ISBLANK(Design!$B$43),Constants!$C$6,Design!$B$43)/1000*(1+Constants!$C$36/100*(AR57-25)))/($B57+AH57-AG57*AS57/1000)&gt;Design!$B$36,Design!$B$37,100*(Design!$C$29+AH57+AG57*IF(ISBLANK(Design!$B$43),Constants!$C$6,Design!$B$43)/1000*(1+Constants!$C$36/100*(AR57-25)))/($B57+AH57-AG57*AS57/1000))</f>
        <v>53.71313880947168</v>
      </c>
      <c r="AJ57" s="119">
        <f ca="1">IF(($B57-AG57*IF(ISBLANK(Design!$B$43),Constants!$C$6,Design!$B$43)/1000*(1+Constants!$C$36/100*(AR57-25))-Design!$C$29)/(IF(ISBLANK(Design!$B$42),Design!$B$40,Design!$B$42)/1000000)*AI57/100/(IF(ISBLANK(Design!$B$33),Design!$B$32,Design!$B$33)*1000000)&lt;0,0,($B57-AG57*IF(ISBLANK(Design!$B$43),Constants!$C$6,Design!$B$43)/1000*(1+Constants!$C$36/100*(AR57-25))-Design!$C$29)/(IF(ISBLANK(Design!$B$42),Design!$B$40,Design!$B$42)/1000000)*AI57/100/(IF(ISBLANK(Design!$B$33),Design!$B$32,Design!$B$33)*1000000))</f>
        <v>0.60669788513982892</v>
      </c>
      <c r="AK57" s="195">
        <f>$B57*Constants!$C$21/1000+IF(ISBLANK(Design!$B$33),Design!$B$32,Design!$B$33)*1000000*Constants!$D$25/1000000000*($B57-Constants!$C$24)</f>
        <v>3.4931249999999983E-2</v>
      </c>
      <c r="AL57" s="195">
        <f>$B57*AG57*($B57/(Constants!$C$26*1000000000)*IF(ISBLANK(Design!$B$33),Design!$B$32,Design!$B$33)*1000000/2+$B57/(Constants!$C$27*1000000000)*IF(ISBLANK(Design!$B$33),Design!$B$32,Design!$B$33)*1000000/2)</f>
        <v>5.7270225694444399E-2</v>
      </c>
      <c r="AM57" s="195">
        <f t="shared" ca="1" si="15"/>
        <v>9.8810298044802652E-2</v>
      </c>
      <c r="AN57" s="195">
        <f>Constants!$D$25/1000000000*Constants!$C$24*IF(ISBLANK(Design!$B$33),Design!$B$32,Design!$B$33)*1000000</f>
        <v>1.0624999999999999E-2</v>
      </c>
      <c r="AO57" s="195">
        <f t="shared" ca="1" si="24"/>
        <v>0.20163677373924704</v>
      </c>
      <c r="AP57" s="195">
        <f t="shared" ca="1" si="21"/>
        <v>0.1453126936902599</v>
      </c>
      <c r="AQ57" s="196">
        <f ca="1">$A57+AP57*Design!$B$19</f>
        <v>93.282823540344822</v>
      </c>
      <c r="AR57" s="196">
        <f ca="1">AO57*Design!$C$12+$A57</f>
        <v>91.855650307134397</v>
      </c>
      <c r="AS57" s="196">
        <f ca="1">Constants!$D$22+Constants!$D$22*Constants!$C$23/100*(AR57-25)</f>
        <v>178.48452024570753</v>
      </c>
      <c r="AT57" s="195">
        <f ca="1">IF(100*(Design!$C$29+AH57+AG57*IF(ISBLANK(Design!$B$43),Constants!$C$6,Design!$B$43)/1000*(1+Constants!$C$36/100*(AR57-25)))/($B57+AH57-AG57*AS57/1000)&gt;Design!$B$36,   (1-Constants!$D$20/1000000000*IF(ISBLANK(Design!$B$33),Design!$B$32/4,Design!$B$33/4)*1000000) * ($B57+AH57-AG57*AS57/1000) - (AH57+AG57*(1+($A57-25)*Constants!$C$36/100)*IF(ISBLANK(Design!$B$43),Constants!$C$6/1000,Design!$B$43/1000)),  (1-Constants!$D$20/1000000000*IF(ISBLANK(Design!$B$33),Design!$B$32,Design!$B$33)*1000000) * ($B57+AH57-AG57*AS57/1000) - (AH57+AG57*(1+($A57-25)*Constants!$C$36/100)*IF(ISBLANK(Design!$B$43),Constants!$C$6/1000,Design!$B$43/1000)))</f>
        <v>9.0703870977206904</v>
      </c>
      <c r="AU57" s="119">
        <f ca="1">IF(AT57&gt;Design!$C$29,Design!$C$29,AT57)</f>
        <v>4.9990521327014221</v>
      </c>
    </row>
    <row r="58" spans="1:47" ht="12.75" customHeight="1" x14ac:dyDescent="0.25">
      <c r="A58" s="112">
        <f>Design!$D$13</f>
        <v>85</v>
      </c>
      <c r="B58" s="113">
        <f t="shared" si="12"/>
        <v>9.6349999999999962</v>
      </c>
      <c r="C58" s="114">
        <f>Design!$D$7</f>
        <v>3</v>
      </c>
      <c r="D58" s="114">
        <f ca="1">FORECAST(C58, OFFSET(Design!$C$15:$C$17,MATCH(C58,Design!$B$15:$B$17,1)-1,0,2), OFFSET(Design!$B$15:$B$17,MATCH(C58,Design!$B$15:$B$17,1)-1,0,2))+(M58-25)*Design!$B$18/1000</f>
        <v>0.39726967312013522</v>
      </c>
      <c r="E58" s="173">
        <f ca="1">IF(100*(Design!$C$29+D58+C58*IF(ISBLANK(Design!$B$43),Constants!$C$6,Design!$B$43)/1000*(1+Constants!$C$36/100*(N58-25)))/($B58+D58-C58*O58/1000)&gt;Design!$B$36,Design!$B$37,100*(Design!$C$29+D58+C58*IF(ISBLANK(Design!$B$43),Constants!$C$6,Design!$B$43)/1000*(1+Constants!$C$36/100*(N58-25)))/($B58+D58-C58*O58/1000))</f>
        <v>59.179956276406784</v>
      </c>
      <c r="F58" s="115">
        <f ca="1">IF(($B58-C58*IF(ISBLANK(Design!$B$43),Constants!$C$6,Design!$B$43)/1000*(1+Constants!$C$36/100*(N58-25))-Design!$C$29)/(IF(ISBLANK(Design!$B$42),Design!$B$40,Design!$B$42)/1000000)*E58/100/(IF(ISBLANK(Design!$B$33),Design!$B$32,Design!$B$33)*1000000)&lt;0,0,($B58-C58*IF(ISBLANK(Design!$B$43),Constants!$C$6,Design!$B$43)/1000*(1+Constants!$C$36/100*(N58-25))-Design!$C$29)/(IF(ISBLANK(Design!$B$42),Design!$B$40,Design!$B$42)/1000000)*E58/100/(IF(ISBLANK(Design!$B$33),Design!$B$32,Design!$B$33)*1000000))</f>
        <v>0.62193000577532298</v>
      </c>
      <c r="G58" s="165">
        <f>B58*Constants!$C$21/1000+IF(ISBLANK(Design!$B$33),Design!$B$32,Design!$B$33)*1000000*Constants!$D$25/1000000000*(B58-Constants!$C$24)</f>
        <v>3.3936874999999984E-2</v>
      </c>
      <c r="H58" s="165">
        <f>B58*C58*(B58/(Constants!$C$26*1000000000)*IF(ISBLANK(Design!$B$33),Design!$B$32,Design!$B$33)*1000000/2+B58/(Constants!$C$27*1000000000)*IF(ISBLANK(Design!$B$33),Design!$B$32,Design!$B$33)*1000000/2)</f>
        <v>0.16439216927083319</v>
      </c>
      <c r="I58" s="165">
        <f t="shared" ca="1" si="13"/>
        <v>1.1176017751062626</v>
      </c>
      <c r="J58" s="165">
        <f>Constants!$D$25/1000000000*Constants!$C$24*IF(ISBLANK(Design!$B$33),Design!$B$32,Design!$B$33)*1000000</f>
        <v>1.0624999999999999E-2</v>
      </c>
      <c r="K58" s="165">
        <f t="shared" ca="1" si="22"/>
        <v>1.3265558193770959</v>
      </c>
      <c r="L58" s="165">
        <f t="shared" ca="1" si="17"/>
        <v>0.48649696280464511</v>
      </c>
      <c r="M58" s="166">
        <f ca="1">$A58+L58*Design!$B$19</f>
        <v>112.73032687986478</v>
      </c>
      <c r="N58" s="166">
        <f ca="1">K58*Design!$C$12+A58</f>
        <v>130.10289785882125</v>
      </c>
      <c r="O58" s="166">
        <f ca="1">Constants!$D$22+Constants!$D$22*Constants!$C$23/100*(N58-25)</f>
        <v>209.08231828705701</v>
      </c>
      <c r="P58" s="165">
        <f ca="1">IF(100*(Design!$C$29+D58+C58*IF(ISBLANK(Design!$B$43),Constants!$C$6,Design!$B$43)/1000*(1+Constants!$C$36/100*(N58-25)))/($B58+D58-C58*O58/1000)&gt;Design!$B$36,   (1-Constants!$D$20/1000000000*IF(ISBLANK(Design!$B$33),Design!$B$32/4,Design!$B$33/4)*1000000) * ($B58+D58-C58*O58/1000) - (D58+C58*(1+($A58-25)*Constants!$C$36/100)*IF(ISBLANK(Design!$B$43),Constants!$C$6/1000,Design!$B$43/1000)),  (1-Constants!$D$20/1000000000*IF(ISBLANK(Design!$B$33),Design!$B$32,Design!$B$33)*1000000) * ($B58+D58-C58*O58/1000) - (D58+C58*(1+($A58-25)*Constants!$C$36/100)*IF(ISBLANK(Design!$B$43),Constants!$C$6/1000,Design!$B$43/1000)))</f>
        <v>8.3398295399550175</v>
      </c>
      <c r="Q58" s="115">
        <f ca="1">IF(P58&gt;Design!$C$29,Design!$C$29,P58)</f>
        <v>4.9990521327014221</v>
      </c>
      <c r="R58" s="116">
        <f>2*Design!$D$7/3</f>
        <v>2</v>
      </c>
      <c r="S58" s="116">
        <f ca="1">FORECAST(R58, OFFSET(Design!$C$15:$C$17,MATCH(R58,Design!$B$15:$B$17,1)-1,0,2), OFFSET(Design!$B$15:$B$17,MATCH(R58,Design!$B$15:$B$17,1)-1,0,2))+(AB58-25)*Design!$B$18/1000</f>
        <v>0.38127232286880086</v>
      </c>
      <c r="T58" s="182">
        <f ca="1">IF(100*(Design!$C$29+S58+R58*IF(ISBLANK(Design!$B$43),Constants!$C$6,Design!$B$43)/1000*(1+Constants!$C$36/100*(AC58-25)))/($B58+S58-R58*AD58/1000)&gt;Design!$B$36,Design!$B$37,100*(Design!$C$29+S58+R58*IF(ISBLANK(Design!$B$43),Constants!$C$6,Design!$B$43)/1000*(1+Constants!$C$36/100*(AC58-25)))/($B58+S58-R58*AD58/1000))</f>
        <v>56.913245541703887</v>
      </c>
      <c r="U58" s="117">
        <f ca="1">IF(($B58-R58*IF(ISBLANK(Design!$B$43),Constants!$C$6,Design!$B$43)/1000*(1+Constants!$C$36/100*(AC58-25))-Design!$C$29)/(IF(ISBLANK(Design!$B$42),Design!$B$40,Design!$B$42)/1000000)*T58/100/(IF(ISBLANK(Design!$B$33),Design!$B$32,Design!$B$33)*1000000)&lt;0,0,($B58-R58*IF(ISBLANK(Design!$B$43),Constants!$C$6,Design!$B$43)/1000*(1+Constants!$C$36/100*(AC58-25))-Design!$C$29)/(IF(ISBLANK(Design!$B$42),Design!$B$40,Design!$B$42)/1000000)*T58/100/(IF(ISBLANK(Design!$B$33),Design!$B$32,Design!$B$33)*1000000))</f>
        <v>0.60673560386568992</v>
      </c>
      <c r="V58" s="183">
        <f>$B58*Constants!$C$21/1000+IF(ISBLANK(Design!$B$33),Design!$B$32,Design!$B$33)*1000000*Constants!$D$25/1000000000*($B58-Constants!$C$24)</f>
        <v>3.3936874999999984E-2</v>
      </c>
      <c r="W58" s="183">
        <f>$B58*R58*($B58/(Constants!$C$26*1000000000)*IF(ISBLANK(Design!$B$33),Design!$B$32,Design!$B$33)*1000000/2+$B58/(Constants!$C$27*1000000000)*IF(ISBLANK(Design!$B$33),Design!$B$32,Design!$B$33)*1000000/2)</f>
        <v>0.10959477951388881</v>
      </c>
      <c r="X58" s="183">
        <f t="shared" ca="1" si="14"/>
        <v>0.43352972591366529</v>
      </c>
      <c r="Y58" s="183">
        <f>Constants!$D$25/1000000000*Constants!$C$24*IF(ISBLANK(Design!$B$33),Design!$B$32,Design!$B$33)*1000000</f>
        <v>1.0624999999999999E-2</v>
      </c>
      <c r="Z58" s="183">
        <f t="shared" ca="1" si="23"/>
        <v>0.58768638042755406</v>
      </c>
      <c r="AA58" s="183">
        <f t="shared" ca="1" si="19"/>
        <v>0.32855573914384445</v>
      </c>
      <c r="AB58" s="184">
        <f ca="1">$A58+AA58*Design!$B$19</f>
        <v>103.72767713119913</v>
      </c>
      <c r="AC58" s="184">
        <f ca="1">Z58*Design!$C$12+$A58</f>
        <v>104.98133693453684</v>
      </c>
      <c r="AD58" s="184">
        <f ca="1">Constants!$D$22+Constants!$D$22*Constants!$C$23/100*(AC58-25)</f>
        <v>188.98506954762948</v>
      </c>
      <c r="AE58" s="183">
        <f ca="1">IF(100*(Design!$C$29+S58+R58*IF(ISBLANK(Design!$B$43),Constants!$C$6,Design!$B$43)/1000*(1+Constants!$C$36/100*(AC58-25)))/($B58+S58-R58*AD58/1000)&gt;Design!$B$36,   (1-Constants!$D$20/1000000000*IF(ISBLANK(Design!$B$33),Design!$B$32/4,Design!$B$33/4)*1000000) * ($B58+S58-R58*AD58/1000) - (S58+R58*(1+($A58-25)*Constants!$C$36/100)*IF(ISBLANK(Design!$B$43),Constants!$C$6/1000,Design!$B$43/1000)),  (1-Constants!$D$20/1000000000*IF(ISBLANK(Design!$B$33),Design!$B$32,Design!$B$33)*1000000) * ($B58+S58-R58*AD58/1000) - (S58+R58*(1+($A58-25)*Constants!$C$36/100)*IF(ISBLANK(Design!$B$43),Constants!$C$6/1000,Design!$B$43/1000)))</f>
        <v>8.6256496652512507</v>
      </c>
      <c r="AF58" s="117">
        <f ca="1">IF(AE58&gt;Design!$C$29,Design!$C$29,AE58)</f>
        <v>4.9990521327014221</v>
      </c>
      <c r="AG58" s="118">
        <f>Design!$D$7/3</f>
        <v>1</v>
      </c>
      <c r="AH58" s="118">
        <f ca="1">FORECAST(AG58, OFFSET(Design!$C$15:$C$17,MATCH(AG58,Design!$B$15:$B$17,1)-1,0,2), OFFSET(Design!$B$15:$B$17,MATCH(AG58,Design!$B$15:$B$17,1)-1,0,2))+(AQ58-25)*Design!$B$18/1000</f>
        <v>0.31414571780370154</v>
      </c>
      <c r="AI58" s="194">
        <f ca="1">IF(100*(Design!$C$29+AH58+AG58*IF(ISBLANK(Design!$B$43),Constants!$C$6,Design!$B$43)/1000*(1+Constants!$C$36/100*(AR58-25)))/($B58+AH58-AG58*AS58/1000)&gt;Design!$B$36,Design!$B$37,100*(Design!$C$29+AH58+AG58*IF(ISBLANK(Design!$B$43),Constants!$C$6,Design!$B$43)/1000*(1+Constants!$C$36/100*(AR58-25)))/($B58+AH58-AG58*AS58/1000))</f>
        <v>54.895753166819873</v>
      </c>
      <c r="AJ58" s="119">
        <f ca="1">IF(($B58-AG58*IF(ISBLANK(Design!$B$43),Constants!$C$6,Design!$B$43)/1000*(1+Constants!$C$36/100*(AR58-25))-Design!$C$29)/(IF(ISBLANK(Design!$B$42),Design!$B$40,Design!$B$42)/1000000)*AI58/100/(IF(ISBLANK(Design!$B$33),Design!$B$32,Design!$B$33)*1000000)&lt;0,0,($B58-AG58*IF(ISBLANK(Design!$B$43),Constants!$C$6,Design!$B$43)/1000*(1+Constants!$C$36/100*(AR58-25))-Design!$C$29)/(IF(ISBLANK(Design!$B$42),Design!$B$40,Design!$B$42)/1000000)*AI58/100/(IF(ISBLANK(Design!$B$33),Design!$B$32,Design!$B$33)*1000000))</f>
        <v>0.59228590185516838</v>
      </c>
      <c r="AK58" s="195">
        <f>$B58*Constants!$C$21/1000+IF(ISBLANK(Design!$B$33),Design!$B$32,Design!$B$33)*1000000*Constants!$D$25/1000000000*($B58-Constants!$C$24)</f>
        <v>3.3936874999999984E-2</v>
      </c>
      <c r="AL58" s="195">
        <f>$B58*AG58*($B58/(Constants!$C$26*1000000000)*IF(ISBLANK(Design!$B$33),Design!$B$32,Design!$B$33)*1000000/2+$B58/(Constants!$C$27*1000000000)*IF(ISBLANK(Design!$B$33),Design!$B$32,Design!$B$33)*1000000/2)</f>
        <v>5.4797389756944405E-2</v>
      </c>
      <c r="AM58" s="195">
        <f t="shared" ca="1" si="15"/>
        <v>0.1008223744197015</v>
      </c>
      <c r="AN58" s="195">
        <f>Constants!$D$25/1000000000*Constants!$C$24*IF(ISBLANK(Design!$B$33),Design!$B$32,Design!$B$33)*1000000</f>
        <v>1.0624999999999999E-2</v>
      </c>
      <c r="AO58" s="195">
        <f t="shared" ca="1" si="24"/>
        <v>0.20018163917664589</v>
      </c>
      <c r="AP58" s="195">
        <f t="shared" ca="1" si="21"/>
        <v>0.14169305997404705</v>
      </c>
      <c r="AQ58" s="196">
        <f ca="1">$A58+AP58*Design!$B$19</f>
        <v>93.076504418520685</v>
      </c>
      <c r="AR58" s="196">
        <f ca="1">AO58*Design!$C$12+$A58</f>
        <v>91.806175732005954</v>
      </c>
      <c r="AS58" s="196">
        <f ca="1">Constants!$D$22+Constants!$D$22*Constants!$C$23/100*(AR58-25)</f>
        <v>178.44494058560477</v>
      </c>
      <c r="AT58" s="195">
        <f ca="1">IF(100*(Design!$C$29+AH58+AG58*IF(ISBLANK(Design!$B$43),Constants!$C$6,Design!$B$43)/1000*(1+Constants!$C$36/100*(AR58-25)))/($B58+AH58-AG58*AS58/1000)&gt;Design!$B$36,   (1-Constants!$D$20/1000000000*IF(ISBLANK(Design!$B$33),Design!$B$32/4,Design!$B$33/4)*1000000) * ($B58+AH58-AG58*AS58/1000) - (AH58+AG58*(1+($A58-25)*Constants!$C$36/100)*IF(ISBLANK(Design!$B$43),Constants!$C$6/1000,Design!$B$43/1000)),  (1-Constants!$D$20/1000000000*IF(ISBLANK(Design!$B$33),Design!$B$32,Design!$B$33)*1000000) * ($B58+AH58-AG58*AS58/1000) - (AH58+AG58*(1+($A58-25)*Constants!$C$36/100)*IF(ISBLANK(Design!$B$43),Constants!$C$6/1000,Design!$B$43/1000)))</f>
        <v>8.8672918414730901</v>
      </c>
      <c r="AU58" s="119">
        <f ca="1">IF(AT58&gt;Design!$C$29,Design!$C$29,AT58)</f>
        <v>4.9990521327014221</v>
      </c>
    </row>
    <row r="59" spans="1:47" ht="12.75" customHeight="1" x14ac:dyDescent="0.25">
      <c r="A59" s="112">
        <f>Design!$D$13</f>
        <v>85</v>
      </c>
      <c r="B59" s="113">
        <f t="shared" si="12"/>
        <v>9.4199999999999964</v>
      </c>
      <c r="C59" s="114">
        <f>Design!$D$7</f>
        <v>3</v>
      </c>
      <c r="D59" s="114">
        <f ca="1">FORECAST(C59, OFFSET(Design!$C$15:$C$17,MATCH(C59,Design!$B$15:$B$17,1)-1,0,2), OFFSET(Design!$B$15:$B$17,MATCH(C59,Design!$B$15:$B$17,1)-1,0,2))+(M59-25)*Design!$B$18/1000</f>
        <v>0.3981628749279108</v>
      </c>
      <c r="E59" s="173">
        <f ca="1">IF(100*(Design!$C$29+D59+C59*IF(ISBLANK(Design!$B$43),Constants!$C$6,Design!$B$43)/1000*(1+Constants!$C$36/100*(N59-25)))/($B59+D59-C59*O59/1000)&gt;Design!$B$36,Design!$B$37,100*(Design!$C$29+D59+C59*IF(ISBLANK(Design!$B$43),Constants!$C$6,Design!$B$43)/1000*(1+Constants!$C$36/100*(N59-25)))/($B59+D59-C59*O59/1000))</f>
        <v>60.583403987130303</v>
      </c>
      <c r="F59" s="115">
        <f ca="1">IF(($B59-C59*IF(ISBLANK(Design!$B$43),Constants!$C$6,Design!$B$43)/1000*(1+Constants!$C$36/100*(N59-25))-Design!$C$29)/(IF(ISBLANK(Design!$B$42),Design!$B$40,Design!$B$42)/1000000)*E59/100/(IF(ISBLANK(Design!$B$33),Design!$B$32,Design!$B$33)*1000000)&lt;0,0,($B59-C59*IF(ISBLANK(Design!$B$43),Constants!$C$6,Design!$B$43)/1000*(1+Constants!$C$36/100*(N59-25))-Design!$C$29)/(IF(ISBLANK(Design!$B$42),Design!$B$40,Design!$B$42)/1000000)*E59/100/(IF(ISBLANK(Design!$B$33),Design!$B$32,Design!$B$33)*1000000))</f>
        <v>0.60598248474538896</v>
      </c>
      <c r="G59" s="165">
        <f>B59*Constants!$C$21/1000+IF(ISBLANK(Design!$B$33),Design!$B$32,Design!$B$33)*1000000*Constants!$D$25/1000000000*(B59-Constants!$C$24)</f>
        <v>3.2942499999999986E-2</v>
      </c>
      <c r="H59" s="165">
        <f>B59*C59*(B59/(Constants!$C$26*1000000000)*IF(ISBLANK(Design!$B$33),Design!$B$32,Design!$B$33)*1000000/2+B59/(Constants!$C$27*1000000000)*IF(ISBLANK(Design!$B$33),Design!$B$32,Design!$B$33)*1000000/2)</f>
        <v>0.15713737499999988</v>
      </c>
      <c r="I59" s="165">
        <f t="shared" ca="1" si="13"/>
        <v>1.1470542131750481</v>
      </c>
      <c r="J59" s="165">
        <f>Constants!$D$25/1000000000*Constants!$C$24*IF(ISBLANK(Design!$B$33),Design!$B$32,Design!$B$33)*1000000</f>
        <v>1.0624999999999999E-2</v>
      </c>
      <c r="K59" s="165">
        <f t="shared" ca="1" si="22"/>
        <v>1.3477590881750481</v>
      </c>
      <c r="L59" s="165">
        <f t="shared" ca="1" si="17"/>
        <v>0.47082675565068682</v>
      </c>
      <c r="M59" s="166">
        <f ca="1">$A59+L59*Design!$B$19</f>
        <v>111.83712507208915</v>
      </c>
      <c r="N59" s="166">
        <f ca="1">K59*Design!$C$12+A59</f>
        <v>130.82380899795163</v>
      </c>
      <c r="O59" s="166">
        <f ca="1">Constants!$D$22+Constants!$D$22*Constants!$C$23/100*(N59-25)</f>
        <v>209.65904719836129</v>
      </c>
      <c r="P59" s="165">
        <f ca="1">IF(100*(Design!$C$29+D59+C59*IF(ISBLANK(Design!$B$43),Constants!$C$6,Design!$B$43)/1000*(1+Constants!$C$36/100*(N59-25)))/($B59+D59-C59*O59/1000)&gt;Design!$B$36,   (1-Constants!$D$20/1000000000*IF(ISBLANK(Design!$B$33),Design!$B$32/4,Design!$B$33/4)*1000000) * ($B59+D59-C59*O59/1000) - (D59+C59*(1+($A59-25)*Constants!$C$36/100)*IF(ISBLANK(Design!$B$43),Constants!$C$6/1000,Design!$B$43/1000)),  (1-Constants!$D$20/1000000000*IF(ISBLANK(Design!$B$33),Design!$B$32,Design!$B$33)*1000000) * ($B59+D59-C59*O59/1000) - (D59+C59*(1+($A59-25)*Constants!$C$36/100)*IF(ISBLANK(Design!$B$43),Constants!$C$6/1000,Design!$B$43/1000)))</f>
        <v>8.135024346638275</v>
      </c>
      <c r="Q59" s="115">
        <f ca="1">IF(P59&gt;Design!$C$29,Design!$C$29,P59)</f>
        <v>4.9990521327014221</v>
      </c>
      <c r="R59" s="116">
        <f>2*Design!$D$7/3</f>
        <v>2</v>
      </c>
      <c r="S59" s="116">
        <f ca="1">FORECAST(R59, OFFSET(Design!$C$15:$C$17,MATCH(R59,Design!$B$15:$B$17,1)-1,0,2), OFFSET(Design!$B$15:$B$17,MATCH(R59,Design!$B$15:$B$17,1)-1,0,2))+(AB59-25)*Design!$B$18/1000</f>
        <v>0.38181283870730048</v>
      </c>
      <c r="T59" s="182">
        <f ca="1">IF(100*(Design!$C$29+S59+R59*IF(ISBLANK(Design!$B$43),Constants!$C$6,Design!$B$43)/1000*(1+Constants!$C$36/100*(AC59-25)))/($B59+S59-R59*AD59/1000)&gt;Design!$B$36,Design!$B$37,100*(Design!$C$29+S59+R59*IF(ISBLANK(Design!$B$43),Constants!$C$6,Design!$B$43)/1000*(1+Constants!$C$36/100*(AC59-25)))/($B59+S59-R59*AD59/1000))</f>
        <v>58.21604556104478</v>
      </c>
      <c r="U59" s="117">
        <f ca="1">IF(($B59-R59*IF(ISBLANK(Design!$B$43),Constants!$C$6,Design!$B$43)/1000*(1+Constants!$C$36/100*(AC59-25))-Design!$C$29)/(IF(ISBLANK(Design!$B$42),Design!$B$40,Design!$B$42)/1000000)*T59/100/(IF(ISBLANK(Design!$B$33),Design!$B$32,Design!$B$33)*1000000)&lt;0,0,($B59-R59*IF(ISBLANK(Design!$B$43),Constants!$C$6,Design!$B$43)/1000*(1+Constants!$C$36/100*(AC59-25))-Design!$C$29)/(IF(ISBLANK(Design!$B$42),Design!$B$40,Design!$B$42)/1000000)*T59/100/(IF(ISBLANK(Design!$B$33),Design!$B$32,Design!$B$33)*1000000))</f>
        <v>0.59116777269745457</v>
      </c>
      <c r="V59" s="183">
        <f>$B59*Constants!$C$21/1000+IF(ISBLANK(Design!$B$33),Design!$B$32,Design!$B$33)*1000000*Constants!$D$25/1000000000*($B59-Constants!$C$24)</f>
        <v>3.2942499999999986E-2</v>
      </c>
      <c r="W59" s="183">
        <f>$B59*R59*($B59/(Constants!$C$26*1000000000)*IF(ISBLANK(Design!$B$33),Design!$B$32,Design!$B$33)*1000000/2+$B59/(Constants!$C$27*1000000000)*IF(ISBLANK(Design!$B$33),Design!$B$32,Design!$B$33)*1000000/2)</f>
        <v>0.10475824999999991</v>
      </c>
      <c r="X59" s="183">
        <f t="shared" ca="1" si="14"/>
        <v>0.44354994856239183</v>
      </c>
      <c r="Y59" s="183">
        <f>Constants!$D$25/1000000000*Constants!$C$24*IF(ISBLANK(Design!$B$33),Design!$B$32,Design!$B$33)*1000000</f>
        <v>1.0624999999999999E-2</v>
      </c>
      <c r="Z59" s="183">
        <f t="shared" ca="1" si="23"/>
        <v>0.59187569856239175</v>
      </c>
      <c r="AA59" s="183">
        <f t="shared" ca="1" si="19"/>
        <v>0.31907300513508002</v>
      </c>
      <c r="AB59" s="184">
        <f ca="1">$A59+AA59*Design!$B$19</f>
        <v>103.18716129269956</v>
      </c>
      <c r="AC59" s="184">
        <f ca="1">Z59*Design!$C$12+$A59</f>
        <v>105.12377375112132</v>
      </c>
      <c r="AD59" s="184">
        <f ca="1">Constants!$D$22+Constants!$D$22*Constants!$C$23/100*(AC59-25)</f>
        <v>189.09901900089704</v>
      </c>
      <c r="AE59" s="183">
        <f ca="1">IF(100*(Design!$C$29+S59+R59*IF(ISBLANK(Design!$B$43),Constants!$C$6,Design!$B$43)/1000*(1+Constants!$C$36/100*(AC59-25)))/($B59+S59-R59*AD59/1000)&gt;Design!$B$36,   (1-Constants!$D$20/1000000000*IF(ISBLANK(Design!$B$33),Design!$B$32/4,Design!$B$33/4)*1000000) * ($B59+S59-R59*AD59/1000) - (S59+R59*(1+($A59-25)*Constants!$C$36/100)*IF(ISBLANK(Design!$B$43),Constants!$C$6/1000,Design!$B$43/1000)),  (1-Constants!$D$20/1000000000*IF(ISBLANK(Design!$B$33),Design!$B$32,Design!$B$33)*1000000) * ($B59+S59-R59*AD59/1000) - (S59+R59*(1+($A59-25)*Constants!$C$36/100)*IF(ISBLANK(Design!$B$43),Constants!$C$6/1000,Design!$B$43/1000)))</f>
        <v>8.4222832442592228</v>
      </c>
      <c r="AF59" s="117">
        <f ca="1">IF(AE59&gt;Design!$C$29,Design!$C$29,AE59)</f>
        <v>4.9990521327014221</v>
      </c>
      <c r="AG59" s="118">
        <f>Design!$D$7/3</f>
        <v>1</v>
      </c>
      <c r="AH59" s="118">
        <f ca="1">FORECAST(AG59, OFFSET(Design!$C$15:$C$17,MATCH(AG59,Design!$B$15:$B$17,1)-1,0,2), OFFSET(Design!$B$15:$B$17,MATCH(AG59,Design!$B$15:$B$17,1)-1,0,2))+(AQ59-25)*Design!$B$18/1000</f>
        <v>0.31436161336820212</v>
      </c>
      <c r="AI59" s="194">
        <f ca="1">IF(100*(Design!$C$29+AH59+AG59*IF(ISBLANK(Design!$B$43),Constants!$C$6,Design!$B$43)/1000*(1+Constants!$C$36/100*(AR59-25)))/($B59+AH59-AG59*AS59/1000)&gt;Design!$B$36,Design!$B$37,100*(Design!$C$29+AH59+AG59*IF(ISBLANK(Design!$B$43),Constants!$C$6,Design!$B$43)/1000*(1+Constants!$C$36/100*(AR59-25)))/($B59+AH59-AG59*AS59/1000))</f>
        <v>56.131597298409062</v>
      </c>
      <c r="AJ59" s="119">
        <f ca="1">IF(($B59-AG59*IF(ISBLANK(Design!$B$43),Constants!$C$6,Design!$B$43)/1000*(1+Constants!$C$36/100*(AR59-25))-Design!$C$29)/(IF(ISBLANK(Design!$B$42),Design!$B$40,Design!$B$42)/1000000)*AI59/100/(IF(ISBLANK(Design!$B$33),Design!$B$32,Design!$B$33)*1000000)&lt;0,0,($B59-AG59*IF(ISBLANK(Design!$B$43),Constants!$C$6,Design!$B$43)/1000*(1+Constants!$C$36/100*(AR59-25))-Design!$C$29)/(IF(ISBLANK(Design!$B$42),Design!$B$40,Design!$B$42)/1000000)*AI59/100/(IF(ISBLANK(Design!$B$33),Design!$B$32,Design!$B$33)*1000000))</f>
        <v>0.57722471640986062</v>
      </c>
      <c r="AK59" s="195">
        <f>$B59*Constants!$C$21/1000+IF(ISBLANK(Design!$B$33),Design!$B$32,Design!$B$33)*1000000*Constants!$D$25/1000000000*($B59-Constants!$C$24)</f>
        <v>3.2942499999999986E-2</v>
      </c>
      <c r="AL59" s="195">
        <f>$B59*AG59*($B59/(Constants!$C$26*1000000000)*IF(ISBLANK(Design!$B$33),Design!$B$32,Design!$B$33)*1000000/2+$B59/(Constants!$C$27*1000000000)*IF(ISBLANK(Design!$B$33),Design!$B$32,Design!$B$33)*1000000/2)</f>
        <v>5.2379124999999957E-2</v>
      </c>
      <c r="AM59" s="195">
        <f t="shared" ca="1" si="15"/>
        <v>0.10292455532655959</v>
      </c>
      <c r="AN59" s="195">
        <f>Constants!$D$25/1000000000*Constants!$C$24*IF(ISBLANK(Design!$B$33),Design!$B$32,Design!$B$33)*1000000</f>
        <v>1.0624999999999999E-2</v>
      </c>
      <c r="AO59" s="195">
        <f t="shared" ca="1" si="24"/>
        <v>0.19887118032655954</v>
      </c>
      <c r="AP59" s="195">
        <f t="shared" ca="1" si="21"/>
        <v>0.13790541849158122</v>
      </c>
      <c r="AQ59" s="196">
        <f ca="1">$A59+AP59*Design!$B$19</f>
        <v>92.860608854020128</v>
      </c>
      <c r="AR59" s="196">
        <f ca="1">AO59*Design!$C$12+$A59</f>
        <v>91.76162013110303</v>
      </c>
      <c r="AS59" s="196">
        <f ca="1">Constants!$D$22+Constants!$D$22*Constants!$C$23/100*(AR59-25)</f>
        <v>178.40929610488243</v>
      </c>
      <c r="AT59" s="195">
        <f ca="1">IF(100*(Design!$C$29+AH59+AG59*IF(ISBLANK(Design!$B$43),Constants!$C$6,Design!$B$43)/1000*(1+Constants!$C$36/100*(AR59-25)))/($B59+AH59-AG59*AS59/1000)&gt;Design!$B$36,   (1-Constants!$D$20/1000000000*IF(ISBLANK(Design!$B$33),Design!$B$32/4,Design!$B$33/4)*1000000) * ($B59+AH59-AG59*AS59/1000) - (AH59+AG59*(1+($A59-25)*Constants!$C$36/100)*IF(ISBLANK(Design!$B$43),Constants!$C$6/1000,Design!$B$43/1000)),  (1-Constants!$D$20/1000000000*IF(ISBLANK(Design!$B$33),Design!$B$32,Design!$B$33)*1000000) * ($B59+AH59-AG59*AS59/1000) - (AH59+AG59*(1+($A59-25)*Constants!$C$36/100)*IF(ISBLANK(Design!$B$43),Constants!$C$6/1000,Design!$B$43/1000)))</f>
        <v>8.6641923383663162</v>
      </c>
      <c r="AU59" s="119">
        <f ca="1">IF(AT59&gt;Design!$C$29,Design!$C$29,AT59)</f>
        <v>4.9990521327014221</v>
      </c>
    </row>
    <row r="60" spans="1:47" ht="12.75" customHeight="1" x14ac:dyDescent="0.25">
      <c r="A60" s="112">
        <f>Design!$D$13</f>
        <v>85</v>
      </c>
      <c r="B60" s="113">
        <f t="shared" si="12"/>
        <v>9.2049999999999965</v>
      </c>
      <c r="C60" s="114">
        <f>Design!$D$7</f>
        <v>3</v>
      </c>
      <c r="D60" s="114">
        <f ca="1">FORECAST(C60, OFFSET(Design!$C$15:$C$17,MATCH(C60,Design!$B$15:$B$17,1)-1,0,2), OFFSET(Design!$B$15:$B$17,MATCH(C60,Design!$B$15:$B$17,1)-1,0,2))+(M60-25)*Design!$B$18/1000</f>
        <v>0.39910440018795768</v>
      </c>
      <c r="E60" s="173">
        <f ca="1">IF(100*(Design!$C$29+D60+C60*IF(ISBLANK(Design!$B$43),Constants!$C$6,Design!$B$43)/1000*(1+Constants!$C$36/100*(N60-25)))/($B60+D60-C60*O60/1000)&gt;Design!$B$36,Design!$B$37,100*(Design!$C$29+D60+C60*IF(ISBLANK(Design!$B$43),Constants!$C$6,Design!$B$43)/1000*(1+Constants!$C$36/100*(N60-25)))/($B60+D60-C60*O60/1000))</f>
        <v>62.055979302795187</v>
      </c>
      <c r="F60" s="115">
        <f ca="1">IF(($B60-C60*IF(ISBLANK(Design!$B$43),Constants!$C$6,Design!$B$43)/1000*(1+Constants!$C$36/100*(N60-25))-Design!$C$29)/(IF(ISBLANK(Design!$B$42),Design!$B$40,Design!$B$42)/1000000)*E60/100/(IF(ISBLANK(Design!$B$33),Design!$B$32,Design!$B$33)*1000000)&lt;0,0,($B60-C60*IF(ISBLANK(Design!$B$43),Constants!$C$6,Design!$B$43)/1000*(1+Constants!$C$36/100*(N60-25))-Design!$C$29)/(IF(ISBLANK(Design!$B$42),Design!$B$40,Design!$B$42)/1000000)*E60/100/(IF(ISBLANK(Design!$B$33),Design!$B$32,Design!$B$33)*1000000))</f>
        <v>0.58926474027162401</v>
      </c>
      <c r="G60" s="165">
        <f>B60*Constants!$C$21/1000+IF(ISBLANK(Design!$B$33),Design!$B$32,Design!$B$33)*1000000*Constants!$D$25/1000000000*(B60-Constants!$C$24)</f>
        <v>3.1948124999999987E-2</v>
      </c>
      <c r="H60" s="165">
        <f>B60*C60*(B60/(Constants!$C$26*1000000000)*IF(ISBLANK(Design!$B$33),Design!$B$32,Design!$B$33)*1000000/2+B60/(Constants!$C$27*1000000000)*IF(ISBLANK(Design!$B$33),Design!$B$32,Design!$B$33)*1000000/2)</f>
        <v>0.15004629427083321</v>
      </c>
      <c r="I60" s="165">
        <f t="shared" ca="1" si="13"/>
        <v>1.1782388852424313</v>
      </c>
      <c r="J60" s="165">
        <f>Constants!$D$25/1000000000*Constants!$C$24*IF(ISBLANK(Design!$B$33),Design!$B$32,Design!$B$33)*1000000</f>
        <v>1.0624999999999999E-2</v>
      </c>
      <c r="K60" s="165">
        <f t="shared" ca="1" si="22"/>
        <v>1.3708583045132645</v>
      </c>
      <c r="L60" s="165">
        <f t="shared" ca="1" si="17"/>
        <v>0.45430876863232134</v>
      </c>
      <c r="M60" s="166">
        <f ca="1">$A60+L60*Design!$B$19</f>
        <v>110.89559981204232</v>
      </c>
      <c r="N60" s="166">
        <f ca="1">K60*Design!$C$12+A60</f>
        <v>131.60918235345099</v>
      </c>
      <c r="O60" s="166">
        <f ca="1">Constants!$D$22+Constants!$D$22*Constants!$C$23/100*(N60-25)</f>
        <v>210.2873458827608</v>
      </c>
      <c r="P60" s="165">
        <f ca="1">IF(100*(Design!$C$29+D60+C60*IF(ISBLANK(Design!$B$43),Constants!$C$6,Design!$B$43)/1000*(1+Constants!$C$36/100*(N60-25)))/($B60+D60-C60*O60/1000)&gt;Design!$B$36,   (1-Constants!$D$20/1000000000*IF(ISBLANK(Design!$B$33),Design!$B$32/4,Design!$B$33/4)*1000000) * ($B60+D60-C60*O60/1000) - (D60+C60*(1+($A60-25)*Constants!$C$36/100)*IF(ISBLANK(Design!$B$43),Constants!$C$6/1000,Design!$B$43/1000)),  (1-Constants!$D$20/1000000000*IF(ISBLANK(Design!$B$33),Design!$B$32,Design!$B$33)*1000000) * ($B60+D60-C60*O60/1000) - (D60+C60*(1+($A60-25)*Constants!$C$36/100)*IF(ISBLANK(Design!$B$43),Constants!$C$6/1000,Design!$B$43/1000)))</f>
        <v>7.9300703218213959</v>
      </c>
      <c r="Q60" s="115">
        <f ca="1">IF(P60&gt;Design!$C$29,Design!$C$29,P60)</f>
        <v>4.9990521327014221</v>
      </c>
      <c r="R60" s="116">
        <f>2*Design!$D$7/3</f>
        <v>2</v>
      </c>
      <c r="S60" s="116">
        <f ca="1">FORECAST(R60, OFFSET(Design!$C$15:$C$17,MATCH(R60,Design!$B$15:$B$17,1)-1,0,2), OFFSET(Design!$B$15:$B$17,MATCH(R60,Design!$B$15:$B$17,1)-1,0,2))+(AB60-25)*Design!$B$18/1000</f>
        <v>0.38238037000770603</v>
      </c>
      <c r="T60" s="182">
        <f ca="1">IF(100*(Design!$C$29+S60+R60*IF(ISBLANK(Design!$B$43),Constants!$C$6,Design!$B$43)/1000*(1+Constants!$C$36/100*(AC60-25)))/($B60+S60-R60*AD60/1000)&gt;Design!$B$36,Design!$B$37,100*(Design!$C$29+S60+R60*IF(ISBLANK(Design!$B$43),Constants!$C$6,Design!$B$43)/1000*(1+Constants!$C$36/100*(AC60-25)))/($B60+S60-R60*AD60/1000))</f>
        <v>59.57999679114662</v>
      </c>
      <c r="U60" s="117">
        <f ca="1">IF(($B60-R60*IF(ISBLANK(Design!$B$43),Constants!$C$6,Design!$B$43)/1000*(1+Constants!$C$36/100*(AC60-25))-Design!$C$29)/(IF(ISBLANK(Design!$B$42),Design!$B$40,Design!$B$42)/1000000)*T60/100/(IF(ISBLANK(Design!$B$33),Design!$B$32,Design!$B$33)*1000000)&lt;0,0,($B60-R60*IF(ISBLANK(Design!$B$43),Constants!$C$6,Design!$B$43)/1000*(1+Constants!$C$36/100*(AC60-25))-Design!$C$29)/(IF(ISBLANK(Design!$B$42),Design!$B$40,Design!$B$42)/1000000)*T60/100/(IF(ISBLANK(Design!$B$33),Design!$B$32,Design!$B$33)*1000000))</f>
        <v>0.57487064837365687</v>
      </c>
      <c r="V60" s="183">
        <f>$B60*Constants!$C$21/1000+IF(ISBLANK(Design!$B$33),Design!$B$32,Design!$B$33)*1000000*Constants!$D$25/1000000000*($B60-Constants!$C$24)</f>
        <v>3.1948124999999987E-2</v>
      </c>
      <c r="W60" s="183">
        <f>$B60*R60*($B60/(Constants!$C$26*1000000000)*IF(ISBLANK(Design!$B$33),Design!$B$32,Design!$B$33)*1000000/2+$B60/(Constants!$C$27*1000000000)*IF(ISBLANK(Design!$B$33),Design!$B$32,Design!$B$33)*1000000/2)</f>
        <v>0.10003086284722214</v>
      </c>
      <c r="X60" s="183">
        <f t="shared" ca="1" si="14"/>
        <v>0.45407717126629726</v>
      </c>
      <c r="Y60" s="183">
        <f>Constants!$D$25/1000000000*Constants!$C$24*IF(ISBLANK(Design!$B$33),Design!$B$32,Design!$B$33)*1000000</f>
        <v>1.0624999999999999E-2</v>
      </c>
      <c r="Z60" s="183">
        <f t="shared" ca="1" si="23"/>
        <v>0.59668115911351938</v>
      </c>
      <c r="AA60" s="183">
        <f t="shared" ca="1" si="19"/>
        <v>0.30911631565428044</v>
      </c>
      <c r="AB60" s="184">
        <f ca="1">$A60+AA60*Design!$B$19</f>
        <v>102.61962999229398</v>
      </c>
      <c r="AC60" s="184">
        <f ca="1">Z60*Design!$C$12+$A60</f>
        <v>105.28715940985965</v>
      </c>
      <c r="AD60" s="184">
        <f ca="1">Constants!$D$22+Constants!$D$22*Constants!$C$23/100*(AC60-25)</f>
        <v>189.22972752788775</v>
      </c>
      <c r="AE60" s="183">
        <f ca="1">IF(100*(Design!$C$29+S60+R60*IF(ISBLANK(Design!$B$43),Constants!$C$6,Design!$B$43)/1000*(1+Constants!$C$36/100*(AC60-25)))/($B60+S60-R60*AD60/1000)&gt;Design!$B$36,   (1-Constants!$D$20/1000000000*IF(ISBLANK(Design!$B$33),Design!$B$32/4,Design!$B$33/4)*1000000) * ($B60+S60-R60*AD60/1000) - (S60+R60*(1+($A60-25)*Constants!$C$36/100)*IF(ISBLANK(Design!$B$43),Constants!$C$6/1000,Design!$B$43/1000)),  (1-Constants!$D$20/1000000000*IF(ISBLANK(Design!$B$33),Design!$B$32,Design!$B$33)*1000000) * ($B60+S60-R60*AD60/1000) - (S60+R60*(1+($A60-25)*Constants!$C$36/100)*IF(ISBLANK(Design!$B$43),Constants!$C$6/1000,Design!$B$43/1000)))</f>
        <v>8.2188836643931253</v>
      </c>
      <c r="AF60" s="117">
        <f ca="1">IF(AE60&gt;Design!$C$29,Design!$C$29,AE60)</f>
        <v>4.9990521327014221</v>
      </c>
      <c r="AG60" s="118">
        <f>Design!$D$7/3</f>
        <v>1</v>
      </c>
      <c r="AH60" s="118">
        <f ca="1">FORECAST(AG60, OFFSET(Design!$C$15:$C$17,MATCH(AG60,Design!$B$15:$B$17,1)-1,0,2), OFFSET(Design!$B$15:$B$17,MATCH(AG60,Design!$B$15:$B$17,1)-1,0,2))+(AQ60-25)*Design!$B$18/1000</f>
        <v>0.31458776741754652</v>
      </c>
      <c r="AI60" s="194">
        <f ca="1">IF(100*(Design!$C$29+AH60+AG60*IF(ISBLANK(Design!$B$43),Constants!$C$6,Design!$B$43)/1000*(1+Constants!$C$36/100*(AR60-25)))/($B60+AH60-AG60*AS60/1000)&gt;Design!$B$36,Design!$B$37,100*(Design!$C$29+AH60+AG60*IF(ISBLANK(Design!$B$43),Constants!$C$6,Design!$B$43)/1000*(1+Constants!$C$36/100*(AR60-25)))/($B60+AH60-AG60*AS60/1000))</f>
        <v>57.424344662127588</v>
      </c>
      <c r="AJ60" s="119">
        <f ca="1">IF(($B60-AG60*IF(ISBLANK(Design!$B$43),Constants!$C$6,Design!$B$43)/1000*(1+Constants!$C$36/100*(AR60-25))-Design!$C$29)/(IF(ISBLANK(Design!$B$42),Design!$B$40,Design!$B$42)/1000000)*AI60/100/(IF(ISBLANK(Design!$B$33),Design!$B$32,Design!$B$33)*1000000)&lt;0,0,($B60-AG60*IF(ISBLANK(Design!$B$43),Constants!$C$6,Design!$B$43)/1000*(1+Constants!$C$36/100*(AR60-25))-Design!$C$29)/(IF(ISBLANK(Design!$B$42),Design!$B$40,Design!$B$42)/1000000)*AI60/100/(IF(ISBLANK(Design!$B$33),Design!$B$32,Design!$B$33)*1000000))</f>
        <v>0.56146945349227495</v>
      </c>
      <c r="AK60" s="195">
        <f>$B60*Constants!$C$21/1000+IF(ISBLANK(Design!$B$33),Design!$B$32,Design!$B$33)*1000000*Constants!$D$25/1000000000*($B60-Constants!$C$24)</f>
        <v>3.1948124999999987E-2</v>
      </c>
      <c r="AL60" s="195">
        <f>$B60*AG60*($B60/(Constants!$C$26*1000000000)*IF(ISBLANK(Design!$B$33),Design!$B$32,Design!$B$33)*1000000/2+$B60/(Constants!$C$27*1000000000)*IF(ISBLANK(Design!$B$33),Design!$B$32,Design!$B$33)*1000000/2)</f>
        <v>5.0015431423611069E-2</v>
      </c>
      <c r="AM60" s="195">
        <f t="shared" ca="1" si="15"/>
        <v>0.10512322324270533</v>
      </c>
      <c r="AN60" s="195">
        <f>Constants!$D$25/1000000000*Constants!$C$24*IF(ISBLANK(Design!$B$33),Design!$B$32,Design!$B$33)*1000000</f>
        <v>1.0624999999999999E-2</v>
      </c>
      <c r="AO60" s="195">
        <f t="shared" ca="1" si="24"/>
        <v>0.19771177966631637</v>
      </c>
      <c r="AP60" s="195">
        <f t="shared" ca="1" si="21"/>
        <v>0.13393780359080229</v>
      </c>
      <c r="AQ60" s="196">
        <f ca="1">$A60+AP60*Design!$B$19</f>
        <v>92.634454804675727</v>
      </c>
      <c r="AR60" s="196">
        <f ca="1">AO60*Design!$C$12+$A60</f>
        <v>91.722200508654751</v>
      </c>
      <c r="AS60" s="196">
        <f ca="1">Constants!$D$22+Constants!$D$22*Constants!$C$23/100*(AR60-25)</f>
        <v>178.37776040692381</v>
      </c>
      <c r="AT60" s="195">
        <f ca="1">IF(100*(Design!$C$29+AH60+AG60*IF(ISBLANK(Design!$B$43),Constants!$C$6,Design!$B$43)/1000*(1+Constants!$C$36/100*(AR60-25)))/($B60+AH60-AG60*AS60/1000)&gt;Design!$B$36,   (1-Constants!$D$20/1000000000*IF(ISBLANK(Design!$B$33),Design!$B$32/4,Design!$B$33/4)*1000000) * ($B60+AH60-AG60*AS60/1000) - (AH60+AG60*(1+($A60-25)*Constants!$C$36/100)*IF(ISBLANK(Design!$B$43),Constants!$C$6/1000,Design!$B$43/1000)),  (1-Constants!$D$20/1000000000*IF(ISBLANK(Design!$B$33),Design!$B$32,Design!$B$33)*1000000) * ($B60+AH60-AG60*AS60/1000) - (AH60+AG60*(1+($A60-25)*Constants!$C$36/100)*IF(ISBLANK(Design!$B$43),Constants!$C$6/1000,Design!$B$43/1000)))</f>
        <v>8.4610883867057343</v>
      </c>
      <c r="AU60" s="119">
        <f ca="1">IF(AT60&gt;Design!$C$29,Design!$C$29,AT60)</f>
        <v>4.9990521327014221</v>
      </c>
    </row>
    <row r="61" spans="1:47" ht="12.75" customHeight="1" x14ac:dyDescent="0.25">
      <c r="A61" s="112">
        <f>Design!$D$13</f>
        <v>85</v>
      </c>
      <c r="B61" s="113">
        <f t="shared" si="12"/>
        <v>8.9899999999999967</v>
      </c>
      <c r="C61" s="114">
        <f>Design!$D$7</f>
        <v>3</v>
      </c>
      <c r="D61" s="114">
        <f ca="1">FORECAST(C61, OFFSET(Design!$C$15:$C$17,MATCH(C61,Design!$B$15:$B$17,1)-1,0,2), OFFSET(Design!$B$15:$B$17,MATCH(C61,Design!$B$15:$B$17,1)-1,0,2))+(M61-25)*Design!$B$18/1000</f>
        <v>0.40009832433070075</v>
      </c>
      <c r="E61" s="173">
        <f ca="1">IF(100*(Design!$C$29+D61+C61*IF(ISBLANK(Design!$B$43),Constants!$C$6,Design!$B$43)/1000*(1+Constants!$C$36/100*(N61-25)))/($B61+D61-C61*O61/1000)&gt;Design!$B$36,Design!$B$37,100*(Design!$C$29+D61+C61*IF(ISBLANK(Design!$B$43),Constants!$C$6,Design!$B$43)/1000*(1+Constants!$C$36/100*(N61-25)))/($B61+D61-C61*O61/1000))</f>
        <v>63.602988198715323</v>
      </c>
      <c r="F61" s="115">
        <f ca="1">IF(($B61-C61*IF(ISBLANK(Design!$B$43),Constants!$C$6,Design!$B$43)/1000*(1+Constants!$C$36/100*(N61-25))-Design!$C$29)/(IF(ISBLANK(Design!$B$42),Design!$B$40,Design!$B$42)/1000000)*E61/100/(IF(ISBLANK(Design!$B$33),Design!$B$32,Design!$B$33)*1000000)&lt;0,0,($B61-C61*IF(ISBLANK(Design!$B$43),Constants!$C$6,Design!$B$43)/1000*(1+Constants!$C$36/100*(N61-25))-Design!$C$29)/(IF(ISBLANK(Design!$B$42),Design!$B$40,Design!$B$42)/1000000)*E61/100/(IF(ISBLANK(Design!$B$33),Design!$B$32,Design!$B$33)*1000000))</f>
        <v>0.57171868314558394</v>
      </c>
      <c r="G61" s="165">
        <f>B61*Constants!$C$21/1000+IF(ISBLANK(Design!$B$33),Design!$B$32,Design!$B$33)*1000000*Constants!$D$25/1000000000*(B61-Constants!$C$24)</f>
        <v>3.0953749999999985E-2</v>
      </c>
      <c r="H61" s="165">
        <f>B61*C61*(B61/(Constants!$C$26*1000000000)*IF(ISBLANK(Design!$B$33),Design!$B$32,Design!$B$33)*1000000/2+B61/(Constants!$C$27*1000000000)*IF(ISBLANK(Design!$B$33),Design!$B$32,Design!$B$33)*1000000/2)</f>
        <v>0.14311892708333324</v>
      </c>
      <c r="I61" s="165">
        <f t="shared" ca="1" si="13"/>
        <v>1.2113124403718054</v>
      </c>
      <c r="J61" s="165">
        <f>Constants!$D$25/1000000000*Constants!$C$24*IF(ISBLANK(Design!$B$33),Design!$B$32,Design!$B$33)*1000000</f>
        <v>1.0624999999999999E-2</v>
      </c>
      <c r="K61" s="165">
        <f t="shared" ca="1" si="22"/>
        <v>1.3960101174551387</v>
      </c>
      <c r="L61" s="165">
        <f t="shared" ca="1" si="17"/>
        <v>0.43687150297016214</v>
      </c>
      <c r="M61" s="166">
        <f ca="1">$A61+L61*Design!$B$19</f>
        <v>109.90167566929924</v>
      </c>
      <c r="N61" s="166">
        <f ca="1">K61*Design!$C$12+A61</f>
        <v>132.4643439934747</v>
      </c>
      <c r="O61" s="166">
        <f ca="1">Constants!$D$22+Constants!$D$22*Constants!$C$23/100*(N61-25)</f>
        <v>210.97147519477977</v>
      </c>
      <c r="P61" s="165">
        <f ca="1">IF(100*(Design!$C$29+D61+C61*IF(ISBLANK(Design!$B$43),Constants!$C$6,Design!$B$43)/1000*(1+Constants!$C$36/100*(N61-25)))/($B61+D61-C61*O61/1000)&gt;Design!$B$36,   (1-Constants!$D$20/1000000000*IF(ISBLANK(Design!$B$33),Design!$B$32/4,Design!$B$33/4)*1000000) * ($B61+D61-C61*O61/1000) - (D61+C61*(1+($A61-25)*Constants!$C$36/100)*IF(ISBLANK(Design!$B$43),Constants!$C$6/1000,Design!$B$43/1000)),  (1-Constants!$D$20/1000000000*IF(ISBLANK(Design!$B$33),Design!$B$32,Design!$B$33)*1000000) * ($B61+D61-C61*O61/1000) - (D61+C61*(1+($A61-25)*Constants!$C$36/100)*IF(ISBLANK(Design!$B$43),Constants!$C$6/1000,Design!$B$43/1000)))</f>
        <v>7.7249551640099217</v>
      </c>
      <c r="Q61" s="115">
        <f ca="1">IF(P61&gt;Design!$C$29,Design!$C$29,P61)</f>
        <v>4.9990521327014221</v>
      </c>
      <c r="R61" s="116">
        <f>2*Design!$D$7/3</f>
        <v>2</v>
      </c>
      <c r="S61" s="116">
        <f ca="1">FORECAST(R61, OFFSET(Design!$C$15:$C$17,MATCH(R61,Design!$B$15:$B$17,1)-1,0,2), OFFSET(Design!$B$15:$B$17,MATCH(R61,Design!$B$15:$B$17,1)-1,0,2))+(AB61-25)*Design!$B$18/1000</f>
        <v>0.38297699457493223</v>
      </c>
      <c r="T61" s="182">
        <f ca="1">IF(100*(Design!$C$29+S61+R61*IF(ISBLANK(Design!$B$43),Constants!$C$6,Design!$B$43)/1000*(1+Constants!$C$36/100*(AC61-25)))/($B61+S61-R61*AD61/1000)&gt;Design!$B$36,Design!$B$37,100*(Design!$C$29+S61+R61*IF(ISBLANK(Design!$B$43),Constants!$C$6,Design!$B$43)/1000*(1+Constants!$C$36/100*(AC61-25)))/($B61+S61-R61*AD61/1000))</f>
        <v>61.009509420387282</v>
      </c>
      <c r="U61" s="117">
        <f ca="1">IF(($B61-R61*IF(ISBLANK(Design!$B$43),Constants!$C$6,Design!$B$43)/1000*(1+Constants!$C$36/100*(AC61-25))-Design!$C$29)/(IF(ISBLANK(Design!$B$42),Design!$B$40,Design!$B$42)/1000000)*T61/100/(IF(ISBLANK(Design!$B$33),Design!$B$32,Design!$B$33)*1000000)&lt;0,0,($B61-R61*IF(ISBLANK(Design!$B$43),Constants!$C$6,Design!$B$43)/1000*(1+Constants!$C$36/100*(AC61-25))-Design!$C$29)/(IF(ISBLANK(Design!$B$42),Design!$B$40,Design!$B$42)/1000000)*T61/100/(IF(ISBLANK(Design!$B$33),Design!$B$32,Design!$B$33)*1000000))</f>
        <v>0.55779160015900686</v>
      </c>
      <c r="V61" s="183">
        <f>$B61*Constants!$C$21/1000+IF(ISBLANK(Design!$B$33),Design!$B$32,Design!$B$33)*1000000*Constants!$D$25/1000000000*($B61-Constants!$C$24)</f>
        <v>3.0953749999999985E-2</v>
      </c>
      <c r="W61" s="183">
        <f>$B61*R61*($B61/(Constants!$C$26*1000000000)*IF(ISBLANK(Design!$B$33),Design!$B$32,Design!$B$33)*1000000/2+$B61/(Constants!$C$27*1000000000)*IF(ISBLANK(Design!$B$33),Design!$B$32,Design!$B$33)*1000000/2)</f>
        <v>9.5412618055555481E-2</v>
      </c>
      <c r="X61" s="183">
        <f t="shared" ca="1" si="14"/>
        <v>0.46515064101903175</v>
      </c>
      <c r="Y61" s="183">
        <f>Constants!$D$25/1000000000*Constants!$C$24*IF(ISBLANK(Design!$B$33),Design!$B$32,Design!$B$33)*1000000</f>
        <v>1.0624999999999999E-2</v>
      </c>
      <c r="Z61" s="183">
        <f t="shared" ca="1" si="23"/>
        <v>0.60214200907458715</v>
      </c>
      <c r="AA61" s="183">
        <f t="shared" ca="1" si="19"/>
        <v>0.29864921798364569</v>
      </c>
      <c r="AB61" s="184">
        <f ca="1">$A61+AA61*Design!$B$19</f>
        <v>102.02300542506781</v>
      </c>
      <c r="AC61" s="184">
        <f ca="1">Z61*Design!$C$12+$A61</f>
        <v>105.47282830853597</v>
      </c>
      <c r="AD61" s="184">
        <f ca="1">Constants!$D$22+Constants!$D$22*Constants!$C$23/100*(AC61-25)</f>
        <v>189.37826264682877</v>
      </c>
      <c r="AE61" s="183">
        <f ca="1">IF(100*(Design!$C$29+S61+R61*IF(ISBLANK(Design!$B$43),Constants!$C$6,Design!$B$43)/1000*(1+Constants!$C$36/100*(AC61-25)))/($B61+S61-R61*AD61/1000)&gt;Design!$B$36,   (1-Constants!$D$20/1000000000*IF(ISBLANK(Design!$B$33),Design!$B$32/4,Design!$B$33/4)*1000000) * ($B61+S61-R61*AD61/1000) - (S61+R61*(1+($A61-25)*Constants!$C$36/100)*IF(ISBLANK(Design!$B$43),Constants!$C$6/1000,Design!$B$43/1000)),  (1-Constants!$D$20/1000000000*IF(ISBLANK(Design!$B$33),Design!$B$32,Design!$B$33)*1000000) * ($B61+S61-R61*AD61/1000) - (S61+R61*(1+($A61-25)*Constants!$C$36/100)*IF(ISBLANK(Design!$B$43),Constants!$C$6/1000,Design!$B$43/1000)))</f>
        <v>8.0154487937785479</v>
      </c>
      <c r="AF61" s="117">
        <f ca="1">IF(AE61&gt;Design!$C$29,Design!$C$29,AE61)</f>
        <v>4.9990521327014221</v>
      </c>
      <c r="AG61" s="118">
        <f>Design!$D$7/3</f>
        <v>1</v>
      </c>
      <c r="AH61" s="118">
        <f ca="1">FORECAST(AG61, OFFSET(Design!$C$15:$C$17,MATCH(AG61,Design!$B$15:$B$17,1)-1,0,2), OFFSET(Design!$B$15:$B$17,MATCH(AG61,Design!$B$15:$B$17,1)-1,0,2))+(AQ61-25)*Design!$B$18/1000</f>
        <v>0.3148249282855658</v>
      </c>
      <c r="AI61" s="194">
        <f ca="1">IF(100*(Design!$C$29+AH61+AG61*IF(ISBLANK(Design!$B$43),Constants!$C$6,Design!$B$43)/1000*(1+Constants!$C$36/100*(AR61-25)))/($B61+AH61-AG61*AS61/1000)&gt;Design!$B$36,Design!$B$37,100*(Design!$C$29+AH61+AG61*IF(ISBLANK(Design!$B$43),Constants!$C$6,Design!$B$43)/1000*(1+Constants!$C$36/100*(AR61-25)))/($B61+AH61-AG61*AS61/1000))</f>
        <v>58.778014398436696</v>
      </c>
      <c r="AJ61" s="119">
        <f ca="1">IF(($B61-AG61*IF(ISBLANK(Design!$B$43),Constants!$C$6,Design!$B$43)/1000*(1+Constants!$C$36/100*(AR61-25))-Design!$C$29)/(IF(ISBLANK(Design!$B$42),Design!$B$40,Design!$B$42)/1000000)*AI61/100/(IF(ISBLANK(Design!$B$33),Design!$B$32,Design!$B$33)*1000000)&lt;0,0,($B61-AG61*IF(ISBLANK(Design!$B$43),Constants!$C$6,Design!$B$43)/1000*(1+Constants!$C$36/100*(AR61-25))-Design!$C$29)/(IF(ISBLANK(Design!$B$42),Design!$B$40,Design!$B$42)/1000000)*AI61/100/(IF(ISBLANK(Design!$B$33),Design!$B$32,Design!$B$33)*1000000))</f>
        <v>0.54497100819678124</v>
      </c>
      <c r="AK61" s="195">
        <f>$B61*Constants!$C$21/1000+IF(ISBLANK(Design!$B$33),Design!$B$32,Design!$B$33)*1000000*Constants!$D$25/1000000000*($B61-Constants!$C$24)</f>
        <v>3.0953749999999985E-2</v>
      </c>
      <c r="AL61" s="195">
        <f>$B61*AG61*($B61/(Constants!$C$26*1000000000)*IF(ISBLANK(Design!$B$33),Design!$B$32,Design!$B$33)*1000000/2+$B61/(Constants!$C$27*1000000000)*IF(ISBLANK(Design!$B$33),Design!$B$32,Design!$B$33)*1000000/2)</f>
        <v>4.7706309027777741E-2</v>
      </c>
      <c r="AM61" s="195">
        <f t="shared" ca="1" si="15"/>
        <v>0.10742540406932209</v>
      </c>
      <c r="AN61" s="195">
        <f>Constants!$D$25/1000000000*Constants!$C$24*IF(ISBLANK(Design!$B$33),Design!$B$32,Design!$B$33)*1000000</f>
        <v>1.0624999999999999E-2</v>
      </c>
      <c r="AO61" s="195">
        <f t="shared" ca="1" si="24"/>
        <v>0.19671046309709983</v>
      </c>
      <c r="AP61" s="195">
        <f t="shared" ca="1" si="21"/>
        <v>0.12977708660800794</v>
      </c>
      <c r="AQ61" s="196">
        <f ca="1">$A61+AP61*Design!$B$19</f>
        <v>92.397293936656453</v>
      </c>
      <c r="AR61" s="196">
        <f ca="1">AO61*Design!$C$12+$A61</f>
        <v>91.688155745301401</v>
      </c>
      <c r="AS61" s="196">
        <f ca="1">Constants!$D$22+Constants!$D$22*Constants!$C$23/100*(AR61-25)</f>
        <v>178.35052459624112</v>
      </c>
      <c r="AT61" s="195">
        <f ca="1">IF(100*(Design!$C$29+AH61+AG61*IF(ISBLANK(Design!$B$43),Constants!$C$6,Design!$B$43)/1000*(1+Constants!$C$36/100*(AR61-25)))/($B61+AH61-AG61*AS61/1000)&gt;Design!$B$36,   (1-Constants!$D$20/1000000000*IF(ISBLANK(Design!$B$33),Design!$B$32/4,Design!$B$33/4)*1000000) * ($B61+AH61-AG61*AS61/1000) - (AH61+AG61*(1+($A61-25)*Constants!$C$36/100)*IF(ISBLANK(Design!$B$43),Constants!$C$6/1000,Design!$B$43/1000)),  (1-Constants!$D$20/1000000000*IF(ISBLANK(Design!$B$33),Design!$B$32,Design!$B$33)*1000000) * ($B61+AH61-AG61*AS61/1000) - (AH61+AG61*(1+($A61-25)*Constants!$C$36/100)*IF(ISBLANK(Design!$B$43),Constants!$C$6/1000,Design!$B$43/1000)))</f>
        <v>8.2579797645999218</v>
      </c>
      <c r="AU61" s="119">
        <f ca="1">IF(AT61&gt;Design!$C$29,Design!$C$29,AT61)</f>
        <v>4.9990521327014221</v>
      </c>
    </row>
    <row r="62" spans="1:47" ht="12.75" customHeight="1" x14ac:dyDescent="0.25">
      <c r="A62" s="112">
        <f>Design!$D$13</f>
        <v>85</v>
      </c>
      <c r="B62" s="113">
        <f t="shared" si="12"/>
        <v>8.7749999999999968</v>
      </c>
      <c r="C62" s="114">
        <f>Design!$D$7</f>
        <v>3</v>
      </c>
      <c r="D62" s="114">
        <f ca="1">FORECAST(C62, OFFSET(Design!$C$15:$C$17,MATCH(C62,Design!$B$15:$B$17,1)-1,0,2), OFFSET(Design!$B$15:$B$17,MATCH(C62,Design!$B$15:$B$17,1)-1,0,2))+(M62-25)*Design!$B$18/1000</f>
        <v>0.40114920054712272</v>
      </c>
      <c r="E62" s="173">
        <f ca="1">IF(100*(Design!$C$29+D62+C62*IF(ISBLANK(Design!$B$43),Constants!$C$6,Design!$B$43)/1000*(1+Constants!$C$36/100*(N62-25)))/($B62+D62-C62*O62/1000)&gt;Design!$B$36,Design!$B$37,100*(Design!$C$29+D62+C62*IF(ISBLANK(Design!$B$43),Constants!$C$6,Design!$B$43)/1000*(1+Constants!$C$36/100*(N62-25)))/($B62+D62-C62*O62/1000))</f>
        <v>65.230303542093992</v>
      </c>
      <c r="F62" s="115">
        <f ca="1">IF(($B62-C62*IF(ISBLANK(Design!$B$43),Constants!$C$6,Design!$B$43)/1000*(1+Constants!$C$36/100*(N62-25))-Design!$C$29)/(IF(ISBLANK(Design!$B$42),Design!$B$40,Design!$B$42)/1000000)*E62/100/(IF(ISBLANK(Design!$B$33),Design!$B$32,Design!$B$33)*1000000)&lt;0,0,($B62-C62*IF(ISBLANK(Design!$B$43),Constants!$C$6,Design!$B$43)/1000*(1+Constants!$C$36/100*(N62-25))-Design!$C$29)/(IF(ISBLANK(Design!$B$42),Design!$B$40,Design!$B$42)/1000000)*E62/100/(IF(ISBLANK(Design!$B$33),Design!$B$32,Design!$B$33)*1000000))</f>
        <v>0.5532801574620021</v>
      </c>
      <c r="G62" s="165">
        <f>B62*Constants!$C$21/1000+IF(ISBLANK(Design!$B$33),Design!$B$32,Design!$B$33)*1000000*Constants!$D$25/1000000000*(B62-Constants!$C$24)</f>
        <v>2.9959374999999986E-2</v>
      </c>
      <c r="H62" s="165">
        <f>B62*C62*(B62/(Constants!$C$26*1000000000)*IF(ISBLANK(Design!$B$33),Design!$B$32,Design!$B$33)*1000000/2+B62/(Constants!$C$27*1000000000)*IF(ISBLANK(Design!$B$33),Design!$B$32,Design!$B$33)*1000000/2)</f>
        <v>0.13635527343749987</v>
      </c>
      <c r="I62" s="165">
        <f t="shared" ca="1" si="13"/>
        <v>1.246451271963821</v>
      </c>
      <c r="J62" s="165">
        <f>Constants!$D$25/1000000000*Constants!$C$24*IF(ISBLANK(Design!$B$33),Design!$B$32,Design!$B$33)*1000000</f>
        <v>1.0624999999999999E-2</v>
      </c>
      <c r="K62" s="165">
        <f t="shared" ca="1" si="22"/>
        <v>1.4233909204013209</v>
      </c>
      <c r="L62" s="165">
        <f t="shared" ca="1" si="17"/>
        <v>0.41843507812065361</v>
      </c>
      <c r="M62" s="166">
        <f ca="1">$A62+L62*Design!$B$19</f>
        <v>108.85079945287725</v>
      </c>
      <c r="N62" s="166">
        <f ca="1">K62*Design!$C$12+A62</f>
        <v>133.3952912936449</v>
      </c>
      <c r="O62" s="166">
        <f ca="1">Constants!$D$22+Constants!$D$22*Constants!$C$23/100*(N62-25)</f>
        <v>211.71623303491594</v>
      </c>
      <c r="P62" s="165">
        <f ca="1">IF(100*(Design!$C$29+D62+C62*IF(ISBLANK(Design!$B$43),Constants!$C$6,Design!$B$43)/1000*(1+Constants!$C$36/100*(N62-25)))/($B62+D62-C62*O62/1000)&gt;Design!$B$36,   (1-Constants!$D$20/1000000000*IF(ISBLANK(Design!$B$33),Design!$B$32/4,Design!$B$33/4)*1000000) * ($B62+D62-C62*O62/1000) - (D62+C62*(1+($A62-25)*Constants!$C$36/100)*IF(ISBLANK(Design!$B$43),Constants!$C$6/1000,Design!$B$43/1000)),  (1-Constants!$D$20/1000000000*IF(ISBLANK(Design!$B$33),Design!$B$32,Design!$B$33)*1000000) * ($B62+D62-C62*O62/1000) - (D62+C62*(1+($A62-25)*Constants!$C$36/100)*IF(ISBLANK(Design!$B$43),Constants!$C$6/1000,Design!$B$43/1000)))</f>
        <v>7.5196650231905569</v>
      </c>
      <c r="Q62" s="115">
        <f ca="1">IF(P62&gt;Design!$C$29,Design!$C$29,P62)</f>
        <v>4.9990521327014221</v>
      </c>
      <c r="R62" s="116">
        <f>2*Design!$D$7/3</f>
        <v>2</v>
      </c>
      <c r="S62" s="116">
        <f ca="1">FORECAST(R62, OFFSET(Design!$C$15:$C$17,MATCH(R62,Design!$B$15:$B$17,1)-1,0,2), OFFSET(Design!$B$15:$B$17,MATCH(R62,Design!$B$15:$B$17,1)-1,0,2))+(AB62-25)*Design!$B$18/1000</f>
        <v>0.38360500901014571</v>
      </c>
      <c r="T62" s="182">
        <f ca="1">IF(100*(Design!$C$29+S62+R62*IF(ISBLANK(Design!$B$43),Constants!$C$6,Design!$B$43)/1000*(1+Constants!$C$36/100*(AC62-25)))/($B62+S62-R62*AD62/1000)&gt;Design!$B$36,Design!$B$37,100*(Design!$C$29+S62+R62*IF(ISBLANK(Design!$B$43),Constants!$C$6,Design!$B$43)/1000*(1+Constants!$C$36/100*(AC62-25)))/($B62+S62-R62*AD62/1000))</f>
        <v>62.509428433059107</v>
      </c>
      <c r="U62" s="117">
        <f ca="1">IF(($B62-R62*IF(ISBLANK(Design!$B$43),Constants!$C$6,Design!$B$43)/1000*(1+Constants!$C$36/100*(AC62-25))-Design!$C$29)/(IF(ISBLANK(Design!$B$42),Design!$B$40,Design!$B$42)/1000000)*T62/100/(IF(ISBLANK(Design!$B$33),Design!$B$32,Design!$B$33)*1000000)&lt;0,0,($B62-R62*IF(ISBLANK(Design!$B$43),Constants!$C$6,Design!$B$43)/1000*(1+Constants!$C$36/100*(AC62-25))-Design!$C$29)/(IF(ISBLANK(Design!$B$42),Design!$B$40,Design!$B$42)/1000000)*T62/100/(IF(ISBLANK(Design!$B$33),Design!$B$32,Design!$B$33)*1000000))</f>
        <v>0.53987280746802169</v>
      </c>
      <c r="V62" s="183">
        <f>$B62*Constants!$C$21/1000+IF(ISBLANK(Design!$B$33),Design!$B$32,Design!$B$33)*1000000*Constants!$D$25/1000000000*($B62-Constants!$C$24)</f>
        <v>2.9959374999999986E-2</v>
      </c>
      <c r="W62" s="183">
        <f>$B62*R62*($B62/(Constants!$C$26*1000000000)*IF(ISBLANK(Design!$B$33),Design!$B$32,Design!$B$33)*1000000/2+$B62/(Constants!$C$27*1000000000)*IF(ISBLANK(Design!$B$33),Design!$B$32,Design!$B$33)*1000000/2)</f>
        <v>9.0903515624999931E-2</v>
      </c>
      <c r="X62" s="183">
        <f t="shared" ca="1" si="14"/>
        <v>0.47681380514538152</v>
      </c>
      <c r="Y62" s="183">
        <f>Constants!$D$25/1000000000*Constants!$C$24*IF(ISBLANK(Design!$B$33),Design!$B$32,Design!$B$33)*1000000</f>
        <v>1.0624999999999999E-2</v>
      </c>
      <c r="Z62" s="183">
        <f t="shared" ca="1" si="23"/>
        <v>0.6083016957703814</v>
      </c>
      <c r="AA62" s="183">
        <f t="shared" ca="1" si="19"/>
        <v>0.28763142087463744</v>
      </c>
      <c r="AB62" s="184">
        <f ca="1">$A62+AA62*Design!$B$19</f>
        <v>101.39499098985434</v>
      </c>
      <c r="AC62" s="184">
        <f ca="1">Z62*Design!$C$12+$A62</f>
        <v>105.68225765619297</v>
      </c>
      <c r="AD62" s="184">
        <f ca="1">Constants!$D$22+Constants!$D$22*Constants!$C$23/100*(AC62-25)</f>
        <v>189.54580612495437</v>
      </c>
      <c r="AE62" s="183">
        <f ca="1">IF(100*(Design!$C$29+S62+R62*IF(ISBLANK(Design!$B$43),Constants!$C$6,Design!$B$43)/1000*(1+Constants!$C$36/100*(AC62-25)))/($B62+S62-R62*AD62/1000)&gt;Design!$B$36,   (1-Constants!$D$20/1000000000*IF(ISBLANK(Design!$B$33),Design!$B$32/4,Design!$B$33/4)*1000000) * ($B62+S62-R62*AD62/1000) - (S62+R62*(1+($A62-25)*Constants!$C$36/100)*IF(ISBLANK(Design!$B$43),Constants!$C$6/1000,Design!$B$43/1000)),  (1-Constants!$D$20/1000000000*IF(ISBLANK(Design!$B$33),Design!$B$32,Design!$B$33)*1000000) * ($B62+S62-R62*AD62/1000) - (S62+R62*(1+($A62-25)*Constants!$C$36/100)*IF(ISBLANK(Design!$B$43),Constants!$C$6/1000,Design!$B$43/1000)))</f>
        <v>7.8119762725790842</v>
      </c>
      <c r="AF62" s="117">
        <f ca="1">IF(AE62&gt;Design!$C$29,Design!$C$29,AE62)</f>
        <v>4.9990521327014221</v>
      </c>
      <c r="AG62" s="118">
        <f>Design!$D$7/3</f>
        <v>1</v>
      </c>
      <c r="AH62" s="118">
        <f ca="1">FORECAST(AG62, OFFSET(Design!$C$15:$C$17,MATCH(AG62,Design!$B$15:$B$17,1)-1,0,2), OFFSET(Design!$B$15:$B$17,MATCH(AG62,Design!$B$15:$B$17,1)-1,0,2))+(AQ62-25)*Design!$B$18/1000</f>
        <v>0.31507391884600916</v>
      </c>
      <c r="AI62" s="194">
        <f ca="1">IF(100*(Design!$C$29+AH62+AG62*IF(ISBLANK(Design!$B$43),Constants!$C$6,Design!$B$43)/1000*(1+Constants!$C$36/100*(AR62-25)))/($B62+AH62-AG62*AS62/1000)&gt;Design!$B$36,Design!$B$37,100*(Design!$C$29+AH62+AG62*IF(ISBLANK(Design!$B$43),Constants!$C$6,Design!$B$43)/1000*(1+Constants!$C$36/100*(AR62-25)))/($B62+AH62-AG62*AS62/1000))</f>
        <v>60.197012935581697</v>
      </c>
      <c r="AJ62" s="119">
        <f ca="1">IF(($B62-AG62*IF(ISBLANK(Design!$B$43),Constants!$C$6,Design!$B$43)/1000*(1+Constants!$C$36/100*(AR62-25))-Design!$C$29)/(IF(ISBLANK(Design!$B$42),Design!$B$40,Design!$B$42)/1000000)*AI62/100/(IF(ISBLANK(Design!$B$33),Design!$B$32,Design!$B$33)*1000000)&lt;0,0,($B62-AG62*IF(ISBLANK(Design!$B$43),Constants!$C$6,Design!$B$43)/1000*(1+Constants!$C$36/100*(AR62-25))-Design!$C$29)/(IF(ISBLANK(Design!$B$42),Design!$B$40,Design!$B$42)/1000000)*AI62/100/(IF(ISBLANK(Design!$B$33),Design!$B$32,Design!$B$33)*1000000))</f>
        <v>0.52767553613062412</v>
      </c>
      <c r="AK62" s="195">
        <f>$B62*Constants!$C$21/1000+IF(ISBLANK(Design!$B$33),Design!$B$32,Design!$B$33)*1000000*Constants!$D$25/1000000000*($B62-Constants!$C$24)</f>
        <v>2.9959374999999986E-2</v>
      </c>
      <c r="AL62" s="195">
        <f>$B62*AG62*($B62/(Constants!$C$26*1000000000)*IF(ISBLANK(Design!$B$33),Design!$B$32,Design!$B$33)*1000000/2+$B62/(Constants!$C$27*1000000000)*IF(ISBLANK(Design!$B$33),Design!$B$32,Design!$B$33)*1000000/2)</f>
        <v>4.5451757812499965E-2</v>
      </c>
      <c r="AM62" s="195">
        <f t="shared" ca="1" si="15"/>
        <v>0.10983885339727237</v>
      </c>
      <c r="AN62" s="195">
        <f>Constants!$D$25/1000000000*Constants!$C$24*IF(ISBLANK(Design!$B$33),Design!$B$32,Design!$B$33)*1000000</f>
        <v>1.0624999999999999E-2</v>
      </c>
      <c r="AO62" s="195">
        <f t="shared" ca="1" si="24"/>
        <v>0.19587498620977231</v>
      </c>
      <c r="AP62" s="195">
        <f t="shared" ca="1" si="21"/>
        <v>0.12540883116163284</v>
      </c>
      <c r="AQ62" s="196">
        <f ca="1">$A62+AP62*Design!$B$19</f>
        <v>92.148303376213079</v>
      </c>
      <c r="AR62" s="196">
        <f ca="1">AO62*Design!$C$12+$A62</f>
        <v>91.659749531132263</v>
      </c>
      <c r="AS62" s="196">
        <f ca="1">Constants!$D$22+Constants!$D$22*Constants!$C$23/100*(AR62-25)</f>
        <v>178.32779962490582</v>
      </c>
      <c r="AT62" s="195">
        <f ca="1">IF(100*(Design!$C$29+AH62+AG62*IF(ISBLANK(Design!$B$43),Constants!$C$6,Design!$B$43)/1000*(1+Constants!$C$36/100*(AR62-25)))/($B62+AH62-AG62*AS62/1000)&gt;Design!$B$36,   (1-Constants!$D$20/1000000000*IF(ISBLANK(Design!$B$33),Design!$B$32/4,Design!$B$33/4)*1000000) * ($B62+AH62-AG62*AS62/1000) - (AH62+AG62*(1+($A62-25)*Constants!$C$36/100)*IF(ISBLANK(Design!$B$43),Constants!$C$6/1000,Design!$B$43/1000)),  (1-Constants!$D$20/1000000000*IF(ISBLANK(Design!$B$33),Design!$B$32,Design!$B$33)*1000000) * ($B62+AH62-AG62*AS62/1000) - (AH62+AG62*(1+($A62-25)*Constants!$C$36/100)*IF(ISBLANK(Design!$B$43),Constants!$C$6/1000,Design!$B$43/1000)))</f>
        <v>8.0548662272881248</v>
      </c>
      <c r="AU62" s="119">
        <f ca="1">IF(AT62&gt;Design!$C$29,Design!$C$29,AT62)</f>
        <v>4.9990521327014221</v>
      </c>
    </row>
    <row r="63" spans="1:47" ht="12.75" customHeight="1" x14ac:dyDescent="0.25">
      <c r="A63" s="112">
        <f>Design!$D$13</f>
        <v>85</v>
      </c>
      <c r="B63" s="113">
        <f t="shared" si="12"/>
        <v>8.5599999999999969</v>
      </c>
      <c r="C63" s="114">
        <f>Design!$D$7</f>
        <v>3</v>
      </c>
      <c r="D63" s="114">
        <f ca="1">FORECAST(C63, OFFSET(Design!$C$15:$C$17,MATCH(C63,Design!$B$15:$B$17,1)-1,0,2), OFFSET(Design!$B$15:$B$17,MATCH(C63,Design!$B$15:$B$17,1)-1,0,2))+(M63-25)*Design!$B$18/1000</f>
        <v>0.40226213299402602</v>
      </c>
      <c r="E63" s="173">
        <f ca="1">IF(100*(Design!$C$29+D63+C63*IF(ISBLANK(Design!$B$43),Constants!$C$6,Design!$B$43)/1000*(1+Constants!$C$36/100*(N63-25)))/($B63+D63-C63*O63/1000)&gt;Design!$B$36,Design!$B$37,100*(Design!$C$29+D63+C63*IF(ISBLANK(Design!$B$43),Constants!$C$6,Design!$B$43)/1000*(1+Constants!$C$36/100*(N63-25)))/($B63+D63-C63*O63/1000))</f>
        <v>66.944444533870509</v>
      </c>
      <c r="F63" s="115">
        <f ca="1">IF(($B63-C63*IF(ISBLANK(Design!$B$43),Constants!$C$6,Design!$B$43)/1000*(1+Constants!$C$36/100*(N63-25))-Design!$C$29)/(IF(ISBLANK(Design!$B$42),Design!$B$40,Design!$B$42)/1000000)*E63/100/(IF(ISBLANK(Design!$B$33),Design!$B$32,Design!$B$33)*1000000)&lt;0,0,($B63-C63*IF(ISBLANK(Design!$B$43),Constants!$C$6,Design!$B$43)/1000*(1+Constants!$C$36/100*(N63-25))-Design!$C$29)/(IF(ISBLANK(Design!$B$42),Design!$B$40,Design!$B$42)/1000000)*E63/100/(IF(ISBLANK(Design!$B$33),Design!$B$32,Design!$B$33)*1000000))</f>
        <v>0.53387811365081328</v>
      </c>
      <c r="G63" s="165">
        <f>B63*Constants!$C$21/1000+IF(ISBLANK(Design!$B$33),Design!$B$32,Design!$B$33)*1000000*Constants!$D$25/1000000000*(B63-Constants!$C$24)</f>
        <v>2.8964999999999987E-2</v>
      </c>
      <c r="H63" s="165">
        <f>B63*C63*(B63/(Constants!$C$26*1000000000)*IF(ISBLANK(Design!$B$33),Design!$B$32,Design!$B$33)*1000000/2+B63/(Constants!$C$27*1000000000)*IF(ISBLANK(Design!$B$33),Design!$B$32,Design!$B$33)*1000000/2)</f>
        <v>0.12975533333333325</v>
      </c>
      <c r="I63" s="165">
        <f t="shared" ca="1" si="13"/>
        <v>1.2838547740806301</v>
      </c>
      <c r="J63" s="165">
        <f>Constants!$D$25/1000000000*Constants!$C$24*IF(ISBLANK(Design!$B$33),Design!$B$32,Design!$B$33)*1000000</f>
        <v>1.0624999999999999E-2</v>
      </c>
      <c r="K63" s="165">
        <f t="shared" ca="1" si="22"/>
        <v>1.4532001074139633</v>
      </c>
      <c r="L63" s="165">
        <f t="shared" ca="1" si="17"/>
        <v>0.39890994747322761</v>
      </c>
      <c r="M63" s="166">
        <f ca="1">$A63+L63*Design!$B$19</f>
        <v>107.73786700597398</v>
      </c>
      <c r="N63" s="166">
        <f ca="1">K63*Design!$C$12+A63</f>
        <v>134.40880365207477</v>
      </c>
      <c r="O63" s="166">
        <f ca="1">Constants!$D$22+Constants!$D$22*Constants!$C$23/100*(N63-25)</f>
        <v>212.52704292165981</v>
      </c>
      <c r="P63" s="165">
        <f ca="1">IF(100*(Design!$C$29+D63+C63*IF(ISBLANK(Design!$B$43),Constants!$C$6,Design!$B$43)/1000*(1+Constants!$C$36/100*(N63-25)))/($B63+D63-C63*O63/1000)&gt;Design!$B$36,   (1-Constants!$D$20/1000000000*IF(ISBLANK(Design!$B$33),Design!$B$32/4,Design!$B$33/4)*1000000) * ($B63+D63-C63*O63/1000) - (D63+C63*(1+($A63-25)*Constants!$C$36/100)*IF(ISBLANK(Design!$B$43),Constants!$C$6/1000,Design!$B$43/1000)),  (1-Constants!$D$20/1000000000*IF(ISBLANK(Design!$B$33),Design!$B$32,Design!$B$33)*1000000) * ($B63+D63-C63*O63/1000) - (D63+C63*(1+($A63-25)*Constants!$C$36/100)*IF(ISBLANK(Design!$B$43),Constants!$C$6/1000,Design!$B$43/1000)))</f>
        <v>7.3141842457513624</v>
      </c>
      <c r="Q63" s="115">
        <f ca="1">IF(P63&gt;Design!$C$29,Design!$C$29,P63)</f>
        <v>4.9990521327014221</v>
      </c>
      <c r="R63" s="116">
        <f>2*Design!$D$7/3</f>
        <v>2</v>
      </c>
      <c r="S63" s="116">
        <f ca="1">FORECAST(R63, OFFSET(Design!$C$15:$C$17,MATCH(R63,Design!$B$15:$B$17,1)-1,0,2), OFFSET(Design!$B$15:$B$17,MATCH(R63,Design!$B$15:$B$17,1)-1,0,2))+(AB63-25)*Design!$B$18/1000</f>
        <v>0.38426695830790186</v>
      </c>
      <c r="T63" s="182">
        <f ca="1">IF(100*(Design!$C$29+S63+R63*IF(ISBLANK(Design!$B$43),Constants!$C$6,Design!$B$43)/1000*(1+Constants!$C$36/100*(AC63-25)))/($B63+S63-R63*AD63/1000)&gt;Design!$B$36,Design!$B$37,100*(Design!$C$29+S63+R63*IF(ISBLANK(Design!$B$43),Constants!$C$6,Design!$B$43)/1000*(1+Constants!$C$36/100*(AC63-25)))/($B63+S63-R63*AD63/1000))</f>
        <v>64.085088591093196</v>
      </c>
      <c r="U63" s="117">
        <f ca="1">IF(($B63-R63*IF(ISBLANK(Design!$B$43),Constants!$C$6,Design!$B$43)/1000*(1+Constants!$C$36/100*(AC63-25))-Design!$C$29)/(IF(ISBLANK(Design!$B$42),Design!$B$40,Design!$B$42)/1000000)*T63/100/(IF(ISBLANK(Design!$B$33),Design!$B$32,Design!$B$33)*1000000)&lt;0,0,($B63-R63*IF(ISBLANK(Design!$B$43),Constants!$C$6,Design!$B$43)/1000*(1+Constants!$C$36/100*(AC63-25))-Design!$C$29)/(IF(ISBLANK(Design!$B$42),Design!$B$40,Design!$B$42)/1000000)*T63/100/(IF(ISBLANK(Design!$B$33),Design!$B$32,Design!$B$33)*1000000))</f>
        <v>0.52105060355552946</v>
      </c>
      <c r="V63" s="183">
        <f>$B63*Constants!$C$21/1000+IF(ISBLANK(Design!$B$33),Design!$B$32,Design!$B$33)*1000000*Constants!$D$25/1000000000*($B63-Constants!$C$24)</f>
        <v>2.8964999999999987E-2</v>
      </c>
      <c r="W63" s="183">
        <f>$B63*R63*($B63/(Constants!$C$26*1000000000)*IF(ISBLANK(Design!$B$33),Design!$B$32,Design!$B$33)*1000000/2+$B63/(Constants!$C$27*1000000000)*IF(ISBLANK(Design!$B$33),Design!$B$32,Design!$B$33)*1000000/2)</f>
        <v>8.6503555555555486E-2</v>
      </c>
      <c r="X63" s="183">
        <f t="shared" ca="1" si="14"/>
        <v>0.48911489424376392</v>
      </c>
      <c r="Y63" s="183">
        <f>Constants!$D$25/1000000000*Constants!$C$24*IF(ISBLANK(Design!$B$33),Design!$B$32,Design!$B$33)*1000000</f>
        <v>1.0624999999999999E-2</v>
      </c>
      <c r="Z63" s="183">
        <f t="shared" ca="1" si="23"/>
        <v>0.61520844979931943</v>
      </c>
      <c r="AA63" s="183">
        <f t="shared" ca="1" si="19"/>
        <v>0.27601827529996759</v>
      </c>
      <c r="AB63" s="184">
        <f ca="1">$A63+AA63*Design!$B$19</f>
        <v>100.73304169209815</v>
      </c>
      <c r="AC63" s="184">
        <f ca="1">Z63*Design!$C$12+$A63</f>
        <v>105.91708729317686</v>
      </c>
      <c r="AD63" s="184">
        <f ca="1">Constants!$D$22+Constants!$D$22*Constants!$C$23/100*(AC63-25)</f>
        <v>189.7336698345415</v>
      </c>
      <c r="AE63" s="183">
        <f ca="1">IF(100*(Design!$C$29+S63+R63*IF(ISBLANK(Design!$B$43),Constants!$C$6,Design!$B$43)/1000*(1+Constants!$C$36/100*(AC63-25)))/($B63+S63-R63*AD63/1000)&gt;Design!$B$36,   (1-Constants!$D$20/1000000000*IF(ISBLANK(Design!$B$33),Design!$B$32/4,Design!$B$33/4)*1000000) * ($B63+S63-R63*AD63/1000) - (S63+R63*(1+($A63-25)*Constants!$C$36/100)*IF(ISBLANK(Design!$B$43),Constants!$C$6/1000,Design!$B$43/1000)),  (1-Constants!$D$20/1000000000*IF(ISBLANK(Design!$B$33),Design!$B$32,Design!$B$33)*1000000) * ($B63+S63-R63*AD63/1000) - (S63+R63*(1+($A63-25)*Constants!$C$36/100)*IF(ISBLANK(Design!$B$43),Constants!$C$6/1000,Design!$B$43/1000)))</f>
        <v>7.6084634814011203</v>
      </c>
      <c r="AF63" s="117">
        <f ca="1">IF(AE63&gt;Design!$C$29,Design!$C$29,AE63)</f>
        <v>4.9990521327014221</v>
      </c>
      <c r="AG63" s="118">
        <f>Design!$D$7/3</f>
        <v>1</v>
      </c>
      <c r="AH63" s="118">
        <f ca="1">FORECAST(AG63, OFFSET(Design!$C$15:$C$17,MATCH(AG63,Design!$B$15:$B$17,1)-1,0,2), OFFSET(Design!$B$15:$B$17,MATCH(AG63,Design!$B$15:$B$17,1)-1,0,2))+(AQ63-25)*Design!$B$18/1000</f>
        <v>0.31533564602278102</v>
      </c>
      <c r="AI63" s="194">
        <f ca="1">IF(100*(Design!$C$29+AH63+AG63*IF(ISBLANK(Design!$B$43),Constants!$C$6,Design!$B$43)/1000*(1+Constants!$C$36/100*(AR63-25)))/($B63+AH63-AG63*AS63/1000)&gt;Design!$B$36,Design!$B$37,100*(Design!$C$29+AH63+AG63*IF(ISBLANK(Design!$B$43),Constants!$C$6,Design!$B$43)/1000*(1+Constants!$C$36/100*(AR63-25)))/($B63+AH63-AG63*AS63/1000))</f>
        <v>61.686181746399242</v>
      </c>
      <c r="AJ63" s="119">
        <f ca="1">IF(($B63-AG63*IF(ISBLANK(Design!$B$43),Constants!$C$6,Design!$B$43)/1000*(1+Constants!$C$36/100*(AR63-25))-Design!$C$29)/(IF(ISBLANK(Design!$B$42),Design!$B$40,Design!$B$42)/1000000)*AI63/100/(IF(ISBLANK(Design!$B$33),Design!$B$32,Design!$B$33)*1000000)&lt;0,0,($B63-AG63*IF(ISBLANK(Design!$B$43),Constants!$C$6,Design!$B$43)/1000*(1+Constants!$C$36/100*(AR63-25))-Design!$C$29)/(IF(ISBLANK(Design!$B$42),Design!$B$40,Design!$B$42)/1000000)*AI63/100/(IF(ISBLANK(Design!$B$33),Design!$B$32,Design!$B$33)*1000000))</f>
        <v>0.50952386800404581</v>
      </c>
      <c r="AK63" s="195">
        <f>$B63*Constants!$C$21/1000+IF(ISBLANK(Design!$B$33),Design!$B$32,Design!$B$33)*1000000*Constants!$D$25/1000000000*($B63-Constants!$C$24)</f>
        <v>2.8964999999999987E-2</v>
      </c>
      <c r="AL63" s="195">
        <f>$B63*AG63*($B63/(Constants!$C$26*1000000000)*IF(ISBLANK(Design!$B$33),Design!$B$32,Design!$B$33)*1000000/2+$B63/(Constants!$C$27*1000000000)*IF(ISBLANK(Design!$B$33),Design!$B$32,Design!$B$33)*1000000/2)</f>
        <v>4.3251777777777743E-2</v>
      </c>
      <c r="AM63" s="195">
        <f t="shared" ca="1" si="15"/>
        <v>0.11237215744023775</v>
      </c>
      <c r="AN63" s="195">
        <f>Constants!$D$25/1000000000*Constants!$C$24*IF(ISBLANK(Design!$B$33),Design!$B$32,Design!$B$33)*1000000</f>
        <v>1.0624999999999999E-2</v>
      </c>
      <c r="AO63" s="195">
        <f t="shared" ca="1" si="24"/>
        <v>0.19521393521801547</v>
      </c>
      <c r="AP63" s="195">
        <f t="shared" ca="1" si="21"/>
        <v>0.12081712630598616</v>
      </c>
      <c r="AQ63" s="196">
        <f ca="1">$A63+AP63*Design!$B$19</f>
        <v>91.886576199441208</v>
      </c>
      <c r="AR63" s="196">
        <f ca="1">AO63*Design!$C$12+$A63</f>
        <v>91.637273797412519</v>
      </c>
      <c r="AS63" s="196">
        <f ca="1">Constants!$D$22+Constants!$D$22*Constants!$C$23/100*(AR63-25)</f>
        <v>178.30981903793003</v>
      </c>
      <c r="AT63" s="195">
        <f ca="1">IF(100*(Design!$C$29+AH63+AG63*IF(ISBLANK(Design!$B$43),Constants!$C$6,Design!$B$43)/1000*(1+Constants!$C$36/100*(AR63-25)))/($B63+AH63-AG63*AS63/1000)&gt;Design!$B$36,   (1-Constants!$D$20/1000000000*IF(ISBLANK(Design!$B$33),Design!$B$32/4,Design!$B$33/4)*1000000) * ($B63+AH63-AG63*AS63/1000) - (AH63+AG63*(1+($A63-25)*Constants!$C$36/100)*IF(ISBLANK(Design!$B$43),Constants!$C$6/1000,Design!$B$43/1000)),  (1-Constants!$D$20/1000000000*IF(ISBLANK(Design!$B$33),Design!$B$32,Design!$B$33)*1000000) * ($B63+AH63-AG63*AS63/1000) - (AH63+AG63*(1+($A63-25)*Constants!$C$36/100)*IF(ISBLANK(Design!$B$43),Constants!$C$6/1000,Design!$B$43/1000)))</f>
        <v>7.8517475040211551</v>
      </c>
      <c r="AU63" s="119">
        <f ca="1">IF(AT63&gt;Design!$C$29,Design!$C$29,AT63)</f>
        <v>4.9990521327014221</v>
      </c>
    </row>
    <row r="64" spans="1:47" ht="12.75" customHeight="1" x14ac:dyDescent="0.25">
      <c r="A64" s="112">
        <f>Design!$D$13</f>
        <v>85</v>
      </c>
      <c r="B64" s="113">
        <f t="shared" si="12"/>
        <v>8.3449999999999971</v>
      </c>
      <c r="C64" s="114">
        <f>Design!$D$7</f>
        <v>3</v>
      </c>
      <c r="D64" s="114">
        <f ca="1">FORECAST(C64, OFFSET(Design!$C$15:$C$17,MATCH(C64,Design!$B$15:$B$17,1)-1,0,2), OFFSET(Design!$B$15:$B$17,MATCH(C64,Design!$B$15:$B$17,1)-1,0,2))+(M64-25)*Design!$B$18/1000</f>
        <v>0.40344286411854957</v>
      </c>
      <c r="E64" s="173">
        <f ca="1">IF(100*(Design!$C$29+D64+C64*IF(ISBLANK(Design!$B$43),Constants!$C$6,Design!$B$43)/1000*(1+Constants!$C$36/100*(N64-25)))/($B64+D64-C64*O64/1000)&gt;Design!$B$36,Design!$B$37,100*(Design!$C$29+D64+C64*IF(ISBLANK(Design!$B$43),Constants!$C$6,Design!$B$43)/1000*(1+Constants!$C$36/100*(N64-25)))/($B64+D64-C64*O64/1000))</f>
        <v>68.752670247576518</v>
      </c>
      <c r="F64" s="115">
        <f ca="1">IF(($B64-C64*IF(ISBLANK(Design!$B$43),Constants!$C$6,Design!$B$43)/1000*(1+Constants!$C$36/100*(N64-25))-Design!$C$29)/(IF(ISBLANK(Design!$B$42),Design!$B$40,Design!$B$42)/1000000)*E64/100/(IF(ISBLANK(Design!$B$33),Design!$B$32,Design!$B$33)*1000000)&lt;0,0,($B64-C64*IF(ISBLANK(Design!$B$43),Constants!$C$6,Design!$B$43)/1000*(1+Constants!$C$36/100*(N64-25))-Design!$C$29)/(IF(ISBLANK(Design!$B$42),Design!$B$40,Design!$B$42)/1000000)*E64/100/(IF(ISBLANK(Design!$B$33),Design!$B$32,Design!$B$33)*1000000))</f>
        <v>0.51343363950106724</v>
      </c>
      <c r="G64" s="165">
        <f>B64*Constants!$C$21/1000+IF(ISBLANK(Design!$B$33),Design!$B$32,Design!$B$33)*1000000*Constants!$D$25/1000000000*(B64-Constants!$C$24)</f>
        <v>2.7970624999999985E-2</v>
      </c>
      <c r="H64" s="165">
        <f>B64*C64*(B64/(Constants!$C$26*1000000000)*IF(ISBLANK(Design!$B$33),Design!$B$32,Design!$B$33)*1000000/2+B64/(Constants!$C$27*1000000000)*IF(ISBLANK(Design!$B$33),Design!$B$32,Design!$B$33)*1000000/2)</f>
        <v>0.12331910677083321</v>
      </c>
      <c r="I64" s="165">
        <f t="shared" ca="1" si="13"/>
        <v>1.3237492733938312</v>
      </c>
      <c r="J64" s="165">
        <f>Constants!$D$25/1000000000*Constants!$C$24*IF(ISBLANK(Design!$B$33),Design!$B$32,Design!$B$33)*1000000</f>
        <v>1.0624999999999999E-2</v>
      </c>
      <c r="K64" s="165">
        <f t="shared" ca="1" si="22"/>
        <v>1.4856640051646646</v>
      </c>
      <c r="L64" s="165">
        <f t="shared" ca="1" si="17"/>
        <v>0.37819536634123491</v>
      </c>
      <c r="M64" s="166">
        <f ca="1">$A64+L64*Design!$B$19</f>
        <v>106.55713588145039</v>
      </c>
      <c r="N64" s="166">
        <f ca="1">K64*Design!$C$12+A64</f>
        <v>135.51257617559861</v>
      </c>
      <c r="O64" s="166">
        <f ca="1">Constants!$D$22+Constants!$D$22*Constants!$C$23/100*(N64-25)</f>
        <v>213.4100609404789</v>
      </c>
      <c r="P64" s="165">
        <f ca="1">IF(100*(Design!$C$29+D64+C64*IF(ISBLANK(Design!$B$43),Constants!$C$6,Design!$B$43)/1000*(1+Constants!$C$36/100*(N64-25)))/($B64+D64-C64*O64/1000)&gt;Design!$B$36,   (1-Constants!$D$20/1000000000*IF(ISBLANK(Design!$B$33),Design!$B$32/4,Design!$B$33/4)*1000000) * ($B64+D64-C64*O64/1000) - (D64+C64*(1+($A64-25)*Constants!$C$36/100)*IF(ISBLANK(Design!$B$43),Constants!$C$6/1000,Design!$B$43/1000)),  (1-Constants!$D$20/1000000000*IF(ISBLANK(Design!$B$33),Design!$B$32,Design!$B$33)*1000000) * ($B64+D64-C64*O64/1000) - (D64+C64*(1+($A64-25)*Constants!$C$36/100)*IF(ISBLANK(Design!$B$43),Constants!$C$6/1000,Design!$B$43/1000)))</f>
        <v>7.1084950665368947</v>
      </c>
      <c r="Q64" s="115">
        <f ca="1">IF(P64&gt;Design!$C$29,Design!$C$29,P64)</f>
        <v>4.9990521327014221</v>
      </c>
      <c r="R64" s="116">
        <f>2*Design!$D$7/3</f>
        <v>2</v>
      </c>
      <c r="S64" s="116">
        <f ca="1">FORECAST(R64, OFFSET(Design!$C$15:$C$17,MATCH(R64,Design!$B$15:$B$17,1)-1,0,2), OFFSET(Design!$B$15:$B$17,MATCH(R64,Design!$B$15:$B$17,1)-1,0,2))+(AB64-25)*Design!$B$18/1000</f>
        <v>0.38496567039531271</v>
      </c>
      <c r="T64" s="182">
        <f ca="1">IF(100*(Design!$C$29+S64+R64*IF(ISBLANK(Design!$B$43),Constants!$C$6,Design!$B$43)/1000*(1+Constants!$C$36/100*(AC64-25)))/($B64+S64-R64*AD64/1000)&gt;Design!$B$36,Design!$B$37,100*(Design!$C$29+S64+R64*IF(ISBLANK(Design!$B$43),Constants!$C$6,Design!$B$43)/1000*(1+Constants!$C$36/100*(AC64-25)))/($B64+S64-R64*AD64/1000))</f>
        <v>65.742377984972492</v>
      </c>
      <c r="U64" s="117">
        <f ca="1">IF(($B64-R64*IF(ISBLANK(Design!$B$43),Constants!$C$6,Design!$B$43)/1000*(1+Constants!$C$36/100*(AC64-25))-Design!$C$29)/(IF(ISBLANK(Design!$B$42),Design!$B$40,Design!$B$42)/1000000)*T64/100/(IF(ISBLANK(Design!$B$33),Design!$B$32,Design!$B$33)*1000000)&lt;0,0,($B64-R64*IF(ISBLANK(Design!$B$43),Constants!$C$6,Design!$B$43)/1000*(1+Constants!$C$36/100*(AC64-25))-Design!$C$29)/(IF(ISBLANK(Design!$B$42),Design!$B$40,Design!$B$42)/1000000)*T64/100/(IF(ISBLANK(Design!$B$33),Design!$B$32,Design!$B$33)*1000000))</f>
        <v>0.50125471693828683</v>
      </c>
      <c r="V64" s="183">
        <f>$B64*Constants!$C$21/1000+IF(ISBLANK(Design!$B$33),Design!$B$32,Design!$B$33)*1000000*Constants!$D$25/1000000000*($B64-Constants!$C$24)</f>
        <v>2.7970624999999985E-2</v>
      </c>
      <c r="W64" s="183">
        <f>$B64*R64*($B64/(Constants!$C$26*1000000000)*IF(ISBLANK(Design!$B$33),Design!$B$32,Design!$B$33)*1000000/2+$B64/(Constants!$C$27*1000000000)*IF(ISBLANK(Design!$B$33),Design!$B$32,Design!$B$33)*1000000/2)</f>
        <v>8.2212737847222148E-2</v>
      </c>
      <c r="X64" s="183">
        <f t="shared" ca="1" si="14"/>
        <v>0.50210760588154357</v>
      </c>
      <c r="Y64" s="183">
        <f>Constants!$D$25/1000000000*Constants!$C$24*IF(ISBLANK(Design!$B$33),Design!$B$32,Design!$B$33)*1000000</f>
        <v>1.0624999999999999E-2</v>
      </c>
      <c r="Z64" s="183">
        <f t="shared" ca="1" si="23"/>
        <v>0.62291596872876565</v>
      </c>
      <c r="AA64" s="183">
        <f t="shared" ca="1" si="19"/>
        <v>0.26376016850328576</v>
      </c>
      <c r="AB64" s="184">
        <f ca="1">$A64+AA64*Design!$B$19</f>
        <v>100.03432960468729</v>
      </c>
      <c r="AC64" s="184">
        <f ca="1">Z64*Design!$C$12+$A64</f>
        <v>106.17914293677804</v>
      </c>
      <c r="AD64" s="184">
        <f ca="1">Constants!$D$22+Constants!$D$22*Constants!$C$23/100*(AC64-25)</f>
        <v>189.94331434942245</v>
      </c>
      <c r="AE64" s="183">
        <f ca="1">IF(100*(Design!$C$29+S64+R64*IF(ISBLANK(Design!$B$43),Constants!$C$6,Design!$B$43)/1000*(1+Constants!$C$36/100*(AC64-25)))/($B64+S64-R64*AD64/1000)&gt;Design!$B$36,   (1-Constants!$D$20/1000000000*IF(ISBLANK(Design!$B$33),Design!$B$32/4,Design!$B$33/4)*1000000) * ($B64+S64-R64*AD64/1000) - (S64+R64*(1+($A64-25)*Constants!$C$36/100)*IF(ISBLANK(Design!$B$43),Constants!$C$6/1000,Design!$B$43/1000)),  (1-Constants!$D$20/1000000000*IF(ISBLANK(Design!$B$33),Design!$B$32,Design!$B$33)*1000000) * ($B64+S64-R64*AD64/1000) - (S64+R64*(1+($A64-25)*Constants!$C$36/100)*IF(ISBLANK(Design!$B$43),Constants!$C$6/1000,Design!$B$43/1000)))</f>
        <v>7.4049075042474213</v>
      </c>
      <c r="AF64" s="117">
        <f ca="1">IF(AE64&gt;Design!$C$29,Design!$C$29,AE64)</f>
        <v>4.9990521327014221</v>
      </c>
      <c r="AG64" s="118">
        <f>Design!$D$7/3</f>
        <v>1</v>
      </c>
      <c r="AH64" s="118">
        <f ca="1">FORECAST(AG64, OFFSET(Design!$C$15:$C$17,MATCH(AG64,Design!$B$15:$B$17,1)-1,0,2), OFFSET(Design!$B$15:$B$17,MATCH(AG64,Design!$B$15:$B$17,1)-1,0,2))+(AQ64-25)*Design!$B$18/1000</f>
        <v>0.31561111179314333</v>
      </c>
      <c r="AI64" s="194">
        <f ca="1">IF(100*(Design!$C$29+AH64+AG64*IF(ISBLANK(Design!$B$43),Constants!$C$6,Design!$B$43)/1000*(1+Constants!$C$36/100*(AR64-25)))/($B64+AH64-AG64*AS64/1000)&gt;Design!$B$36,Design!$B$37,100*(Design!$C$29+AH64+AG64*IF(ISBLANK(Design!$B$43),Constants!$C$6,Design!$B$43)/1000*(1+Constants!$C$36/100*(AR64-25)))/($B64+AH64-AG64*AS64/1000))</f>
        <v>63.250852343680862</v>
      </c>
      <c r="AJ64" s="119">
        <f ca="1">IF(($B64-AG64*IF(ISBLANK(Design!$B$43),Constants!$C$6,Design!$B$43)/1000*(1+Constants!$C$36/100*(AR64-25))-Design!$C$29)/(IF(ISBLANK(Design!$B$42),Design!$B$40,Design!$B$42)/1000000)*AI64/100/(IF(ISBLANK(Design!$B$33),Design!$B$32,Design!$B$33)*1000000)&lt;0,0,($B64-AG64*IF(ISBLANK(Design!$B$43),Constants!$C$6,Design!$B$43)/1000*(1+Constants!$C$36/100*(AR64-25))-Design!$C$29)/(IF(ISBLANK(Design!$B$42),Design!$B$40,Design!$B$42)/1000000)*AI64/100/(IF(ISBLANK(Design!$B$33),Design!$B$32,Design!$B$33)*1000000))</f>
        <v>0.49045083533779726</v>
      </c>
      <c r="AK64" s="195">
        <f>$B64*Constants!$C$21/1000+IF(ISBLANK(Design!$B$33),Design!$B$32,Design!$B$33)*1000000*Constants!$D$25/1000000000*($B64-Constants!$C$24)</f>
        <v>2.7970624999999985E-2</v>
      </c>
      <c r="AL64" s="195">
        <f>$B64*AG64*($B64/(Constants!$C$26*1000000000)*IF(ISBLANK(Design!$B$33),Design!$B$32,Design!$B$33)*1000000/2+$B64/(Constants!$C$27*1000000000)*IF(ISBLANK(Design!$B$33),Design!$B$32,Design!$B$33)*1000000/2)</f>
        <v>4.1106368923611074E-2</v>
      </c>
      <c r="AM64" s="195">
        <f t="shared" ca="1" si="15"/>
        <v>0.11503485168522469</v>
      </c>
      <c r="AN64" s="195">
        <f>Constants!$D$25/1000000000*Constants!$C$24*IF(ISBLANK(Design!$B$33),Design!$B$32,Design!$B$33)*1000000</f>
        <v>1.0624999999999999E-2</v>
      </c>
      <c r="AO64" s="195">
        <f t="shared" ca="1" si="24"/>
        <v>0.19473684560883575</v>
      </c>
      <c r="AP64" s="195">
        <f t="shared" ca="1" si="21"/>
        <v>0.11598439349261271</v>
      </c>
      <c r="AQ64" s="196">
        <f ca="1">$A64+AP64*Design!$B$19</f>
        <v>91.61111042907892</v>
      </c>
      <c r="AR64" s="196">
        <f ca="1">AO64*Design!$C$12+$A64</f>
        <v>91.621052750700414</v>
      </c>
      <c r="AS64" s="196">
        <f ca="1">Constants!$D$22+Constants!$D$22*Constants!$C$23/100*(AR64-25)</f>
        <v>178.29684220056032</v>
      </c>
      <c r="AT64" s="195">
        <f ca="1">IF(100*(Design!$C$29+AH64+AG64*IF(ISBLANK(Design!$B$43),Constants!$C$6,Design!$B$43)/1000*(1+Constants!$C$36/100*(AR64-25)))/($B64+AH64-AG64*AS64/1000)&gt;Design!$B$36,   (1-Constants!$D$20/1000000000*IF(ISBLANK(Design!$B$33),Design!$B$32/4,Design!$B$33/4)*1000000) * ($B64+AH64-AG64*AS64/1000) - (AH64+AG64*(1+($A64-25)*Constants!$C$36/100)*IF(ISBLANK(Design!$B$43),Constants!$C$6/1000,Design!$B$43/1000)),  (1-Constants!$D$20/1000000000*IF(ISBLANK(Design!$B$33),Design!$B$32,Design!$B$33)*1000000) * ($B64+AH64-AG64*AS64/1000) - (AH64+AG64*(1+($A64-25)*Constants!$C$36/100)*IF(ISBLANK(Design!$B$43),Constants!$C$6/1000,Design!$B$43/1000)))</f>
        <v>7.6486232944044481</v>
      </c>
      <c r="AU64" s="119">
        <f ca="1">IF(AT64&gt;Design!$C$29,Design!$C$29,AT64)</f>
        <v>4.9990521327014221</v>
      </c>
    </row>
    <row r="65" spans="1:47" ht="12.75" customHeight="1" x14ac:dyDescent="0.25">
      <c r="A65" s="112">
        <f>Design!$D$13</f>
        <v>85</v>
      </c>
      <c r="B65" s="113">
        <f t="shared" si="12"/>
        <v>8.1299999999999972</v>
      </c>
      <c r="C65" s="114">
        <f>Design!$D$7</f>
        <v>3</v>
      </c>
      <c r="D65" s="114">
        <f ca="1">FORECAST(C65, OFFSET(Design!$C$15:$C$17,MATCH(C65,Design!$B$15:$B$17,1)-1,0,2), OFFSET(Design!$B$15:$B$17,MATCH(C65,Design!$B$15:$B$17,1)-1,0,2))+(M65-25)*Design!$B$18/1000</f>
        <v>0.40469787944531316</v>
      </c>
      <c r="E65" s="173">
        <f ca="1">IF(100*(Design!$C$29+D65+C65*IF(ISBLANK(Design!$B$43),Constants!$C$6,Design!$B$43)/1000*(1+Constants!$C$36/100*(N65-25)))/($B65+D65-C65*O65/1000)&gt;Design!$B$36,Design!$B$37,100*(Design!$C$29+D65+C65*IF(ISBLANK(Design!$B$43),Constants!$C$6,Design!$B$43)/1000*(1+Constants!$C$36/100*(N65-25)))/($B65+D65-C65*O65/1000))</f>
        <v>70.663090362685594</v>
      </c>
      <c r="F65" s="115">
        <f ca="1">IF(($B65-C65*IF(ISBLANK(Design!$B$43),Constants!$C$6,Design!$B$43)/1000*(1+Constants!$C$36/100*(N65-25))-Design!$C$29)/(IF(ISBLANK(Design!$B$42),Design!$B$40,Design!$B$42)/1000000)*E65/100/(IF(ISBLANK(Design!$B$33),Design!$B$32,Design!$B$33)*1000000)&lt;0,0,($B65-C65*IF(ISBLANK(Design!$B$43),Constants!$C$6,Design!$B$43)/1000*(1+Constants!$C$36/100*(N65-25))-Design!$C$29)/(IF(ISBLANK(Design!$B$42),Design!$B$40,Design!$B$42)/1000000)*E65/100/(IF(ISBLANK(Design!$B$33),Design!$B$32,Design!$B$33)*1000000))</f>
        <v>0.49185881912753143</v>
      </c>
      <c r="G65" s="165">
        <f>B65*Constants!$C$21/1000+IF(ISBLANK(Design!$B$33),Design!$B$32,Design!$B$33)*1000000*Constants!$D$25/1000000000*(B65-Constants!$C$24)</f>
        <v>2.6976249999999986E-2</v>
      </c>
      <c r="H65" s="165">
        <f>B65*C65*(B65/(Constants!$C$26*1000000000)*IF(ISBLANK(Design!$B$33),Design!$B$32,Design!$B$33)*1000000/2+B65/(Constants!$C$27*1000000000)*IF(ISBLANK(Design!$B$33),Design!$B$32,Design!$B$33)*1000000/2)</f>
        <v>0.11704659374999994</v>
      </c>
      <c r="I65" s="165">
        <f t="shared" ca="1" si="13"/>
        <v>1.3663928084735033</v>
      </c>
      <c r="J65" s="165">
        <f>Constants!$D$25/1000000000*Constants!$C$24*IF(ISBLANK(Design!$B$33),Design!$B$32,Design!$B$33)*1000000</f>
        <v>1.0624999999999999E-2</v>
      </c>
      <c r="K65" s="165">
        <f t="shared" ca="1" si="22"/>
        <v>1.5210406522235034</v>
      </c>
      <c r="L65" s="165">
        <f t="shared" ca="1" si="17"/>
        <v>0.35617755359099729</v>
      </c>
      <c r="M65" s="166">
        <f ca="1">$A65+L65*Design!$B$19</f>
        <v>105.30212055468684</v>
      </c>
      <c r="N65" s="166">
        <f ca="1">K65*Design!$C$12+A65</f>
        <v>136.71538217559913</v>
      </c>
      <c r="O65" s="166">
        <f ca="1">Constants!$D$22+Constants!$D$22*Constants!$C$23/100*(N65-25)</f>
        <v>214.37230574047931</v>
      </c>
      <c r="P65" s="165">
        <f ca="1">IF(100*(Design!$C$29+D65+C65*IF(ISBLANK(Design!$B$43),Constants!$C$6,Design!$B$43)/1000*(1+Constants!$C$36/100*(N65-25)))/($B65+D65-C65*O65/1000)&gt;Design!$B$36,   (1-Constants!$D$20/1000000000*IF(ISBLANK(Design!$B$33),Design!$B$32/4,Design!$B$33/4)*1000000) * ($B65+D65-C65*O65/1000) - (D65+C65*(1+($A65-25)*Constants!$C$36/100)*IF(ISBLANK(Design!$B$43),Constants!$C$6/1000,Design!$B$43/1000)),  (1-Constants!$D$20/1000000000*IF(ISBLANK(Design!$B$33),Design!$B$32,Design!$B$33)*1000000) * ($B65+D65-C65*O65/1000) - (D65+C65*(1+($A65-25)*Constants!$C$36/100)*IF(ISBLANK(Design!$B$43),Constants!$C$6/1000,Design!$B$43/1000)))</f>
        <v>6.9025772346156913</v>
      </c>
      <c r="Q65" s="115">
        <f ca="1">IF(P65&gt;Design!$C$29,Design!$C$29,P65)</f>
        <v>4.9990521327014221</v>
      </c>
      <c r="R65" s="116">
        <f>2*Design!$D$7/3</f>
        <v>2</v>
      </c>
      <c r="S65" s="116">
        <f ca="1">FORECAST(R65, OFFSET(Design!$C$15:$C$17,MATCH(R65,Design!$B$15:$B$17,1)-1,0,2), OFFSET(Design!$B$15:$B$17,MATCH(R65,Design!$B$15:$B$17,1)-1,0,2))+(AB65-25)*Design!$B$18/1000</f>
        <v>0.38570429660457417</v>
      </c>
      <c r="T65" s="182">
        <f ca="1">IF(100*(Design!$C$29+S65+R65*IF(ISBLANK(Design!$B$43),Constants!$C$6,Design!$B$43)/1000*(1+Constants!$C$36/100*(AC65-25)))/($B65+S65-R65*AD65/1000)&gt;Design!$B$36,Design!$B$37,100*(Design!$C$29+S65+R65*IF(ISBLANK(Design!$B$43),Constants!$C$6,Design!$B$43)/1000*(1+Constants!$C$36/100*(AC65-25)))/($B65+S65-R65*AD65/1000))</f>
        <v>67.487811755962554</v>
      </c>
      <c r="U65" s="117">
        <f ca="1">IF(($B65-R65*IF(ISBLANK(Design!$B$43),Constants!$C$6,Design!$B$43)/1000*(1+Constants!$C$36/100*(AC65-25))-Design!$C$29)/(IF(ISBLANK(Design!$B$42),Design!$B$40,Design!$B$42)/1000000)*T65/100/(IF(ISBLANK(Design!$B$33),Design!$B$32,Design!$B$33)*1000000)&lt;0,0,($B65-R65*IF(ISBLANK(Design!$B$43),Constants!$C$6,Design!$B$43)/1000*(1+Constants!$C$36/100*(AC65-25))-Design!$C$29)/(IF(ISBLANK(Design!$B$42),Design!$B$40,Design!$B$42)/1000000)*T65/100/(IF(ISBLANK(Design!$B$33),Design!$B$32,Design!$B$33)*1000000))</f>
        <v>0.48040739143796957</v>
      </c>
      <c r="V65" s="183">
        <f>$B65*Constants!$C$21/1000+IF(ISBLANK(Design!$B$33),Design!$B$32,Design!$B$33)*1000000*Constants!$D$25/1000000000*($B65-Constants!$C$24)</f>
        <v>2.6976249999999986E-2</v>
      </c>
      <c r="W65" s="183">
        <f>$B65*R65*($B65/(Constants!$C$26*1000000000)*IF(ISBLANK(Design!$B$33),Design!$B$32,Design!$B$33)*1000000/2+$B65/(Constants!$C$27*1000000000)*IF(ISBLANK(Design!$B$33),Design!$B$32,Design!$B$33)*1000000/2)</f>
        <v>7.8031062499999956E-2</v>
      </c>
      <c r="X65" s="183">
        <f t="shared" ca="1" si="14"/>
        <v>0.51585191013157772</v>
      </c>
      <c r="Y65" s="183">
        <f>Constants!$D$25/1000000000*Constants!$C$24*IF(ISBLANK(Design!$B$33),Design!$B$32,Design!$B$33)*1000000</f>
        <v>1.0624999999999999E-2</v>
      </c>
      <c r="Z65" s="183">
        <f t="shared" ca="1" si="23"/>
        <v>0.63148422263157766</v>
      </c>
      <c r="AA65" s="183">
        <f t="shared" ca="1" si="19"/>
        <v>0.25080181395483936</v>
      </c>
      <c r="AB65" s="184">
        <f ca="1">$A65+AA65*Design!$B$19</f>
        <v>99.295703395425846</v>
      </c>
      <c r="AC65" s="184">
        <f ca="1">Z65*Design!$C$12+$A65</f>
        <v>106.47046356947364</v>
      </c>
      <c r="AD65" s="184">
        <f ca="1">Constants!$D$22+Constants!$D$22*Constants!$C$23/100*(AC65-25)</f>
        <v>190.17637085557891</v>
      </c>
      <c r="AE65" s="183">
        <f ca="1">IF(100*(Design!$C$29+S65+R65*IF(ISBLANK(Design!$B$43),Constants!$C$6,Design!$B$43)/1000*(1+Constants!$C$36/100*(AC65-25)))/($B65+S65-R65*AD65/1000)&gt;Design!$B$36,   (1-Constants!$D$20/1000000000*IF(ISBLANK(Design!$B$33),Design!$B$32/4,Design!$B$33/4)*1000000) * ($B65+S65-R65*AD65/1000) - (S65+R65*(1+($A65-25)*Constants!$C$36/100)*IF(ISBLANK(Design!$B$43),Constants!$C$6/1000,Design!$B$43/1000)),  (1-Constants!$D$20/1000000000*IF(ISBLANK(Design!$B$33),Design!$B$32,Design!$B$33)*1000000) * ($B65+S65-R65*AD65/1000) - (S65+R65*(1+($A65-25)*Constants!$C$36/100)*IF(ISBLANK(Design!$B$43),Constants!$C$6/1000,Design!$B$43/1000)))</f>
        <v>7.2013050848809774</v>
      </c>
      <c r="AF65" s="117">
        <f ca="1">IF(AE65&gt;Design!$C$29,Design!$C$29,AE65)</f>
        <v>4.9990521327014221</v>
      </c>
      <c r="AG65" s="118">
        <f>Design!$D$7/3</f>
        <v>1</v>
      </c>
      <c r="AH65" s="118">
        <f ca="1">FORECAST(AG65, OFFSET(Design!$C$15:$C$17,MATCH(AG65,Design!$B$15:$B$17,1)-1,0,2), OFFSET(Design!$B$15:$B$17,MATCH(AG65,Design!$B$15:$B$17,1)-1,0,2))+(AQ65-25)*Design!$B$18/1000</f>
        <v>0.31590142596444437</v>
      </c>
      <c r="AI65" s="194">
        <f ca="1">IF(100*(Design!$C$29+AH65+AG65*IF(ISBLANK(Design!$B$43),Constants!$C$6,Design!$B$43)/1000*(1+Constants!$C$36/100*(AR65-25)))/($B65+AH65-AG65*AS65/1000)&gt;Design!$B$36,Design!$B$37,100*(Design!$C$29+AH65+AG65*IF(ISBLANK(Design!$B$43),Constants!$C$6,Design!$B$43)/1000*(1+Constants!$C$36/100*(AR65-25)))/($B65+AH65-AG65*AS65/1000))</f>
        <v>64.896909826030054</v>
      </c>
      <c r="AJ65" s="119">
        <f ca="1">IF(($B65-AG65*IF(ISBLANK(Design!$B$43),Constants!$C$6,Design!$B$43)/1000*(1+Constants!$C$36/100*(AR65-25))-Design!$C$29)/(IF(ISBLANK(Design!$B$42),Design!$B$40,Design!$B$42)/1000000)*AI65/100/(IF(ISBLANK(Design!$B$33),Design!$B$32,Design!$B$33)*1000000)&lt;0,0,($B65-AG65*IF(ISBLANK(Design!$B$43),Constants!$C$6,Design!$B$43)/1000*(1+Constants!$C$36/100*(AR65-25))-Design!$C$29)/(IF(ISBLANK(Design!$B$42),Design!$B$40,Design!$B$42)/1000000)*AI65/100/(IF(ISBLANK(Design!$B$33),Design!$B$32,Design!$B$33)*1000000))</f>
        <v>0.47038449115110431</v>
      </c>
      <c r="AK65" s="195">
        <f>$B65*Constants!$C$21/1000+IF(ISBLANK(Design!$B$33),Design!$B$32,Design!$B$33)*1000000*Constants!$D$25/1000000000*($B65-Constants!$C$24)</f>
        <v>2.6976249999999986E-2</v>
      </c>
      <c r="AL65" s="195">
        <f>$B65*AG65*($B65/(Constants!$C$26*1000000000)*IF(ISBLANK(Design!$B$33),Design!$B$32,Design!$B$33)*1000000/2+$B65/(Constants!$C$27*1000000000)*IF(ISBLANK(Design!$B$33),Design!$B$32,Design!$B$33)*1000000/2)</f>
        <v>3.9015531249999978E-2</v>
      </c>
      <c r="AM65" s="195">
        <f t="shared" ca="1" si="15"/>
        <v>0.11783756106476416</v>
      </c>
      <c r="AN65" s="195">
        <f>Constants!$D$25/1000000000*Constants!$C$24*IF(ISBLANK(Design!$B$33),Design!$B$32,Design!$B$33)*1000000</f>
        <v>1.0624999999999999E-2</v>
      </c>
      <c r="AO65" s="195">
        <f t="shared" ca="1" si="24"/>
        <v>0.19445434231476411</v>
      </c>
      <c r="AP65" s="195">
        <f t="shared" ca="1" si="21"/>
        <v>0.1108911624171558</v>
      </c>
      <c r="AQ65" s="196">
        <f ca="1">$A65+AP65*Design!$B$19</f>
        <v>91.320796257777886</v>
      </c>
      <c r="AR65" s="196">
        <f ca="1">AO65*Design!$C$12+$A65</f>
        <v>91.611447638701975</v>
      </c>
      <c r="AS65" s="196">
        <f ca="1">Constants!$D$22+Constants!$D$22*Constants!$C$23/100*(AR65-25)</f>
        <v>178.28915811096158</v>
      </c>
      <c r="AT65" s="195">
        <f ca="1">IF(100*(Design!$C$29+AH65+AG65*IF(ISBLANK(Design!$B$43),Constants!$C$6,Design!$B$43)/1000*(1+Constants!$C$36/100*(AR65-25)))/($B65+AH65-AG65*AS65/1000)&gt;Design!$B$36,   (1-Constants!$D$20/1000000000*IF(ISBLANK(Design!$B$33),Design!$B$32/4,Design!$B$33/4)*1000000) * ($B65+AH65-AG65*AS65/1000) - (AH65+AG65*(1+($A65-25)*Constants!$C$36/100)*IF(ISBLANK(Design!$B$43),Constants!$C$6/1000,Design!$B$43/1000)),  (1-Constants!$D$20/1000000000*IF(ISBLANK(Design!$B$33),Design!$B$32,Design!$B$33)*1000000) * ($B65+AH65-AG65*AS65/1000) - (AH65+AG65*(1+($A65-25)*Constants!$C$36/100)*IF(ISBLANK(Design!$B$43),Constants!$C$6/1000,Design!$B$43/1000)))</f>
        <v>7.4454932640901301</v>
      </c>
      <c r="AU65" s="119">
        <f ca="1">IF(AT65&gt;Design!$C$29,Design!$C$29,AT65)</f>
        <v>4.9990521327014221</v>
      </c>
    </row>
    <row r="66" spans="1:47" ht="12.75" customHeight="1" x14ac:dyDescent="0.25">
      <c r="A66" s="112">
        <f>Design!$D$13</f>
        <v>85</v>
      </c>
      <c r="B66" s="113">
        <f t="shared" si="12"/>
        <v>7.9149999999999974</v>
      </c>
      <c r="C66" s="114">
        <f>Design!$D$7</f>
        <v>3</v>
      </c>
      <c r="D66" s="114">
        <f ca="1">FORECAST(C66, OFFSET(Design!$C$15:$C$17,MATCH(C66,Design!$B$15:$B$17,1)-1,0,2), OFFSET(Design!$B$15:$B$17,MATCH(C66,Design!$B$15:$B$17,1)-1,0,2))+(M66-25)*Design!$B$18/1000</f>
        <v>0.40603453412475571</v>
      </c>
      <c r="E66" s="173">
        <f ca="1">IF(100*(Design!$C$29+D66+C66*IF(ISBLANK(Design!$B$43),Constants!$C$6,Design!$B$43)/1000*(1+Constants!$C$36/100*(N66-25)))/($B66+D66-C66*O66/1000)&gt;Design!$B$36,Design!$B$37,100*(Design!$C$29+D66+C66*IF(ISBLANK(Design!$B$43),Constants!$C$6,Design!$B$43)/1000*(1+Constants!$C$36/100*(N66-25)))/($B66+D66-C66*O66/1000))</f>
        <v>72.684797019976173</v>
      </c>
      <c r="F66" s="115">
        <f ca="1">IF(($B66-C66*IF(ISBLANK(Design!$B$43),Constants!$C$6,Design!$B$43)/1000*(1+Constants!$C$36/100*(N66-25))-Design!$C$29)/(IF(ISBLANK(Design!$B$42),Design!$B$40,Design!$B$42)/1000000)*E66/100/(IF(ISBLANK(Design!$B$33),Design!$B$32,Design!$B$33)*1000000)&lt;0,0,($B66-C66*IF(ISBLANK(Design!$B$43),Constants!$C$6,Design!$B$43)/1000*(1+Constants!$C$36/100*(N66-25))-Design!$C$29)/(IF(ISBLANK(Design!$B$42),Design!$B$40,Design!$B$42)/1000000)*E66/100/(IF(ISBLANK(Design!$B$33),Design!$B$32,Design!$B$33)*1000000))</f>
        <v>0.46905538210591913</v>
      </c>
      <c r="G66" s="165">
        <f>B66*Constants!$C$21/1000+IF(ISBLANK(Design!$B$33),Design!$B$32,Design!$B$33)*1000000*Constants!$D$25/1000000000*(B66-Constants!$C$24)</f>
        <v>2.5981874999999988E-2</v>
      </c>
      <c r="H66" s="165">
        <f>B66*C66*(B66/(Constants!$C$26*1000000000)*IF(ISBLANK(Design!$B$33),Design!$B$32,Design!$B$33)*1000000/2+B66/(Constants!$C$27*1000000000)*IF(ISBLANK(Design!$B$33),Design!$B$32,Design!$B$33)*1000000/2)</f>
        <v>0.11093779427083325</v>
      </c>
      <c r="I66" s="165">
        <f t="shared" ca="1" si="13"/>
        <v>1.4120809805938375</v>
      </c>
      <c r="J66" s="165">
        <f>Constants!$D$25/1000000000*Constants!$C$24*IF(ISBLANK(Design!$B$33),Design!$B$32,Design!$B$33)*1000000</f>
        <v>1.0624999999999999E-2</v>
      </c>
      <c r="K66" s="165">
        <f t="shared" ca="1" si="22"/>
        <v>1.5596256498646708</v>
      </c>
      <c r="L66" s="165">
        <f t="shared" ca="1" si="17"/>
        <v>0.33272747149551335</v>
      </c>
      <c r="M66" s="166">
        <f ca="1">$A66+L66*Design!$B$19</f>
        <v>103.96546587524426</v>
      </c>
      <c r="N66" s="166">
        <f ca="1">K66*Design!$C$12+A66</f>
        <v>138.02727209539881</v>
      </c>
      <c r="O66" s="166">
        <f ca="1">Constants!$D$22+Constants!$D$22*Constants!$C$23/100*(N66-25)</f>
        <v>215.42181767631905</v>
      </c>
      <c r="P66" s="165">
        <f ca="1">IF(100*(Design!$C$29+D66+C66*IF(ISBLANK(Design!$B$43),Constants!$C$6,Design!$B$43)/1000*(1+Constants!$C$36/100*(N66-25)))/($B66+D66-C66*O66/1000)&gt;Design!$B$36,   (1-Constants!$D$20/1000000000*IF(ISBLANK(Design!$B$33),Design!$B$32/4,Design!$B$33/4)*1000000) * ($B66+D66-C66*O66/1000) - (D66+C66*(1+($A66-25)*Constants!$C$36/100)*IF(ISBLANK(Design!$B$43),Constants!$C$6/1000,Design!$B$43/1000)),  (1-Constants!$D$20/1000000000*IF(ISBLANK(Design!$B$33),Design!$B$32,Design!$B$33)*1000000) * ($B66+D66-C66*O66/1000) - (D66+C66*(1+($A66-25)*Constants!$C$36/100)*IF(ISBLANK(Design!$B$43),Constants!$C$6/1000,Design!$B$43/1000)))</f>
        <v>6.696407555240496</v>
      </c>
      <c r="Q66" s="115">
        <f ca="1">IF(P66&gt;Design!$C$29,Design!$C$29,P66)</f>
        <v>4.9990521327014221</v>
      </c>
      <c r="R66" s="116">
        <f>2*Design!$D$7/3</f>
        <v>2</v>
      </c>
      <c r="S66" s="116">
        <f ca="1">FORECAST(R66, OFFSET(Design!$C$15:$C$17,MATCH(R66,Design!$B$15:$B$17,1)-1,0,2), OFFSET(Design!$B$15:$B$17,MATCH(R66,Design!$B$15:$B$17,1)-1,0,2))+(AB66-25)*Design!$B$18/1000</f>
        <v>0.38648635930445741</v>
      </c>
      <c r="T66" s="182">
        <f ca="1">IF(100*(Design!$C$29+S66+R66*IF(ISBLANK(Design!$B$43),Constants!$C$6,Design!$B$43)/1000*(1+Constants!$C$36/100*(AC66-25)))/($B66+S66-R66*AD66/1000)&gt;Design!$B$36,Design!$B$37,100*(Design!$C$29+S66+R66*IF(ISBLANK(Design!$B$43),Constants!$C$6,Design!$B$43)/1000*(1+Constants!$C$36/100*(AC66-25)))/($B66+S66-R66*AD66/1000))</f>
        <v>69.328617944247952</v>
      </c>
      <c r="U66" s="117">
        <f ca="1">IF(($B66-R66*IF(ISBLANK(Design!$B$43),Constants!$C$6,Design!$B$43)/1000*(1+Constants!$C$36/100*(AC66-25))-Design!$C$29)/(IF(ISBLANK(Design!$B$42),Design!$B$40,Design!$B$42)/1000000)*T66/100/(IF(ISBLANK(Design!$B$33),Design!$B$32,Design!$B$33)*1000000)&lt;0,0,($B66-R66*IF(ISBLANK(Design!$B$43),Constants!$C$6,Design!$B$43)/1000*(1+Constants!$C$36/100*(AC66-25))-Design!$C$29)/(IF(ISBLANK(Design!$B$42),Design!$B$40,Design!$B$42)/1000000)*T66/100/(IF(ISBLANK(Design!$B$33),Design!$B$32,Design!$B$33)*1000000))</f>
        <v>0.45842236153634075</v>
      </c>
      <c r="V66" s="183">
        <f>$B66*Constants!$C$21/1000+IF(ISBLANK(Design!$B$33),Design!$B$32,Design!$B$33)*1000000*Constants!$D$25/1000000000*($B66-Constants!$C$24)</f>
        <v>2.5981874999999988E-2</v>
      </c>
      <c r="W66" s="183">
        <f>$B66*R66*($B66/(Constants!$C$26*1000000000)*IF(ISBLANK(Design!$B$33),Design!$B$32,Design!$B$33)*1000000/2+$B66/(Constants!$C$27*1000000000)*IF(ISBLANK(Design!$B$33),Design!$B$32,Design!$B$33)*1000000/2)</f>
        <v>7.3958529513888843E-2</v>
      </c>
      <c r="X66" s="183">
        <f t="shared" ca="1" si="14"/>
        <v>0.53041500327572189</v>
      </c>
      <c r="Y66" s="183">
        <f>Constants!$D$25/1000000000*Constants!$C$24*IF(ISBLANK(Design!$B$33),Design!$B$32,Design!$B$33)*1000000</f>
        <v>1.0624999999999999E-2</v>
      </c>
      <c r="Z66" s="183">
        <f t="shared" ca="1" si="23"/>
        <v>0.64098040778961074</v>
      </c>
      <c r="AA66" s="183">
        <f t="shared" ca="1" si="19"/>
        <v>0.23708141571127347</v>
      </c>
      <c r="AB66" s="184">
        <f ca="1">$A66+AA66*Design!$B$19</f>
        <v>98.513640695542591</v>
      </c>
      <c r="AC66" s="184">
        <f ca="1">Z66*Design!$C$12+$A66</f>
        <v>106.79333386484677</v>
      </c>
      <c r="AD66" s="184">
        <f ca="1">Constants!$D$22+Constants!$D$22*Constants!$C$23/100*(AC66-25)</f>
        <v>190.43466709187743</v>
      </c>
      <c r="AE66" s="183">
        <f ca="1">IF(100*(Design!$C$29+S66+R66*IF(ISBLANK(Design!$B$43),Constants!$C$6,Design!$B$43)/1000*(1+Constants!$C$36/100*(AC66-25)))/($B66+S66-R66*AD66/1000)&gt;Design!$B$36,   (1-Constants!$D$20/1000000000*IF(ISBLANK(Design!$B$33),Design!$B$32/4,Design!$B$33/4)*1000000) * ($B66+S66-R66*AD66/1000) - (S66+R66*(1+($A66-25)*Constants!$C$36/100)*IF(ISBLANK(Design!$B$43),Constants!$C$6/1000,Design!$B$43/1000)),  (1-Constants!$D$20/1000000000*IF(ISBLANK(Design!$B$33),Design!$B$32,Design!$B$33)*1000000) * ($B66+S66-R66*AD66/1000) - (S66+R66*(1+($A66-25)*Constants!$C$36/100)*IF(ISBLANK(Design!$B$43),Constants!$C$6/1000,Design!$B$43/1000)))</f>
        <v>6.9976525751783241</v>
      </c>
      <c r="AF66" s="117">
        <f ca="1">IF(AE66&gt;Design!$C$29,Design!$C$29,AE66)</f>
        <v>4.9990521327014221</v>
      </c>
      <c r="AG66" s="118">
        <f>Design!$D$7/3</f>
        <v>1</v>
      </c>
      <c r="AH66" s="118">
        <f ca="1">FORECAST(AG66, OFFSET(Design!$C$15:$C$17,MATCH(AG66,Design!$B$15:$B$17,1)-1,0,2), OFFSET(Design!$B$15:$B$17,MATCH(AG66,Design!$B$15:$B$17,1)-1,0,2))+(AQ66-25)*Design!$B$18/1000</f>
        <v>0.31620782106680717</v>
      </c>
      <c r="AI66" s="194">
        <f ca="1">IF(100*(Design!$C$29+AH66+AG66*IF(ISBLANK(Design!$B$43),Constants!$C$6,Design!$B$43)/1000*(1+Constants!$C$36/100*(AR66-25)))/($B66+AH66-AG66*AS66/1000)&gt;Design!$B$36,Design!$B$37,100*(Design!$C$29+AH66+AG66*IF(ISBLANK(Design!$B$43),Constants!$C$6,Design!$B$43)/1000*(1+Constants!$C$36/100*(AR66-25)))/($B66+AH66-AG66*AS66/1000))</f>
        <v>66.630866564862487</v>
      </c>
      <c r="AJ66" s="119">
        <f ca="1">IF(($B66-AG66*IF(ISBLANK(Design!$B$43),Constants!$C$6,Design!$B$43)/1000*(1+Constants!$C$36/100*(AR66-25))-Design!$C$29)/(IF(ISBLANK(Design!$B$42),Design!$B$40,Design!$B$42)/1000000)*AI66/100/(IF(ISBLANK(Design!$B$33),Design!$B$32,Design!$B$33)*1000000)&lt;0,0,($B66-AG66*IF(ISBLANK(Design!$B$43),Constants!$C$6,Design!$B$43)/1000*(1+Constants!$C$36/100*(AR66-25))-Design!$C$29)/(IF(ISBLANK(Design!$B$42),Design!$B$40,Design!$B$42)/1000000)*AI66/100/(IF(ISBLANK(Design!$B$33),Design!$B$32,Design!$B$33)*1000000))</f>
        <v>0.44924520605922436</v>
      </c>
      <c r="AK66" s="195">
        <f>$B66*Constants!$C$21/1000+IF(ISBLANK(Design!$B$33),Design!$B$32,Design!$B$33)*1000000*Constants!$D$25/1000000000*($B66-Constants!$C$24)</f>
        <v>2.5981874999999988E-2</v>
      </c>
      <c r="AL66" s="195">
        <f>$B66*AG66*($B66/(Constants!$C$26*1000000000)*IF(ISBLANK(Design!$B$33),Design!$B$32,Design!$B$33)*1000000/2+$B66/(Constants!$C$27*1000000000)*IF(ISBLANK(Design!$B$33),Design!$B$32,Design!$B$33)*1000000/2)</f>
        <v>3.6979264756944422E-2</v>
      </c>
      <c r="AM66" s="195">
        <f t="shared" ca="1" si="15"/>
        <v>0.12079216642652527</v>
      </c>
      <c r="AN66" s="195">
        <f>Constants!$D$25/1000000000*Constants!$C$24*IF(ISBLANK(Design!$B$33),Design!$B$32,Design!$B$33)*1000000</f>
        <v>1.0624999999999999E-2</v>
      </c>
      <c r="AO66" s="195">
        <f t="shared" ca="1" si="24"/>
        <v>0.19437830618346968</v>
      </c>
      <c r="AP66" s="195">
        <f t="shared" ca="1" si="21"/>
        <v>0.10551580974412374</v>
      </c>
      <c r="AQ66" s="196">
        <f ca="1">$A66+AP66*Design!$B$19</f>
        <v>91.014401155415058</v>
      </c>
      <c r="AR66" s="196">
        <f ca="1">AO66*Design!$C$12+$A66</f>
        <v>91.608862410237975</v>
      </c>
      <c r="AS66" s="196">
        <f ca="1">Constants!$D$22+Constants!$D$22*Constants!$C$23/100*(AR66-25)</f>
        <v>178.28708992819037</v>
      </c>
      <c r="AT66" s="195">
        <f ca="1">IF(100*(Design!$C$29+AH66+AG66*IF(ISBLANK(Design!$B$43),Constants!$C$6,Design!$B$43)/1000*(1+Constants!$C$36/100*(AR66-25)))/($B66+AH66-AG66*AS66/1000)&gt;Design!$B$36,   (1-Constants!$D$20/1000000000*IF(ISBLANK(Design!$B$33),Design!$B$32/4,Design!$B$33/4)*1000000) * ($B66+AH66-AG66*AS66/1000) - (AH66+AG66*(1+($A66-25)*Constants!$C$36/100)*IF(ISBLANK(Design!$B$43),Constants!$C$6/1000,Design!$B$43/1000)),  (1-Constants!$D$20/1000000000*IF(ISBLANK(Design!$B$33),Design!$B$32,Design!$B$33)*1000000) * ($B66+AH66-AG66*AS66/1000) - (AH66+AG66*(1+($A66-25)*Constants!$C$36/100)*IF(ISBLANK(Design!$B$43),Constants!$C$6/1000,Design!$B$43/1000)))</f>
        <v>7.2423570396763992</v>
      </c>
      <c r="AU66" s="119">
        <f ca="1">IF(AT66&gt;Design!$C$29,Design!$C$29,AT66)</f>
        <v>4.9990521327014221</v>
      </c>
    </row>
    <row r="67" spans="1:47" ht="12.75" customHeight="1" x14ac:dyDescent="0.25">
      <c r="A67" s="112">
        <f>Design!$D$13</f>
        <v>85</v>
      </c>
      <c r="B67" s="113">
        <f t="shared" si="12"/>
        <v>7.6999999999999975</v>
      </c>
      <c r="C67" s="114">
        <f>Design!$D$7</f>
        <v>3</v>
      </c>
      <c r="D67" s="114">
        <f ca="1">FORECAST(C67, OFFSET(Design!$C$15:$C$17,MATCH(C67,Design!$B$15:$B$17,1)-1,0,2), OFFSET(Design!$B$15:$B$17,MATCH(C67,Design!$B$15:$B$17,1)-1,0,2))+(M67-25)*Design!$B$18/1000</f>
        <v>0.40746120682152898</v>
      </c>
      <c r="E67" s="173">
        <f ca="1">IF(100*(Design!$C$29+D67+C67*IF(ISBLANK(Design!$B$43),Constants!$C$6,Design!$B$43)/1000*(1+Constants!$C$36/100*(N67-25)))/($B67+D67-C67*O67/1000)&gt;Design!$B$36,Design!$B$37,100*(Design!$C$29+D67+C67*IF(ISBLANK(Design!$B$43),Constants!$C$6,Design!$B$43)/1000*(1+Constants!$C$36/100*(N67-25)))/($B67+D67-C67*O67/1000))</f>
        <v>74.828022824688844</v>
      </c>
      <c r="F67" s="115">
        <f ca="1">IF(($B67-C67*IF(ISBLANK(Design!$B$43),Constants!$C$6,Design!$B$43)/1000*(1+Constants!$C$36/100*(N67-25))-Design!$C$29)/(IF(ISBLANK(Design!$B$42),Design!$B$40,Design!$B$42)/1000000)*E67/100/(IF(ISBLANK(Design!$B$33),Design!$B$32,Design!$B$33)*1000000)&lt;0,0,($B67-C67*IF(ISBLANK(Design!$B$43),Constants!$C$6,Design!$B$43)/1000*(1+Constants!$C$36/100*(N67-25))-Design!$C$29)/(IF(ISBLANK(Design!$B$42),Design!$B$40,Design!$B$42)/1000000)*E67/100/(IF(ISBLANK(Design!$B$33),Design!$B$32,Design!$B$33)*1000000))</f>
        <v>0.44491309488793823</v>
      </c>
      <c r="G67" s="165">
        <f>B67*Constants!$C$21/1000+IF(ISBLANK(Design!$B$33),Design!$B$32,Design!$B$33)*1000000*Constants!$D$25/1000000000*(B67-Constants!$C$24)</f>
        <v>2.4987499999999989E-2</v>
      </c>
      <c r="H67" s="165">
        <f>B67*C67*(B67/(Constants!$C$26*1000000000)*IF(ISBLANK(Design!$B$33),Design!$B$32,Design!$B$33)*1000000/2+B67/(Constants!$C$27*1000000000)*IF(ISBLANK(Design!$B$33),Design!$B$32,Design!$B$33)*1000000/2)</f>
        <v>0.10499270833333328</v>
      </c>
      <c r="I67" s="165">
        <f t="shared" ca="1" si="13"/>
        <v>1.4611541716830911</v>
      </c>
      <c r="J67" s="165">
        <f>Constants!$D$25/1000000000*Constants!$C$24*IF(ISBLANK(Design!$B$33),Design!$B$32,Design!$B$33)*1000000</f>
        <v>1.0624999999999999E-2</v>
      </c>
      <c r="K67" s="165">
        <f t="shared" ca="1" si="22"/>
        <v>1.6017593800164245</v>
      </c>
      <c r="L67" s="165">
        <f t="shared" ca="1" si="17"/>
        <v>0.30769812593808799</v>
      </c>
      <c r="M67" s="166">
        <f ca="1">$A67+L67*Design!$B$19</f>
        <v>102.53879317847101</v>
      </c>
      <c r="N67" s="166">
        <f ca="1">K67*Design!$C$12+A67</f>
        <v>139.45981892055843</v>
      </c>
      <c r="O67" s="166">
        <f ca="1">Constants!$D$22+Constants!$D$22*Constants!$C$23/100*(N67-25)</f>
        <v>216.56785513644675</v>
      </c>
      <c r="P67" s="165">
        <f ca="1">IF(100*(Design!$C$29+D67+C67*IF(ISBLANK(Design!$B$43),Constants!$C$6,Design!$B$43)/1000*(1+Constants!$C$36/100*(N67-25)))/($B67+D67-C67*O67/1000)&gt;Design!$B$36,   (1-Constants!$D$20/1000000000*IF(ISBLANK(Design!$B$33),Design!$B$32/4,Design!$B$33/4)*1000000) * ($B67+D67-C67*O67/1000) - (D67+C67*(1+($A67-25)*Constants!$C$36/100)*IF(ISBLANK(Design!$B$43),Constants!$C$6/1000,Design!$B$43/1000)),  (1-Constants!$D$20/1000000000*IF(ISBLANK(Design!$B$33),Design!$B$32,Design!$B$33)*1000000) * ($B67+D67-C67*O67/1000) - (D67+C67*(1+($A67-25)*Constants!$C$36/100)*IF(ISBLANK(Design!$B$43),Constants!$C$6/1000,Design!$B$43/1000)))</f>
        <v>6.4899593249026335</v>
      </c>
      <c r="Q67" s="115">
        <f ca="1">IF(P67&gt;Design!$C$29,Design!$C$29,P67)</f>
        <v>4.9990521327014221</v>
      </c>
      <c r="R67" s="116">
        <f>2*Design!$D$7/3</f>
        <v>2</v>
      </c>
      <c r="S67" s="116">
        <f ca="1">FORECAST(R67, OFFSET(Design!$C$15:$C$17,MATCH(R67,Design!$B$15:$B$17,1)-1,0,2), OFFSET(Design!$B$15:$B$17,MATCH(R67,Design!$B$15:$B$17,1)-1,0,2))+(AB67-25)*Design!$B$18/1000</f>
        <v>0.38731580821493472</v>
      </c>
      <c r="T67" s="182">
        <f ca="1">IF(100*(Design!$C$29+S67+R67*IF(ISBLANK(Design!$B$43),Constants!$C$6,Design!$B$43)/1000*(1+Constants!$C$36/100*(AC67-25)))/($B67+S67-R67*AD67/1000)&gt;Design!$B$36,Design!$B$37,100*(Design!$C$29+S67+R67*IF(ISBLANK(Design!$B$43),Constants!$C$6,Design!$B$43)/1000*(1+Constants!$C$36/100*(AC67-25)))/($B67+S67-R67*AD67/1000))</f>
        <v>71.272837859970224</v>
      </c>
      <c r="U67" s="117">
        <f ca="1">IF(($B67-R67*IF(ISBLANK(Design!$B$43),Constants!$C$6,Design!$B$43)/1000*(1+Constants!$C$36/100*(AC67-25))-Design!$C$29)/(IF(ISBLANK(Design!$B$42),Design!$B$40,Design!$B$42)/1000000)*T67/100/(IF(ISBLANK(Design!$B$33),Design!$B$32,Design!$B$33)*1000000)&lt;0,0,($B67-R67*IF(ISBLANK(Design!$B$43),Constants!$C$6,Design!$B$43)/1000*(1+Constants!$C$36/100*(AC67-25))-Design!$C$29)/(IF(ISBLANK(Design!$B$42),Design!$B$40,Design!$B$42)/1000000)*T67/100/(IF(ISBLANK(Design!$B$33),Design!$B$32,Design!$B$33)*1000000))</f>
        <v>0.43520365446411707</v>
      </c>
      <c r="V67" s="183">
        <f>$B67*Constants!$C$21/1000+IF(ISBLANK(Design!$B$33),Design!$B$32,Design!$B$33)*1000000*Constants!$D$25/1000000000*($B67-Constants!$C$24)</f>
        <v>2.4987499999999989E-2</v>
      </c>
      <c r="W67" s="183">
        <f>$B67*R67*($B67/(Constants!$C$26*1000000000)*IF(ISBLANK(Design!$B$33),Design!$B$32,Design!$B$33)*1000000/2+$B67/(Constants!$C$27*1000000000)*IF(ISBLANK(Design!$B$33),Design!$B$32,Design!$B$33)*1000000/2)</f>
        <v>6.999513888888885E-2</v>
      </c>
      <c r="X67" s="183">
        <f t="shared" ca="1" si="14"/>
        <v>0.54587244275782054</v>
      </c>
      <c r="Y67" s="183">
        <f>Constants!$D$25/1000000000*Constants!$C$24*IF(ISBLANK(Design!$B$33),Design!$B$32,Design!$B$33)*1000000</f>
        <v>1.0624999999999999E-2</v>
      </c>
      <c r="Z67" s="183">
        <f t="shared" ca="1" si="23"/>
        <v>0.65148008164670934</v>
      </c>
      <c r="AA67" s="183">
        <f t="shared" ca="1" si="19"/>
        <v>0.22252968043974208</v>
      </c>
      <c r="AB67" s="184">
        <f ca="1">$A67+AA67*Design!$B$19</f>
        <v>97.684191785065295</v>
      </c>
      <c r="AC67" s="184">
        <f ca="1">Z67*Design!$C$12+$A67</f>
        <v>107.15032277598812</v>
      </c>
      <c r="AD67" s="184">
        <f ca="1">Constants!$D$22+Constants!$D$22*Constants!$C$23/100*(AC67-25)</f>
        <v>190.7202582207905</v>
      </c>
      <c r="AE67" s="183">
        <f ca="1">IF(100*(Design!$C$29+S67+R67*IF(ISBLANK(Design!$B$43),Constants!$C$6,Design!$B$43)/1000*(1+Constants!$C$36/100*(AC67-25)))/($B67+S67-R67*AD67/1000)&gt;Design!$B$36,   (1-Constants!$D$20/1000000000*IF(ISBLANK(Design!$B$33),Design!$B$32/4,Design!$B$33/4)*1000000) * ($B67+S67-R67*AD67/1000) - (S67+R67*(1+($A67-25)*Constants!$C$36/100)*IF(ISBLANK(Design!$B$43),Constants!$C$6/1000,Design!$B$43/1000)),  (1-Constants!$D$20/1000000000*IF(ISBLANK(Design!$B$33),Design!$B$32,Design!$B$33)*1000000) * ($B67+S67-R67*AD67/1000) - (S67+R67*(1+($A67-25)*Constants!$C$36/100)*IF(ISBLANK(Design!$B$43),Constants!$C$6/1000,Design!$B$43/1000)))</f>
        <v>6.7939458736879388</v>
      </c>
      <c r="AF67" s="117">
        <f ca="1">IF(AE67&gt;Design!$C$29,Design!$C$29,AE67)</f>
        <v>4.9990521327014221</v>
      </c>
      <c r="AG67" s="118">
        <f>Design!$D$7/3</f>
        <v>1</v>
      </c>
      <c r="AH67" s="118">
        <f ca="1">FORECAST(AG67, OFFSET(Design!$C$15:$C$17,MATCH(AG67,Design!$B$15:$B$17,1)-1,0,2), OFFSET(Design!$B$15:$B$17,MATCH(AG67,Design!$B$15:$B$17,1)-1,0,2))+(AQ67-25)*Design!$B$18/1000</f>
        <v>0.31653166978185665</v>
      </c>
      <c r="AI67" s="194">
        <f ca="1">IF(100*(Design!$C$29+AH67+AG67*IF(ISBLANK(Design!$B$43),Constants!$C$6,Design!$B$43)/1000*(1+Constants!$C$36/100*(AR67-25)))/($B67+AH67-AG67*AS67/1000)&gt;Design!$B$36,Design!$B$37,100*(Design!$C$29+AH67+AG67*IF(ISBLANK(Design!$B$43),Constants!$C$6,Design!$B$43)/1000*(1+Constants!$C$36/100*(AR67-25)))/($B67+AH67-AG67*AS67/1000))</f>
        <v>68.459947970277298</v>
      </c>
      <c r="AJ67" s="119">
        <f ca="1">IF(($B67-AG67*IF(ISBLANK(Design!$B$43),Constants!$C$6,Design!$B$43)/1000*(1+Constants!$C$36/100*(AR67-25))-Design!$C$29)/(IF(ISBLANK(Design!$B$42),Design!$B$40,Design!$B$42)/1000000)*AI67/100/(IF(ISBLANK(Design!$B$33),Design!$B$32,Design!$B$33)*1000000)&lt;0,0,($B67-AG67*IF(ISBLANK(Design!$B$43),Constants!$C$6,Design!$B$43)/1000*(1+Constants!$C$36/100*(AR67-25))-Design!$C$29)/(IF(ISBLANK(Design!$B$42),Design!$B$40,Design!$B$42)/1000000)*AI67/100/(IF(ISBLANK(Design!$B$33),Design!$B$32,Design!$B$33)*1000000))</f>
        <v>0.42694461593205302</v>
      </c>
      <c r="AK67" s="195">
        <f>$B67*Constants!$C$21/1000+IF(ISBLANK(Design!$B$33),Design!$B$32,Design!$B$33)*1000000*Constants!$D$25/1000000000*($B67-Constants!$C$24)</f>
        <v>2.4987499999999989E-2</v>
      </c>
      <c r="AL67" s="195">
        <f>$B67*AG67*($B67/(Constants!$C$26*1000000000)*IF(ISBLANK(Design!$B$33),Design!$B$32,Design!$B$33)*1000000/2+$B67/(Constants!$C$27*1000000000)*IF(ISBLANK(Design!$B$33),Design!$B$32,Design!$B$33)*1000000/2)</f>
        <v>3.4997569444444425E-2</v>
      </c>
      <c r="AM67" s="195">
        <f t="shared" ca="1" si="15"/>
        <v>0.12391200333611764</v>
      </c>
      <c r="AN67" s="195">
        <f>Constants!$D$25/1000000000*Constants!$C$24*IF(ISBLANK(Design!$B$33),Design!$B$32,Design!$B$33)*1000000</f>
        <v>1.0624999999999999E-2</v>
      </c>
      <c r="AO67" s="195">
        <f t="shared" ca="1" si="24"/>
        <v>0.19452207278056205</v>
      </c>
      <c r="AP67" s="195">
        <f t="shared" ca="1" si="21"/>
        <v>9.9834253339747631E-2</v>
      </c>
      <c r="AQ67" s="196">
        <f ca="1">$A67+AP67*Design!$B$19</f>
        <v>90.690552440365622</v>
      </c>
      <c r="AR67" s="196">
        <f ca="1">AO67*Design!$C$12+$A67</f>
        <v>91.613750474539103</v>
      </c>
      <c r="AS67" s="196">
        <f ca="1">Constants!$D$22+Constants!$D$22*Constants!$C$23/100*(AR67-25)</f>
        <v>178.29100037963127</v>
      </c>
      <c r="AT67" s="195">
        <f ca="1">IF(100*(Design!$C$29+AH67+AG67*IF(ISBLANK(Design!$B$43),Constants!$C$6,Design!$B$43)/1000*(1+Constants!$C$36/100*(AR67-25)))/($B67+AH67-AG67*AS67/1000)&gt;Design!$B$36,   (1-Constants!$D$20/1000000000*IF(ISBLANK(Design!$B$33),Design!$B$32/4,Design!$B$33/4)*1000000) * ($B67+AH67-AG67*AS67/1000) - (AH67+AG67*(1+($A67-25)*Constants!$C$36/100)*IF(ISBLANK(Design!$B$43),Constants!$C$6/1000,Design!$B$43/1000)),  (1-Constants!$D$20/1000000000*IF(ISBLANK(Design!$B$33),Design!$B$32,Design!$B$33)*1000000) * ($B67+AH67-AG67*AS67/1000) - (AH67+AG67*(1+($A67-25)*Constants!$C$36/100)*IF(ISBLANK(Design!$B$43),Constants!$C$6/1000,Design!$B$43/1000)))</f>
        <v>7.0392142026358933</v>
      </c>
      <c r="AU67" s="119">
        <f ca="1">IF(AT67&gt;Design!$C$29,Design!$C$29,AT67)</f>
        <v>4.9990521327014221</v>
      </c>
    </row>
    <row r="68" spans="1:47" ht="12.75" customHeight="1" x14ac:dyDescent="0.25">
      <c r="A68" s="112">
        <f>Design!$D$13</f>
        <v>85</v>
      </c>
      <c r="B68" s="113">
        <f t="shared" si="12"/>
        <v>7.4849999999999977</v>
      </c>
      <c r="C68" s="114">
        <f>Design!$D$7</f>
        <v>3</v>
      </c>
      <c r="D68" s="114">
        <f ca="1">FORECAST(C68, OFFSET(Design!$C$15:$C$17,MATCH(C68,Design!$B$15:$B$17,1)-1,0,2), OFFSET(Design!$B$15:$B$17,MATCH(C68,Design!$B$15:$B$17,1)-1,0,2))+(M68-25)*Design!$B$18/1000</f>
        <v>0.40898748825775399</v>
      </c>
      <c r="E68" s="173">
        <f ca="1">IF(100*(Design!$C$29+D68+C68*IF(ISBLANK(Design!$B$43),Constants!$C$6,Design!$B$43)/1000*(1+Constants!$C$36/100*(N68-25)))/($B68+D68-C68*O68/1000)&gt;Design!$B$36,Design!$B$37,100*(Design!$C$29+D68+C68*IF(ISBLANK(Design!$B$43),Constants!$C$6,Design!$B$43)/1000*(1+Constants!$C$36/100*(N68-25)))/($B68+D68-C68*O68/1000))</f>
        <v>77.10433149331854</v>
      </c>
      <c r="F68" s="115">
        <f ca="1">IF(($B68-C68*IF(ISBLANK(Design!$B$43),Constants!$C$6,Design!$B$43)/1000*(1+Constants!$C$36/100*(N68-25))-Design!$C$29)/(IF(ISBLANK(Design!$B$42),Design!$B$40,Design!$B$42)/1000000)*E68/100/(IF(ISBLANK(Design!$B$33),Design!$B$32,Design!$B$33)*1000000)&lt;0,0,($B68-C68*IF(ISBLANK(Design!$B$43),Constants!$C$6,Design!$B$43)/1000*(1+Constants!$C$36/100*(N68-25))-Design!$C$29)/(IF(ISBLANK(Design!$B$42),Design!$B$40,Design!$B$42)/1000000)*E68/100/(IF(ISBLANK(Design!$B$33),Design!$B$32,Design!$B$33)*1000000))</f>
        <v>0.41930783321928761</v>
      </c>
      <c r="G68" s="165">
        <f>B68*Constants!$C$21/1000+IF(ISBLANK(Design!$B$33),Design!$B$32,Design!$B$33)*1000000*Constants!$D$25/1000000000*(B68-Constants!$C$24)</f>
        <v>2.399312499999999E-2</v>
      </c>
      <c r="H68" s="165">
        <f>B68*C68*(B68/(Constants!$C$26*1000000000)*IF(ISBLANK(Design!$B$33),Design!$B$32,Design!$B$33)*1000000/2+B68/(Constants!$C$27*1000000000)*IF(ISBLANK(Design!$B$33),Design!$B$32,Design!$B$33)*1000000/2)</f>
        <v>9.9211335937499923E-2</v>
      </c>
      <c r="I68" s="165">
        <f t="shared" ca="1" si="13"/>
        <v>1.5140065235580351</v>
      </c>
      <c r="J68" s="165">
        <f>Constants!$D$25/1000000000*Constants!$C$24*IF(ISBLANK(Design!$B$33),Design!$B$32,Design!$B$33)*1000000</f>
        <v>1.0624999999999999E-2</v>
      </c>
      <c r="K68" s="165">
        <f t="shared" ca="1" si="22"/>
        <v>1.647835984495535</v>
      </c>
      <c r="L68" s="165">
        <f t="shared" ca="1" si="17"/>
        <v>0.28092125863589429</v>
      </c>
      <c r="M68" s="166">
        <f ca="1">$A68+L68*Design!$B$19</f>
        <v>101.01251174224598</v>
      </c>
      <c r="N68" s="166">
        <f ca="1">K68*Design!$C$12+A68</f>
        <v>141.02642347284819</v>
      </c>
      <c r="O68" s="166">
        <f ca="1">Constants!$D$22+Constants!$D$22*Constants!$C$23/100*(N68-25)</f>
        <v>217.82113877827857</v>
      </c>
      <c r="P68" s="165">
        <f ca="1">IF(100*(Design!$C$29+D68+C68*IF(ISBLANK(Design!$B$43),Constants!$C$6,Design!$B$43)/1000*(1+Constants!$C$36/100*(N68-25)))/($B68+D68-C68*O68/1000)&gt;Design!$B$36,   (1-Constants!$D$20/1000000000*IF(ISBLANK(Design!$B$33),Design!$B$32/4,Design!$B$33/4)*1000000) * ($B68+D68-C68*O68/1000) - (D68+C68*(1+($A68-25)*Constants!$C$36/100)*IF(ISBLANK(Design!$B$43),Constants!$C$6/1000,Design!$B$43/1000)),  (1-Constants!$D$20/1000000000*IF(ISBLANK(Design!$B$33),Design!$B$32,Design!$B$33)*1000000) * ($B68+D68-C68*O68/1000) - (D68+C68*(1+($A68-25)*Constants!$C$36/100)*IF(ISBLANK(Design!$B$43),Constants!$C$6/1000,Design!$B$43/1000)))</f>
        <v>6.2832016286914207</v>
      </c>
      <c r="Q68" s="115">
        <f ca="1">IF(P68&gt;Design!$C$29,Design!$C$29,P68)</f>
        <v>4.9990521327014221</v>
      </c>
      <c r="R68" s="116">
        <f>2*Design!$D$7/3</f>
        <v>2</v>
      </c>
      <c r="S68" s="116">
        <f ca="1">FORECAST(R68, OFFSET(Design!$C$15:$C$17,MATCH(R68,Design!$B$15:$B$17,1)-1,0,2), OFFSET(Design!$B$15:$B$17,MATCH(R68,Design!$B$15:$B$17,1)-1,0,2))+(AB68-25)*Design!$B$18/1000</f>
        <v>0.38819708731223035</v>
      </c>
      <c r="T68" s="182">
        <f ca="1">IF(100*(Design!$C$29+S68+R68*IF(ISBLANK(Design!$B$43),Constants!$C$6,Design!$B$43)/1000*(1+Constants!$C$36/100*(AC68-25)))/($B68+S68-R68*AD68/1000)&gt;Design!$B$36,Design!$B$37,100*(Design!$C$29+S68+R68*IF(ISBLANK(Design!$B$43),Constants!$C$6,Design!$B$43)/1000*(1+Constants!$C$36/100*(AC68-25)))/($B68+S68-R68*AD68/1000))</f>
        <v>73.329443932878419</v>
      </c>
      <c r="U68" s="117">
        <f ca="1">IF(($B68-R68*IF(ISBLANK(Design!$B$43),Constants!$C$6,Design!$B$43)/1000*(1+Constants!$C$36/100*(AC68-25))-Design!$C$29)/(IF(ISBLANK(Design!$B$42),Design!$B$40,Design!$B$42)/1000000)*T68/100/(IF(ISBLANK(Design!$B$33),Design!$B$32,Design!$B$33)*1000000)&lt;0,0,($B68-R68*IF(ISBLANK(Design!$B$43),Constants!$C$6,Design!$B$43)/1000*(1+Constants!$C$36/100*(AC68-25))-Design!$C$29)/(IF(ISBLANK(Design!$B$42),Design!$B$40,Design!$B$42)/1000000)*T68/100/(IF(ISBLANK(Design!$B$33),Design!$B$32,Design!$B$33)*1000000))</f>
        <v>0.41064418379337625</v>
      </c>
      <c r="V68" s="183">
        <f>$B68*Constants!$C$21/1000+IF(ISBLANK(Design!$B$33),Design!$B$32,Design!$B$33)*1000000*Constants!$D$25/1000000000*($B68-Constants!$C$24)</f>
        <v>2.399312499999999E-2</v>
      </c>
      <c r="W68" s="183">
        <f>$B68*R68*($B68/(Constants!$C$26*1000000000)*IF(ISBLANK(Design!$B$33),Design!$B$32,Design!$B$33)*1000000/2+$B68/(Constants!$C$27*1000000000)*IF(ISBLANK(Design!$B$33),Design!$B$32,Design!$B$33)*1000000/2)</f>
        <v>6.6140890624999948E-2</v>
      </c>
      <c r="X68" s="183">
        <f t="shared" ca="1" si="14"/>
        <v>0.56230950525382772</v>
      </c>
      <c r="Y68" s="183">
        <f>Constants!$D$25/1000000000*Constants!$C$24*IF(ISBLANK(Design!$B$33),Design!$B$32,Design!$B$33)*1000000</f>
        <v>1.0624999999999999E-2</v>
      </c>
      <c r="Z68" s="183">
        <f t="shared" ca="1" si="23"/>
        <v>0.66306852087882762</v>
      </c>
      <c r="AA68" s="183">
        <f t="shared" ca="1" si="19"/>
        <v>0.2070686436450826</v>
      </c>
      <c r="AB68" s="184">
        <f ca="1">$A68+AA68*Design!$B$19</f>
        <v>96.802912687769705</v>
      </c>
      <c r="AC68" s="184">
        <f ca="1">Z68*Design!$C$12+$A68</f>
        <v>107.54432970988015</v>
      </c>
      <c r="AD68" s="184">
        <f ca="1">Constants!$D$22+Constants!$D$22*Constants!$C$23/100*(AC68-25)</f>
        <v>191.0354637679041</v>
      </c>
      <c r="AE68" s="183">
        <f ca="1">IF(100*(Design!$C$29+S68+R68*IF(ISBLANK(Design!$B$43),Constants!$C$6,Design!$B$43)/1000*(1+Constants!$C$36/100*(AC68-25)))/($B68+S68-R68*AD68/1000)&gt;Design!$B$36,   (1-Constants!$D$20/1000000000*IF(ISBLANK(Design!$B$33),Design!$B$32/4,Design!$B$33/4)*1000000) * ($B68+S68-R68*AD68/1000) - (S68+R68*(1+($A68-25)*Constants!$C$36/100)*IF(ISBLANK(Design!$B$43),Constants!$C$6/1000,Design!$B$43/1000)),  (1-Constants!$D$20/1000000000*IF(ISBLANK(Design!$B$33),Design!$B$32,Design!$B$33)*1000000) * ($B68+S68-R68*AD68/1000) - (S68+R68*(1+($A68-25)*Constants!$C$36/100)*IF(ISBLANK(Design!$B$43),Constants!$C$6/1000,Design!$B$43/1000)))</f>
        <v>6.5901803521365423</v>
      </c>
      <c r="AF68" s="117">
        <f ca="1">IF(AE68&gt;Design!$C$29,Design!$C$29,AE68)</f>
        <v>4.9990521327014221</v>
      </c>
      <c r="AG68" s="118">
        <f>Design!$D$7/3</f>
        <v>1</v>
      </c>
      <c r="AH68" s="118">
        <f ca="1">FORECAST(AG68, OFFSET(Design!$C$15:$C$17,MATCH(AG68,Design!$B$15:$B$17,1)-1,0,2), OFFSET(Design!$B$15:$B$17,MATCH(AG68,Design!$B$15:$B$17,1)-1,0,2))+(AQ68-25)*Design!$B$18/1000</f>
        <v>0.31687450542558171</v>
      </c>
      <c r="AI68" s="194">
        <f ca="1">IF(100*(Design!$C$29+AH68+AG68*IF(ISBLANK(Design!$B$43),Constants!$C$6,Design!$B$43)/1000*(1+Constants!$C$36/100*(AR68-25)))/($B68+AH68-AG68*AS68/1000)&gt;Design!$B$36,Design!$B$37,100*(Design!$C$29+AH68+AG68*IF(ISBLANK(Design!$B$43),Constants!$C$6,Design!$B$43)/1000*(1+Constants!$C$36/100*(AR68-25)))/($B68+AH68-AG68*AS68/1000))</f>
        <v>70.392192708115715</v>
      </c>
      <c r="AJ68" s="119">
        <f ca="1">IF(($B68-AG68*IF(ISBLANK(Design!$B$43),Constants!$C$6,Design!$B$43)/1000*(1+Constants!$C$36/100*(AR68-25))-Design!$C$29)/(IF(ISBLANK(Design!$B$42),Design!$B$40,Design!$B$42)/1000000)*AI68/100/(IF(ISBLANK(Design!$B$33),Design!$B$32,Design!$B$33)*1000000)&lt;0,0,($B68-AG68*IF(ISBLANK(Design!$B$43),Constants!$C$6,Design!$B$43)/1000*(1+Constants!$C$36/100*(AR68-25))-Design!$C$29)/(IF(ISBLANK(Design!$B$42),Design!$B$40,Design!$B$42)/1000000)*AI68/100/(IF(ISBLANK(Design!$B$33),Design!$B$32,Design!$B$33)*1000000))</f>
        <v>0.40338439190727693</v>
      </c>
      <c r="AK68" s="195">
        <f>$B68*Constants!$C$21/1000+IF(ISBLANK(Design!$B$33),Design!$B$32,Design!$B$33)*1000000*Constants!$D$25/1000000000*($B68-Constants!$C$24)</f>
        <v>2.399312499999999E-2</v>
      </c>
      <c r="AL68" s="195">
        <f>$B68*AG68*($B68/(Constants!$C$26*1000000000)*IF(ISBLANK(Design!$B$33),Design!$B$32,Design!$B$33)*1000000/2+$B68/(Constants!$C$27*1000000000)*IF(ISBLANK(Design!$B$33),Design!$B$32,Design!$B$33)*1000000/2)</f>
        <v>3.3070445312499974E-2</v>
      </c>
      <c r="AM68" s="195">
        <f t="shared" ca="1" si="15"/>
        <v>0.12721210089579843</v>
      </c>
      <c r="AN68" s="195">
        <f>Constants!$D$25/1000000000*Constants!$C$24*IF(ISBLANK(Design!$B$33),Design!$B$32,Design!$B$33)*1000000</f>
        <v>1.0624999999999999E-2</v>
      </c>
      <c r="AO68" s="195">
        <f t="shared" ca="1" si="24"/>
        <v>0.1949006712082984</v>
      </c>
      <c r="AP68" s="195">
        <f t="shared" ca="1" si="21"/>
        <v>9.3819592923517631E-2</v>
      </c>
      <c r="AQ68" s="196">
        <f ca="1">$A68+AP68*Design!$B$19</f>
        <v>90.347716796640498</v>
      </c>
      <c r="AR68" s="196">
        <f ca="1">AO68*Design!$C$12+$A68</f>
        <v>91.626622821082151</v>
      </c>
      <c r="AS68" s="196">
        <f ca="1">Constants!$D$22+Constants!$D$22*Constants!$C$23/100*(AR68-25)</f>
        <v>178.30129825686572</v>
      </c>
      <c r="AT68" s="195">
        <f ca="1">IF(100*(Design!$C$29+AH68+AG68*IF(ISBLANK(Design!$B$43),Constants!$C$6,Design!$B$43)/1000*(1+Constants!$C$36/100*(AR68-25)))/($B68+AH68-AG68*AS68/1000)&gt;Design!$B$36,   (1-Constants!$D$20/1000000000*IF(ISBLANK(Design!$B$33),Design!$B$32/4,Design!$B$33/4)*1000000) * ($B68+AH68-AG68*AS68/1000) - (AH68+AG68*(1+($A68-25)*Constants!$C$36/100)*IF(ISBLANK(Design!$B$43),Constants!$C$6/1000,Design!$B$43/1000)),  (1-Constants!$D$20/1000000000*IF(ISBLANK(Design!$B$33),Design!$B$32,Design!$B$33)*1000000) * ($B68+AH68-AG68*AS68/1000) - (AH68+AG68*(1+($A68-25)*Constants!$C$36/100)*IF(ISBLANK(Design!$B$43),Constants!$C$6/1000,Design!$B$43/1000)))</f>
        <v>6.8360642820470598</v>
      </c>
      <c r="AU68" s="119">
        <f ca="1">IF(AT68&gt;Design!$C$29,Design!$C$29,AT68)</f>
        <v>4.9990521327014221</v>
      </c>
    </row>
    <row r="69" spans="1:47" ht="12.75" customHeight="1" x14ac:dyDescent="0.25">
      <c r="A69" s="112">
        <f>Design!$D$13</f>
        <v>85</v>
      </c>
      <c r="B69" s="113">
        <f t="shared" si="12"/>
        <v>7.2699999999999978</v>
      </c>
      <c r="C69" s="114">
        <f>Design!$D$7</f>
        <v>3</v>
      </c>
      <c r="D69" s="114">
        <f ca="1">FORECAST(C69, OFFSET(Design!$C$15:$C$17,MATCH(C69,Design!$B$15:$B$17,1)-1,0,2), OFFSET(Design!$B$15:$B$17,MATCH(C69,Design!$B$15:$B$17,1)-1,0,2))+(M69-25)*Design!$B$18/1000</f>
        <v>0.41062441410951378</v>
      </c>
      <c r="E69" s="173">
        <f ca="1">IF(100*(Design!$C$29+D69+C69*IF(ISBLANK(Design!$B$43),Constants!$C$6,Design!$B$43)/1000*(1+Constants!$C$36/100*(N69-25)))/($B69+D69-C69*O69/1000)&gt;Design!$B$36,Design!$B$37,100*(Design!$C$29+D69+C69*IF(ISBLANK(Design!$B$43),Constants!$C$6,Design!$B$43)/1000*(1+Constants!$C$36/100*(N69-25)))/($B69+D69-C69*O69/1000))</f>
        <v>79.526849632688325</v>
      </c>
      <c r="F69" s="115">
        <f ca="1">IF(($B69-C69*IF(ISBLANK(Design!$B$43),Constants!$C$6,Design!$B$43)/1000*(1+Constants!$C$36/100*(N69-25))-Design!$C$29)/(IF(ISBLANK(Design!$B$42),Design!$B$40,Design!$B$42)/1000000)*E69/100/(IF(ISBLANK(Design!$B$33),Design!$B$32,Design!$B$33)*1000000)&lt;0,0,($B69-C69*IF(ISBLANK(Design!$B$43),Constants!$C$6,Design!$B$43)/1000*(1+Constants!$C$36/100*(N69-25))-Design!$C$29)/(IF(ISBLANK(Design!$B$42),Design!$B$40,Design!$B$42)/1000000)*E69/100/(IF(ISBLANK(Design!$B$33),Design!$B$32,Design!$B$33)*1000000))</f>
        <v>0.39209925635081927</v>
      </c>
      <c r="G69" s="165">
        <f>B69*Constants!$C$21/1000+IF(ISBLANK(Design!$B$33),Design!$B$32,Design!$B$33)*1000000*Constants!$D$25/1000000000*(B69-Constants!$C$24)</f>
        <v>2.2998749999999988E-2</v>
      </c>
      <c r="H69" s="165">
        <f>B69*C69*(B69/(Constants!$C$26*1000000000)*IF(ISBLANK(Design!$B$33),Design!$B$32,Design!$B$33)*1000000/2+B69/(Constants!$C$27*1000000000)*IF(ISBLANK(Design!$B$33),Design!$B$32,Design!$B$33)*1000000/2)</f>
        <v>9.3593677083333285E-2</v>
      </c>
      <c r="I69" s="165">
        <f t="shared" ca="1" si="13"/>
        <v>1.5710972102072116</v>
      </c>
      <c r="J69" s="165">
        <f>Constants!$D$25/1000000000*Constants!$C$24*IF(ISBLANK(Design!$B$33),Design!$B$32,Design!$B$33)*1000000</f>
        <v>1.0624999999999999E-2</v>
      </c>
      <c r="K69" s="165">
        <f t="shared" ca="1" si="22"/>
        <v>1.6983146372905449</v>
      </c>
      <c r="L69" s="165">
        <f t="shared" ca="1" si="17"/>
        <v>0.25220326123660003</v>
      </c>
      <c r="M69" s="166">
        <f ca="1">$A69+L69*Design!$B$19</f>
        <v>99.375585890486207</v>
      </c>
      <c r="N69" s="166">
        <f ca="1">K69*Design!$C$12+A69</f>
        <v>142.74269766787853</v>
      </c>
      <c r="O69" s="166">
        <f ca="1">Constants!$D$22+Constants!$D$22*Constants!$C$23/100*(N69-25)</f>
        <v>219.19415813430282</v>
      </c>
      <c r="P69" s="165">
        <f ca="1">IF(100*(Design!$C$29+D69+C69*IF(ISBLANK(Design!$B$43),Constants!$C$6,Design!$B$43)/1000*(1+Constants!$C$36/100*(N69-25)))/($B69+D69-C69*O69/1000)&gt;Design!$B$36,   (1-Constants!$D$20/1000000000*IF(ISBLANK(Design!$B$33),Design!$B$32/4,Design!$B$33/4)*1000000) * ($B69+D69-C69*O69/1000) - (D69+C69*(1+($A69-25)*Constants!$C$36/100)*IF(ISBLANK(Design!$B$43),Constants!$C$6/1000,Design!$B$43/1000)),  (1-Constants!$D$20/1000000000*IF(ISBLANK(Design!$B$33),Design!$B$32,Design!$B$33)*1000000) * ($B69+D69-C69*O69/1000) - (D69+C69*(1+($A69-25)*Constants!$C$36/100)*IF(ISBLANK(Design!$B$43),Constants!$C$6/1000,Design!$B$43/1000)))</f>
        <v>6.0760984584282998</v>
      </c>
      <c r="Q69" s="115">
        <f ca="1">IF(P69&gt;Design!$C$29,Design!$C$29,P69)</f>
        <v>4.9990521327014221</v>
      </c>
      <c r="R69" s="116">
        <f>2*Design!$D$7/3</f>
        <v>2</v>
      </c>
      <c r="S69" s="116">
        <f ca="1">FORECAST(R69, OFFSET(Design!$C$15:$C$17,MATCH(R69,Design!$B$15:$B$17,1)-1,0,2), OFFSET(Design!$B$15:$B$17,MATCH(R69,Design!$B$15:$B$17,1)-1,0,2))+(AB69-25)*Design!$B$18/1000</f>
        <v>0.38913521472679863</v>
      </c>
      <c r="T69" s="182">
        <f ca="1">IF(100*(Design!$C$29+S69+R69*IF(ISBLANK(Design!$B$43),Constants!$C$6,Design!$B$43)/1000*(1+Constants!$C$36/100*(AC69-25)))/($B69+S69-R69*AD69/1000)&gt;Design!$B$36,Design!$B$37,100*(Design!$C$29+S69+R69*IF(ISBLANK(Design!$B$43),Constants!$C$6,Design!$B$43)/1000*(1+Constants!$C$36/100*(AC69-25)))/($B69+S69-R69*AD69/1000))</f>
        <v>75.508478706466605</v>
      </c>
      <c r="U69" s="117">
        <f ca="1">IF(($B69-R69*IF(ISBLANK(Design!$B$43),Constants!$C$6,Design!$B$43)/1000*(1+Constants!$C$36/100*(AC69-25))-Design!$C$29)/(IF(ISBLANK(Design!$B$42),Design!$B$40,Design!$B$42)/1000000)*T69/100/(IF(ISBLANK(Design!$B$33),Design!$B$32,Design!$B$33)*1000000)&lt;0,0,($B69-R69*IF(ISBLANK(Design!$B$43),Constants!$C$6,Design!$B$43)/1000*(1+Constants!$C$36/100*(AC69-25))-Design!$C$29)/(IF(ISBLANK(Design!$B$42),Design!$B$40,Design!$B$42)/1000000)*T69/100/(IF(ISBLANK(Design!$B$33),Design!$B$32,Design!$B$33)*1000000))</f>
        <v>0.38462409085280469</v>
      </c>
      <c r="V69" s="183">
        <f>$B69*Constants!$C$21/1000+IF(ISBLANK(Design!$B$33),Design!$B$32,Design!$B$33)*1000000*Constants!$D$25/1000000000*($B69-Constants!$C$24)</f>
        <v>2.2998749999999988E-2</v>
      </c>
      <c r="W69" s="183">
        <f>$B69*R69*($B69/(Constants!$C$26*1000000000)*IF(ISBLANK(Design!$B$33),Design!$B$32,Design!$B$33)*1000000/2+$B69/(Constants!$C$27*1000000000)*IF(ISBLANK(Design!$B$33),Design!$B$32,Design!$B$33)*1000000/2)</f>
        <v>6.2395784722222181E-2</v>
      </c>
      <c r="X69" s="183">
        <f t="shared" ca="1" si="14"/>
        <v>0.57982282124361784</v>
      </c>
      <c r="Y69" s="183">
        <f>Constants!$D$25/1000000000*Constants!$C$24*IF(ISBLANK(Design!$B$33),Design!$B$32,Design!$B$33)*1000000</f>
        <v>1.0624999999999999E-2</v>
      </c>
      <c r="Z69" s="183">
        <f t="shared" ca="1" si="23"/>
        <v>0.67584235596583997</v>
      </c>
      <c r="AA69" s="183">
        <f t="shared" ca="1" si="19"/>
        <v>0.19061026795090155</v>
      </c>
      <c r="AB69" s="184">
        <f ca="1">$A69+AA69*Design!$B$19</f>
        <v>95.864785273201392</v>
      </c>
      <c r="AC69" s="184">
        <f ca="1">Z69*Design!$C$12+$A69</f>
        <v>107.97864010283855</v>
      </c>
      <c r="AD69" s="184">
        <f ca="1">Constants!$D$22+Constants!$D$22*Constants!$C$23/100*(AC69-25)</f>
        <v>191.38291208227085</v>
      </c>
      <c r="AE69" s="183">
        <f ca="1">IF(100*(Design!$C$29+S69+R69*IF(ISBLANK(Design!$B$43),Constants!$C$6,Design!$B$43)/1000*(1+Constants!$C$36/100*(AC69-25)))/($B69+S69-R69*AD69/1000)&gt;Design!$B$36,   (1-Constants!$D$20/1000000000*IF(ISBLANK(Design!$B$33),Design!$B$32/4,Design!$B$33/4)*1000000) * ($B69+S69-R69*AD69/1000) - (S69+R69*(1+($A69-25)*Constants!$C$36/100)*IF(ISBLANK(Design!$B$43),Constants!$C$6/1000,Design!$B$43/1000)),  (1-Constants!$D$20/1000000000*IF(ISBLANK(Design!$B$33),Design!$B$32,Design!$B$33)*1000000) * ($B69+S69-R69*AD69/1000) - (S69+R69*(1+($A69-25)*Constants!$C$36/100)*IF(ISBLANK(Design!$B$43),Constants!$C$6/1000,Design!$B$43/1000)))</f>
        <v>6.3863507670068911</v>
      </c>
      <c r="AF69" s="117">
        <f ca="1">IF(AE69&gt;Design!$C$29,Design!$C$29,AE69)</f>
        <v>4.9990521327014221</v>
      </c>
      <c r="AG69" s="118">
        <f>Design!$D$7/3</f>
        <v>1</v>
      </c>
      <c r="AH69" s="118">
        <f ca="1">FORECAST(AG69, OFFSET(Design!$C$15:$C$17,MATCH(AG69,Design!$B$15:$B$17,1)-1,0,2), OFFSET(Design!$B$15:$B$17,MATCH(AG69,Design!$B$15:$B$17,1)-1,0,2))+(AQ69-25)*Design!$B$18/1000</f>
        <v>0.31723804612793149</v>
      </c>
      <c r="AI69" s="194">
        <f ca="1">IF(100*(Design!$C$29+AH69+AG69*IF(ISBLANK(Design!$B$43),Constants!$C$6,Design!$B$43)/1000*(1+Constants!$C$36/100*(AR69-25)))/($B69+AH69-AG69*AS69/1000)&gt;Design!$B$36,Design!$B$37,100*(Design!$C$29+AH69+AG69*IF(ISBLANK(Design!$B$43),Constants!$C$6,Design!$B$43)/1000*(1+Constants!$C$36/100*(AR69-25)))/($B69+AH69-AG69*AS69/1000))</f>
        <v>72.43657028782502</v>
      </c>
      <c r="AJ69" s="119">
        <f ca="1">IF(($B69-AG69*IF(ISBLANK(Design!$B$43),Constants!$C$6,Design!$B$43)/1000*(1+Constants!$C$36/100*(AR69-25))-Design!$C$29)/(IF(ISBLANK(Design!$B$42),Design!$B$40,Design!$B$42)/1000000)*AI69/100/(IF(ISBLANK(Design!$B$33),Design!$B$32,Design!$B$33)*1000000)&lt;0,0,($B69-AG69*IF(ISBLANK(Design!$B$43),Constants!$C$6,Design!$B$43)/1000*(1+Constants!$C$36/100*(AR69-25))-Design!$C$29)/(IF(ISBLANK(Design!$B$42),Design!$B$40,Design!$B$42)/1000000)*AI69/100/(IF(ISBLANK(Design!$B$33),Design!$B$32,Design!$B$33)*1000000))</f>
        <v>0.37845479680172645</v>
      </c>
      <c r="AK69" s="195">
        <f>$B69*Constants!$C$21/1000+IF(ISBLANK(Design!$B$33),Design!$B$32,Design!$B$33)*1000000*Constants!$D$25/1000000000*($B69-Constants!$C$24)</f>
        <v>2.2998749999999988E-2</v>
      </c>
      <c r="AL69" s="195">
        <f>$B69*AG69*($B69/(Constants!$C$26*1000000000)*IF(ISBLANK(Design!$B$33),Design!$B$32,Design!$B$33)*1000000/2+$B69/(Constants!$C$27*1000000000)*IF(ISBLANK(Design!$B$33),Design!$B$32,Design!$B$33)*1000000/2)</f>
        <v>3.119789236111109E-2</v>
      </c>
      <c r="AM69" s="195">
        <f t="shared" ca="1" si="15"/>
        <v>0.13070947043167019</v>
      </c>
      <c r="AN69" s="195">
        <f>Constants!$D$25/1000000000*Constants!$C$24*IF(ISBLANK(Design!$B$33),Design!$B$32,Design!$B$33)*1000000</f>
        <v>1.0624999999999999E-2</v>
      </c>
      <c r="AO69" s="195">
        <f t="shared" ca="1" si="24"/>
        <v>0.19553111279278126</v>
      </c>
      <c r="AP69" s="195">
        <f t="shared" ca="1" si="21"/>
        <v>8.7441685864749638E-2</v>
      </c>
      <c r="AQ69" s="196">
        <f ca="1">$A69+AP69*Design!$B$19</f>
        <v>89.984176094290731</v>
      </c>
      <c r="AR69" s="196">
        <f ca="1">AO69*Design!$C$12+$A69</f>
        <v>91.648057834954557</v>
      </c>
      <c r="AS69" s="196">
        <f ca="1">Constants!$D$22+Constants!$D$22*Constants!$C$23/100*(AR69-25)</f>
        <v>178.31844626796365</v>
      </c>
      <c r="AT69" s="195">
        <f ca="1">IF(100*(Design!$C$29+AH69+AG69*IF(ISBLANK(Design!$B$43),Constants!$C$6,Design!$B$43)/1000*(1+Constants!$C$36/100*(AR69-25)))/($B69+AH69-AG69*AS69/1000)&gt;Design!$B$36,   (1-Constants!$D$20/1000000000*IF(ISBLANK(Design!$B$33),Design!$B$32/4,Design!$B$33/4)*1000000) * ($B69+AH69-AG69*AS69/1000) - (AH69+AG69*(1+($A69-25)*Constants!$C$36/100)*IF(ISBLANK(Design!$B$43),Constants!$C$6/1000,Design!$B$43/1000)),  (1-Constants!$D$20/1000000000*IF(ISBLANK(Design!$B$33),Design!$B$32,Design!$B$33)*1000000) * ($B69+AH69-AG69*AS69/1000) - (AH69+AG69*(1+($A69-25)*Constants!$C$36/100)*IF(ISBLANK(Design!$B$43),Constants!$C$6/1000,Design!$B$43/1000)))</f>
        <v>6.6329067458397706</v>
      </c>
      <c r="AU69" s="119">
        <f ca="1">IF(AT69&gt;Design!$C$29,Design!$C$29,AT69)</f>
        <v>4.9990521327014221</v>
      </c>
    </row>
    <row r="70" spans="1:47" ht="12.75" customHeight="1" x14ac:dyDescent="0.25">
      <c r="A70" s="112">
        <f>Design!$D$13</f>
        <v>85</v>
      </c>
      <c r="B70" s="113">
        <f t="shared" si="12"/>
        <v>7.0549999999999979</v>
      </c>
      <c r="C70" s="114">
        <f>Design!$D$7</f>
        <v>3</v>
      </c>
      <c r="D70" s="114">
        <f ca="1">FORECAST(C70, OFFSET(Design!$C$15:$C$17,MATCH(C70,Design!$B$15:$B$17,1)-1,0,2), OFFSET(Design!$B$15:$B$17,MATCH(C70,Design!$B$15:$B$17,1)-1,0,2))+(M70-25)*Design!$B$18/1000</f>
        <v>0.41238475527311547</v>
      </c>
      <c r="E70" s="173">
        <f ca="1">IF(100*(Design!$C$29+D70+C70*IF(ISBLANK(Design!$B$43),Constants!$C$6,Design!$B$43)/1000*(1+Constants!$C$36/100*(N70-25)))/($B70+D70-C70*O70/1000)&gt;Design!$B$36,Design!$B$37,100*(Design!$C$29+D70+C70*IF(ISBLANK(Design!$B$43),Constants!$C$6,Design!$B$43)/1000*(1+Constants!$C$36/100*(N70-25)))/($B70+D70-C70*O70/1000))</f>
        <v>82.110550879342298</v>
      </c>
      <c r="F70" s="115">
        <f ca="1">IF(($B70-C70*IF(ISBLANK(Design!$B$43),Constants!$C$6,Design!$B$43)/1000*(1+Constants!$C$36/100*(N70-25))-Design!$C$29)/(IF(ISBLANK(Design!$B$42),Design!$B$40,Design!$B$42)/1000000)*E70/100/(IF(ISBLANK(Design!$B$33),Design!$B$32,Design!$B$33)*1000000)&lt;0,0,($B70-C70*IF(ISBLANK(Design!$B$43),Constants!$C$6,Design!$B$43)/1000*(1+Constants!$C$36/100*(N70-25))-Design!$C$29)/(IF(ISBLANK(Design!$B$42),Design!$B$40,Design!$B$42)/1000000)*E70/100/(IF(ISBLANK(Design!$B$33),Design!$B$32,Design!$B$33)*1000000))</f>
        <v>0.36312797949476955</v>
      </c>
      <c r="G70" s="165">
        <f>B70*Constants!$C$21/1000+IF(ISBLANK(Design!$B$33),Design!$B$32,Design!$B$33)*1000000*Constants!$D$25/1000000000*(B70-Constants!$C$24)</f>
        <v>2.2004374999999993E-2</v>
      </c>
      <c r="H70" s="165">
        <f>B70*C70*(B70/(Constants!$C$26*1000000000)*IF(ISBLANK(Design!$B$33),Design!$B$32,Design!$B$33)*1000000/2+B70/(Constants!$C$27*1000000000)*IF(ISBLANK(Design!$B$33),Design!$B$32,Design!$B$33)*1000000/2)</f>
        <v>8.8139731770833257E-2</v>
      </c>
      <c r="I70" s="165">
        <f t="shared" ca="1" si="13"/>
        <v>1.6329647299375267</v>
      </c>
      <c r="J70" s="165">
        <f>Constants!$D$25/1000000000*Constants!$C$24*IF(ISBLANK(Design!$B$33),Design!$B$32,Design!$B$33)*1000000</f>
        <v>1.0624999999999999E-2</v>
      </c>
      <c r="K70" s="165">
        <f t="shared" ca="1" si="22"/>
        <v>1.7537338367083601</v>
      </c>
      <c r="L70" s="165">
        <f t="shared" ca="1" si="17"/>
        <v>0.22132008292779826</v>
      </c>
      <c r="M70" s="166">
        <f ca="1">$A70+L70*Design!$B$19</f>
        <v>97.615244726884498</v>
      </c>
      <c r="N70" s="166">
        <f ca="1">K70*Design!$C$12+A70</f>
        <v>144.62695044808424</v>
      </c>
      <c r="O70" s="166">
        <f ca="1">Constants!$D$22+Constants!$D$22*Constants!$C$23/100*(N70-25)</f>
        <v>220.70156035846742</v>
      </c>
      <c r="P70" s="165">
        <f ca="1">IF(100*(Design!$C$29+D70+C70*IF(ISBLANK(Design!$B$43),Constants!$C$6,Design!$B$43)/1000*(1+Constants!$C$36/100*(N70-25)))/($B70+D70-C70*O70/1000)&gt;Design!$B$36,   (1-Constants!$D$20/1000000000*IF(ISBLANK(Design!$B$33),Design!$B$32/4,Design!$B$33/4)*1000000) * ($B70+D70-C70*O70/1000) - (D70+C70*(1+($A70-25)*Constants!$C$36/100)*IF(ISBLANK(Design!$B$43),Constants!$C$6/1000,Design!$B$43/1000)),  (1-Constants!$D$20/1000000000*IF(ISBLANK(Design!$B$33),Design!$B$32,Design!$B$33)*1000000) * ($B70+D70-C70*O70/1000) - (D70+C70*(1+($A70-25)*Constants!$C$36/100)*IF(ISBLANK(Design!$B$43),Constants!$C$6/1000,Design!$B$43/1000)))</f>
        <v>5.8686075948251712</v>
      </c>
      <c r="Q70" s="115">
        <f ca="1">IF(P70&gt;Design!$C$29,Design!$C$29,P70)</f>
        <v>4.9990521327014221</v>
      </c>
      <c r="R70" s="116">
        <f>2*Design!$D$7/3</f>
        <v>2</v>
      </c>
      <c r="S70" s="116">
        <f ca="1">FORECAST(R70, OFFSET(Design!$C$15:$C$17,MATCH(R70,Design!$B$15:$B$17,1)-1,0,2), OFFSET(Design!$B$15:$B$17,MATCH(R70,Design!$B$15:$B$17,1)-1,0,2))+(AB70-25)*Design!$B$18/1000</f>
        <v>0.3901358786817955</v>
      </c>
      <c r="T70" s="182">
        <f ca="1">IF(100*(Design!$C$29+S70+R70*IF(ISBLANK(Design!$B$43),Constants!$C$6,Design!$B$43)/1000*(1+Constants!$C$36/100*(AC70-25)))/($B70+S70-R70*AD70/1000)&gt;Design!$B$36,Design!$B$37,100*(Design!$C$29+S70+R70*IF(ISBLANK(Design!$B$43),Constants!$C$6,Design!$B$43)/1000*(1+Constants!$C$36/100*(AC70-25)))/($B70+S70-R70*AD70/1000))</f>
        <v>77.821219551349188</v>
      </c>
      <c r="U70" s="117">
        <f ca="1">IF(($B70-R70*IF(ISBLANK(Design!$B$43),Constants!$C$6,Design!$B$43)/1000*(1+Constants!$C$36/100*(AC70-25))-Design!$C$29)/(IF(ISBLANK(Design!$B$42),Design!$B$40,Design!$B$42)/1000000)*T70/100/(IF(ISBLANK(Design!$B$33),Design!$B$32,Design!$B$33)*1000000)&lt;0,0,($B70-R70*IF(ISBLANK(Design!$B$43),Constants!$C$6,Design!$B$43)/1000*(1+Constants!$C$36/100*(AC70-25))-Design!$C$29)/(IF(ISBLANK(Design!$B$42),Design!$B$40,Design!$B$42)/1000000)*T70/100/(IF(ISBLANK(Design!$B$33),Design!$B$32,Design!$B$33)*1000000))</f>
        <v>0.35700877947628268</v>
      </c>
      <c r="V70" s="183">
        <f>$B70*Constants!$C$21/1000+IF(ISBLANK(Design!$B$33),Design!$B$32,Design!$B$33)*1000000*Constants!$D$25/1000000000*($B70-Constants!$C$24)</f>
        <v>2.2004374999999993E-2</v>
      </c>
      <c r="W70" s="183">
        <f>$B70*R70*($B70/(Constants!$C$26*1000000000)*IF(ISBLANK(Design!$B$33),Design!$B$32,Design!$B$33)*1000000/2+$B70/(Constants!$C$27*1000000000)*IF(ISBLANK(Design!$B$33),Design!$B$32,Design!$B$33)*1000000/2)</f>
        <v>5.8759821180555512E-2</v>
      </c>
      <c r="X70" s="183">
        <f t="shared" ca="1" si="14"/>
        <v>0.59852235470064064</v>
      </c>
      <c r="Y70" s="183">
        <f>Constants!$D$25/1000000000*Constants!$C$24*IF(ISBLANK(Design!$B$33),Design!$B$32,Design!$B$33)*1000000</f>
        <v>1.0624999999999999E-2</v>
      </c>
      <c r="Z70" s="183">
        <f t="shared" ca="1" si="23"/>
        <v>0.68991155088119616</v>
      </c>
      <c r="AA70" s="183">
        <f t="shared" ca="1" si="19"/>
        <v>0.17305475996850025</v>
      </c>
      <c r="AB70" s="184">
        <f ca="1">$A70+AA70*Design!$B$19</f>
        <v>94.864121318204511</v>
      </c>
      <c r="AC70" s="184">
        <f ca="1">Z70*Design!$C$12+$A70</f>
        <v>108.45699272996066</v>
      </c>
      <c r="AD70" s="184">
        <f ca="1">Constants!$D$22+Constants!$D$22*Constants!$C$23/100*(AC70-25)</f>
        <v>191.76559418396852</v>
      </c>
      <c r="AE70" s="183">
        <f ca="1">IF(100*(Design!$C$29+S70+R70*IF(ISBLANK(Design!$B$43),Constants!$C$6,Design!$B$43)/1000*(1+Constants!$C$36/100*(AC70-25)))/($B70+S70-R70*AD70/1000)&gt;Design!$B$36,   (1-Constants!$D$20/1000000000*IF(ISBLANK(Design!$B$33),Design!$B$32/4,Design!$B$33/4)*1000000) * ($B70+S70-R70*AD70/1000) - (S70+R70*(1+($A70-25)*Constants!$C$36/100)*IF(ISBLANK(Design!$B$43),Constants!$C$6/1000,Design!$B$43/1000)),  (1-Constants!$D$20/1000000000*IF(ISBLANK(Design!$B$33),Design!$B$32,Design!$B$33)*1000000) * ($B70+S70-R70*AD70/1000) - (S70+R70*(1+($A70-25)*Constants!$C$36/100)*IF(ISBLANK(Design!$B$43),Constants!$C$6/1000,Design!$B$43/1000)))</f>
        <v>6.1824511524922201</v>
      </c>
      <c r="AF70" s="117">
        <f ca="1">IF(AE70&gt;Design!$C$29,Design!$C$29,AE70)</f>
        <v>4.9990521327014221</v>
      </c>
      <c r="AG70" s="118">
        <f>Design!$D$7/3</f>
        <v>1</v>
      </c>
      <c r="AH70" s="118">
        <f ca="1">FORECAST(AG70, OFFSET(Design!$C$15:$C$17,MATCH(AG70,Design!$B$15:$B$17,1)-1,0,2), OFFSET(Design!$B$15:$B$17,MATCH(AG70,Design!$B$15:$B$17,1)-1,0,2))+(AQ70-25)*Design!$B$18/1000</f>
        <v>0.31762422351091946</v>
      </c>
      <c r="AI70" s="194">
        <f ca="1">IF(100*(Design!$C$29+AH70+AG70*IF(ISBLANK(Design!$B$43),Constants!$C$6,Design!$B$43)/1000*(1+Constants!$C$36/100*(AR70-25)))/($B70+AH70-AG70*AS70/1000)&gt;Design!$B$36,Design!$B$37,100*(Design!$C$29+AH70+AG70*IF(ISBLANK(Design!$B$43),Constants!$C$6,Design!$B$43)/1000*(1+Constants!$C$36/100*(AR70-25)))/($B70+AH70-AG70*AS70/1000))</f>
        <v>74.603119634176608</v>
      </c>
      <c r="AJ70" s="119">
        <f ca="1">IF(($B70-AG70*IF(ISBLANK(Design!$B$43),Constants!$C$6,Design!$B$43)/1000*(1+Constants!$C$36/100*(AR70-25))-Design!$C$29)/(IF(ISBLANK(Design!$B$42),Design!$B$40,Design!$B$42)/1000000)*AI70/100/(IF(ISBLANK(Design!$B$33),Design!$B$32,Design!$B$33)*1000000)&lt;0,0,($B70-AG70*IF(ISBLANK(Design!$B$43),Constants!$C$6,Design!$B$43)/1000*(1+Constants!$C$36/100*(AR70-25))-Design!$C$29)/(IF(ISBLANK(Design!$B$42),Design!$B$40,Design!$B$42)/1000000)*AI70/100/(IF(ISBLANK(Design!$B$33),Design!$B$32,Design!$B$33)*1000000))</f>
        <v>0.35203298340951766</v>
      </c>
      <c r="AK70" s="195">
        <f>$B70*Constants!$C$21/1000+IF(ISBLANK(Design!$B$33),Design!$B$32,Design!$B$33)*1000000*Constants!$D$25/1000000000*($B70-Constants!$C$24)</f>
        <v>2.2004374999999993E-2</v>
      </c>
      <c r="AL70" s="195">
        <f>$B70*AG70*($B70/(Constants!$C$26*1000000000)*IF(ISBLANK(Design!$B$33),Design!$B$32,Design!$B$33)*1000000/2+$B70/(Constants!$C$27*1000000000)*IF(ISBLANK(Design!$B$33),Design!$B$32,Design!$B$33)*1000000/2)</f>
        <v>2.9379910590277756E-2</v>
      </c>
      <c r="AM70" s="195">
        <f t="shared" ca="1" si="15"/>
        <v>0.13442345678490189</v>
      </c>
      <c r="AN70" s="195">
        <f>Constants!$D$25/1000000000*Constants!$C$24*IF(ISBLANK(Design!$B$33),Design!$B$32,Design!$B$33)*1000000</f>
        <v>1.0624999999999999E-2</v>
      </c>
      <c r="AO70" s="195">
        <f t="shared" ca="1" si="24"/>
        <v>0.19643274237517963</v>
      </c>
      <c r="AP70" s="195">
        <f t="shared" ca="1" si="21"/>
        <v>8.0666644057943715E-2</v>
      </c>
      <c r="AQ70" s="196">
        <f ca="1">$A70+AP70*Design!$B$19</f>
        <v>89.597998711302793</v>
      </c>
      <c r="AR70" s="196">
        <f ca="1">AO70*Design!$C$12+$A70</f>
        <v>91.67871324075611</v>
      </c>
      <c r="AS70" s="196">
        <f ca="1">Constants!$D$22+Constants!$D$22*Constants!$C$23/100*(AR70-25)</f>
        <v>178.3429705926049</v>
      </c>
      <c r="AT70" s="195">
        <f ca="1">IF(100*(Design!$C$29+AH70+AG70*IF(ISBLANK(Design!$B$43),Constants!$C$6,Design!$B$43)/1000*(1+Constants!$C$36/100*(AR70-25)))/($B70+AH70-AG70*AS70/1000)&gt;Design!$B$36,   (1-Constants!$D$20/1000000000*IF(ISBLANK(Design!$B$33),Design!$B$32/4,Design!$B$33/4)*1000000) * ($B70+AH70-AG70*AS70/1000) - (AH70+AG70*(1+($A70-25)*Constants!$C$36/100)*IF(ISBLANK(Design!$B$43),Constants!$C$6/1000,Design!$B$43/1000)),  (1-Constants!$D$20/1000000000*IF(ISBLANK(Design!$B$33),Design!$B$32,Design!$B$33)*1000000) * ($B70+AH70-AG70*AS70/1000) - (AH70+AG70*(1+($A70-25)*Constants!$C$36/100)*IF(ISBLANK(Design!$B$43),Constants!$C$6/1000,Design!$B$43/1000)))</f>
        <v>6.4297409901836557</v>
      </c>
      <c r="AU70" s="119">
        <f ca="1">IF(AT70&gt;Design!$C$29,Design!$C$29,AT70)</f>
        <v>4.9990521327014221</v>
      </c>
    </row>
    <row r="71" spans="1:47" ht="12.75" customHeight="1" x14ac:dyDescent="0.25">
      <c r="A71" s="112">
        <f>Design!$D$13</f>
        <v>85</v>
      </c>
      <c r="B71" s="113">
        <f t="shared" si="12"/>
        <v>6.8399999999999981</v>
      </c>
      <c r="C71" s="114">
        <f>Design!$D$7</f>
        <v>3</v>
      </c>
      <c r="D71" s="114">
        <f ca="1">FORECAST(C71, OFFSET(Design!$C$15:$C$17,MATCH(C71,Design!$B$15:$B$17,1)-1,0,2), OFFSET(Design!$B$15:$B$17,MATCH(C71,Design!$B$15:$B$17,1)-1,0,2))+(M71-25)*Design!$B$18/1000</f>
        <v>0.41428338320738789</v>
      </c>
      <c r="E71" s="173">
        <f ca="1">IF(100*(Design!$C$29+D71+C71*IF(ISBLANK(Design!$B$43),Constants!$C$6,Design!$B$43)/1000*(1+Constants!$C$36/100*(N71-25)))/($B71+D71-C71*O71/1000)&gt;Design!$B$36,Design!$B$37,100*(Design!$C$29+D71+C71*IF(ISBLANK(Design!$B$43),Constants!$C$6,Design!$B$43)/1000*(1+Constants!$C$36/100*(N71-25)))/($B71+D71-C71*O71/1000))</f>
        <v>84.872607451495554</v>
      </c>
      <c r="F71" s="115">
        <f ca="1">IF(($B71-C71*IF(ISBLANK(Design!$B$43),Constants!$C$6,Design!$B$43)/1000*(1+Constants!$C$36/100*(N71-25))-Design!$C$29)/(IF(ISBLANK(Design!$B$42),Design!$B$40,Design!$B$42)/1000000)*E71/100/(IF(ISBLANK(Design!$B$33),Design!$B$32,Design!$B$33)*1000000)&lt;0,0,($B71-C71*IF(ISBLANK(Design!$B$43),Constants!$C$6,Design!$B$43)/1000*(1+Constants!$C$36/100*(N71-25))-Design!$C$29)/(IF(ISBLANK(Design!$B$42),Design!$B$40,Design!$B$42)/1000000)*E71/100/(IF(ISBLANK(Design!$B$33),Design!$B$32,Design!$B$33)*1000000))</f>
        <v>0.33221210746100693</v>
      </c>
      <c r="G71" s="165">
        <f>B71*Constants!$C$21/1000+IF(ISBLANK(Design!$B$33),Design!$B$32,Design!$B$33)*1000000*Constants!$D$25/1000000000*(B71-Constants!$C$24)</f>
        <v>2.100999999999999E-2</v>
      </c>
      <c r="H71" s="165">
        <f>B71*C71*(B71/(Constants!$C$26*1000000000)*IF(ISBLANK(Design!$B$33),Design!$B$32,Design!$B$33)*1000000/2+B71/(Constants!$C$27*1000000000)*IF(ISBLANK(Design!$B$33),Design!$B$32,Design!$B$33)*1000000/2)</f>
        <v>8.2849499999999951E-2</v>
      </c>
      <c r="I71" s="165">
        <f t="shared" ca="1" si="13"/>
        <v>1.700245225027988</v>
      </c>
      <c r="J71" s="165">
        <f>Constants!$D$25/1000000000*Constants!$C$24*IF(ISBLANK(Design!$B$33),Design!$B$32,Design!$B$33)*1000000</f>
        <v>1.0624999999999999E-2</v>
      </c>
      <c r="K71" s="165">
        <f t="shared" ca="1" si="22"/>
        <v>1.8147297250279881</v>
      </c>
      <c r="L71" s="165">
        <f t="shared" ca="1" si="17"/>
        <v>0.1880108209230196</v>
      </c>
      <c r="M71" s="166">
        <f ca="1">$A71+L71*Design!$B$19</f>
        <v>95.716616792612115</v>
      </c>
      <c r="N71" s="166">
        <f ca="1">K71*Design!$C$12+A71</f>
        <v>146.70081065095161</v>
      </c>
      <c r="O71" s="166">
        <f ca="1">Constants!$D$22+Constants!$D$22*Constants!$C$23/100*(N71-25)</f>
        <v>222.36064852076129</v>
      </c>
      <c r="P71" s="165">
        <f ca="1">IF(100*(Design!$C$29+D71+C71*IF(ISBLANK(Design!$B$43),Constants!$C$6,Design!$B$43)/1000*(1+Constants!$C$36/100*(N71-25)))/($B71+D71-C71*O71/1000)&gt;Design!$B$36,   (1-Constants!$D$20/1000000000*IF(ISBLANK(Design!$B$33),Design!$B$32/4,Design!$B$33/4)*1000000) * ($B71+D71-C71*O71/1000) - (D71+C71*(1+($A71-25)*Constants!$C$36/100)*IF(ISBLANK(Design!$B$43),Constants!$C$6/1000,Design!$B$43/1000)),  (1-Constants!$D$20/1000000000*IF(ISBLANK(Design!$B$33),Design!$B$32,Design!$B$33)*1000000) * ($B71+D71-C71*O71/1000) - (D71+C71*(1+($A71-25)*Constants!$C$36/100)*IF(ISBLANK(Design!$B$43),Constants!$C$6/1000,Design!$B$43/1000)))</f>
        <v>5.6606791750078216</v>
      </c>
      <c r="Q71" s="115">
        <f ca="1">IF(P71&gt;Design!$C$29,Design!$C$29,P71)</f>
        <v>4.9990521327014221</v>
      </c>
      <c r="R71" s="116">
        <f>2*Design!$D$7/3</f>
        <v>2</v>
      </c>
      <c r="S71" s="116">
        <f ca="1">FORECAST(R71, OFFSET(Design!$C$15:$C$17,MATCH(R71,Design!$B$15:$B$17,1)-1,0,2), OFFSET(Design!$B$15:$B$17,MATCH(R71,Design!$B$15:$B$17,1)-1,0,2))+(AB71-25)*Design!$B$18/1000</f>
        <v>0.39120555336682311</v>
      </c>
      <c r="T71" s="182">
        <f ca="1">IF(100*(Design!$C$29+S71+R71*IF(ISBLANK(Design!$B$43),Constants!$C$6,Design!$B$43)/1000*(1+Constants!$C$36/100*(AC71-25)))/($B71+S71-R71*AD71/1000)&gt;Design!$B$36,Design!$B$37,100*(Design!$C$29+S71+R71*IF(ISBLANK(Design!$B$43),Constants!$C$6,Design!$B$43)/1000*(1+Constants!$C$36/100*(AC71-25)))/($B71+S71-R71*AD71/1000))</f>
        <v>80.280374844336109</v>
      </c>
      <c r="U71" s="117">
        <f ca="1">IF(($B71-R71*IF(ISBLANK(Design!$B$43),Constants!$C$6,Design!$B$43)/1000*(1+Constants!$C$36/100*(AC71-25))-Design!$C$29)/(IF(ISBLANK(Design!$B$42),Design!$B$40,Design!$B$42)/1000000)*T71/100/(IF(ISBLANK(Design!$B$33),Design!$B$32,Design!$B$33)*1000000)&lt;0,0,($B71-R71*IF(ISBLANK(Design!$B$43),Constants!$C$6,Design!$B$43)/1000*(1+Constants!$C$36/100*(AC71-25))-Design!$C$29)/(IF(ISBLANK(Design!$B$42),Design!$B$40,Design!$B$42)/1000000)*T71/100/(IF(ISBLANK(Design!$B$33),Design!$B$32,Design!$B$33)*1000000))</f>
        <v>0.32764657567029493</v>
      </c>
      <c r="V71" s="183">
        <f>$B71*Constants!$C$21/1000+IF(ISBLANK(Design!$B$33),Design!$B$32,Design!$B$33)*1000000*Constants!$D$25/1000000000*($B71-Constants!$C$24)</f>
        <v>2.100999999999999E-2</v>
      </c>
      <c r="W71" s="183">
        <f>$B71*R71*($B71/(Constants!$C$26*1000000000)*IF(ISBLANK(Design!$B$33),Design!$B$32,Design!$B$33)*1000000/2+$B71/(Constants!$C$27*1000000000)*IF(ISBLANK(Design!$B$33),Design!$B$32,Design!$B$33)*1000000/2)</f>
        <v>5.5232999999999963E-2</v>
      </c>
      <c r="X71" s="183">
        <f t="shared" ca="1" si="14"/>
        <v>0.61853381684991304</v>
      </c>
      <c r="Y71" s="183">
        <f>Constants!$D$25/1000000000*Constants!$C$24*IF(ISBLANK(Design!$B$33),Design!$B$32,Design!$B$33)*1000000</f>
        <v>1.0624999999999999E-2</v>
      </c>
      <c r="Z71" s="183">
        <f t="shared" ca="1" si="23"/>
        <v>0.70540181684991299</v>
      </c>
      <c r="AA71" s="183">
        <f t="shared" ca="1" si="19"/>
        <v>0.15428853742415635</v>
      </c>
      <c r="AB71" s="184">
        <f ca="1">$A71+AA71*Design!$B$19</f>
        <v>93.794446633176918</v>
      </c>
      <c r="AC71" s="184">
        <f ca="1">Z71*Design!$C$12+$A71</f>
        <v>108.98366177289704</v>
      </c>
      <c r="AD71" s="184">
        <f ca="1">Constants!$D$22+Constants!$D$22*Constants!$C$23/100*(AC71-25)</f>
        <v>192.18692941831762</v>
      </c>
      <c r="AE71" s="183">
        <f ca="1">IF(100*(Design!$C$29+S71+R71*IF(ISBLANK(Design!$B$43),Constants!$C$6,Design!$B$43)/1000*(1+Constants!$C$36/100*(AC71-25)))/($B71+S71-R71*AD71/1000)&gt;Design!$B$36,   (1-Constants!$D$20/1000000000*IF(ISBLANK(Design!$B$33),Design!$B$32/4,Design!$B$33/4)*1000000) * ($B71+S71-R71*AD71/1000) - (S71+R71*(1+($A71-25)*Constants!$C$36/100)*IF(ISBLANK(Design!$B$43),Constants!$C$6/1000,Design!$B$43/1000)),  (1-Constants!$D$20/1000000000*IF(ISBLANK(Design!$B$33),Design!$B$32,Design!$B$33)*1000000) * ($B71+S71-R71*AD71/1000) - (S71+R71*(1+($A71-25)*Constants!$C$36/100)*IF(ISBLANK(Design!$B$43),Constants!$C$6/1000,Design!$B$43/1000)))</f>
        <v>5.9784746900405707</v>
      </c>
      <c r="AF71" s="117">
        <f ca="1">IF(AE71&gt;Design!$C$29,Design!$C$29,AE71)</f>
        <v>4.9990521327014221</v>
      </c>
      <c r="AG71" s="118">
        <f>Design!$D$7/3</f>
        <v>1</v>
      </c>
      <c r="AH71" s="118">
        <f ca="1">FORECAST(AG71, OFFSET(Design!$C$15:$C$17,MATCH(AG71,Design!$B$15:$B$17,1)-1,0,2), OFFSET(Design!$B$15:$B$17,MATCH(AG71,Design!$B$15:$B$17,1)-1,0,2))+(AQ71-25)*Design!$B$18/1000</f>
        <v>0.31803521687193503</v>
      </c>
      <c r="AI71" s="194">
        <f ca="1">IF(100*(Design!$C$29+AH71+AG71*IF(ISBLANK(Design!$B$43),Constants!$C$6,Design!$B$43)/1000*(1+Constants!$C$36/100*(AR71-25)))/($B71+AH71-AG71*AS71/1000)&gt;Design!$B$36,Design!$B$37,100*(Design!$C$29+AH71+AG71*IF(ISBLANK(Design!$B$43),Constants!$C$6,Design!$B$43)/1000*(1+Constants!$C$36/100*(AR71-25)))/($B71+AH71-AG71*AS71/1000))</f>
        <v>76.903113140094817</v>
      </c>
      <c r="AJ71" s="119">
        <f ca="1">IF(($B71-AG71*IF(ISBLANK(Design!$B$43),Constants!$C$6,Design!$B$43)/1000*(1+Constants!$C$36/100*(AR71-25))-Design!$C$29)/(IF(ISBLANK(Design!$B$42),Design!$B$40,Design!$B$42)/1000000)*AI71/100/(IF(ISBLANK(Design!$B$33),Design!$B$32,Design!$B$33)*1000000)&lt;0,0,($B71-AG71*IF(ISBLANK(Design!$B$43),Constants!$C$6,Design!$B$43)/1000*(1+Constants!$C$36/100*(AR71-25))-Design!$C$29)/(IF(ISBLANK(Design!$B$42),Design!$B$40,Design!$B$42)/1000000)*AI71/100/(IF(ISBLANK(Design!$B$33),Design!$B$32,Design!$B$33)*1000000))</f>
        <v>0.32398097926300873</v>
      </c>
      <c r="AK71" s="195">
        <f>$B71*Constants!$C$21/1000+IF(ISBLANK(Design!$B$33),Design!$B$32,Design!$B$33)*1000000*Constants!$D$25/1000000000*($B71-Constants!$C$24)</f>
        <v>2.100999999999999E-2</v>
      </c>
      <c r="AL71" s="195">
        <f>$B71*AG71*($B71/(Constants!$C$26*1000000000)*IF(ISBLANK(Design!$B$33),Design!$B$32,Design!$B$33)*1000000/2+$B71/(Constants!$C$27*1000000000)*IF(ISBLANK(Design!$B$33),Design!$B$32,Design!$B$33)*1000000/2)</f>
        <v>2.7616499999999981E-2</v>
      </c>
      <c r="AM71" s="195">
        <f t="shared" ca="1" si="15"/>
        <v>0.13837616880696202</v>
      </c>
      <c r="AN71" s="195">
        <f>Constants!$D$25/1000000000*Constants!$C$24*IF(ISBLANK(Design!$B$33),Design!$B$32,Design!$B$33)*1000000</f>
        <v>1.0624999999999999E-2</v>
      </c>
      <c r="AO71" s="195">
        <f t="shared" ca="1" si="24"/>
        <v>0.19762766880696198</v>
      </c>
      <c r="AP71" s="195">
        <f t="shared" ca="1" si="21"/>
        <v>7.3456234215564922E-2</v>
      </c>
      <c r="AQ71" s="196">
        <f ca="1">$A71+AP71*Design!$B$19</f>
        <v>89.187005350287194</v>
      </c>
      <c r="AR71" s="196">
        <f ca="1">AO71*Design!$C$12+$A71</f>
        <v>91.719340739436703</v>
      </c>
      <c r="AS71" s="196">
        <f ca="1">Constants!$D$22+Constants!$D$22*Constants!$C$23/100*(AR71-25)</f>
        <v>178.37547259154937</v>
      </c>
      <c r="AT71" s="195">
        <f ca="1">IF(100*(Design!$C$29+AH71+AG71*IF(ISBLANK(Design!$B$43),Constants!$C$6,Design!$B$43)/1000*(1+Constants!$C$36/100*(AR71-25)))/($B71+AH71-AG71*AS71/1000)&gt;Design!$B$36,   (1-Constants!$D$20/1000000000*IF(ISBLANK(Design!$B$33),Design!$B$32/4,Design!$B$33/4)*1000000) * ($B71+AH71-AG71*AS71/1000) - (AH71+AG71*(1+($A71-25)*Constants!$C$36/100)*IF(ISBLANK(Design!$B$43),Constants!$C$6/1000,Design!$B$43/1000)),  (1-Constants!$D$20/1000000000*IF(ISBLANK(Design!$B$33),Design!$B$32,Design!$B$33)*1000000) * ($B71+AH71-AG71*AS71/1000) - (AH71+AG71*(1+($A71-25)*Constants!$C$36/100)*IF(ISBLANK(Design!$B$43),Constants!$C$6/1000,Design!$B$43/1000)))</f>
        <v>6.2265663265369575</v>
      </c>
      <c r="AU71" s="119">
        <f ca="1">IF(AT71&gt;Design!$C$29,Design!$C$29,AT71)</f>
        <v>4.9990521327014221</v>
      </c>
    </row>
    <row r="72" spans="1:47" ht="12.75" customHeight="1" x14ac:dyDescent="0.25">
      <c r="A72" s="112">
        <f>Design!$D$13</f>
        <v>85</v>
      </c>
      <c r="B72" s="113">
        <f t="shared" si="12"/>
        <v>6.6249999999999982</v>
      </c>
      <c r="C72" s="114">
        <f>Design!$D$7</f>
        <v>3</v>
      </c>
      <c r="D72" s="114">
        <f ca="1">FORECAST(C72, OFFSET(Design!$C$15:$C$17,MATCH(C72,Design!$B$15:$B$17,1)-1,0,2), OFFSET(Design!$B$15:$B$17,MATCH(C72,Design!$B$15:$B$17,1)-1,0,2))+(M72-25)*Design!$B$18/1000</f>
        <v>0.41633773479845376</v>
      </c>
      <c r="E72" s="173">
        <f ca="1">IF(100*(Design!$C$29+D72+C72*IF(ISBLANK(Design!$B$43),Constants!$C$6,Design!$B$43)/1000*(1+Constants!$C$36/100*(N72-25)))/($B72+D72-C72*O72/1000)&gt;Design!$B$36,Design!$B$37,100*(Design!$C$29+D72+C72*IF(ISBLANK(Design!$B$43),Constants!$C$6,Design!$B$43)/1000*(1+Constants!$C$36/100*(N72-25)))/($B72+D72-C72*O72/1000))</f>
        <v>87.832829596627448</v>
      </c>
      <c r="F72" s="115">
        <f ca="1">IF(($B72-C72*IF(ISBLANK(Design!$B$43),Constants!$C$6,Design!$B$43)/1000*(1+Constants!$C$36/100*(N72-25))-Design!$C$29)/(IF(ISBLANK(Design!$B$42),Design!$B$40,Design!$B$42)/1000000)*E72/100/(IF(ISBLANK(Design!$B$33),Design!$B$32,Design!$B$33)*1000000)&lt;0,0,($B72-C72*IF(ISBLANK(Design!$B$43),Constants!$C$6,Design!$B$43)/1000*(1+Constants!$C$36/100*(N72-25))-Design!$C$29)/(IF(ISBLANK(Design!$B$42),Design!$B$40,Design!$B$42)/1000000)*E72/100/(IF(ISBLANK(Design!$B$33),Design!$B$32,Design!$B$33)*1000000))</f>
        <v>0.29914294549392734</v>
      </c>
      <c r="G72" s="165">
        <f>B72*Constants!$C$21/1000+IF(ISBLANK(Design!$B$33),Design!$B$32,Design!$B$33)*1000000*Constants!$D$25/1000000000*(B72-Constants!$C$24)</f>
        <v>2.0015624999999995E-2</v>
      </c>
      <c r="H72" s="165">
        <f>B72*C72*(B72/(Constants!$C$26*1000000000)*IF(ISBLANK(Design!$B$33),Design!$B$32,Design!$B$33)*1000000/2+B72/(Constants!$C$27*1000000000)*IF(ISBLANK(Design!$B$33),Design!$B$32,Design!$B$33)*1000000/2)</f>
        <v>7.7722981770833283E-2</v>
      </c>
      <c r="I72" s="165">
        <f t="shared" ca="1" si="13"/>
        <v>1.7736962479408775</v>
      </c>
      <c r="J72" s="165">
        <f>Constants!$D$25/1000000000*Constants!$C$24*IF(ISBLANK(Design!$B$33),Design!$B$32,Design!$B$33)*1000000</f>
        <v>1.0624999999999999E-2</v>
      </c>
      <c r="K72" s="165">
        <f t="shared" ca="1" si="22"/>
        <v>1.8820598547117109</v>
      </c>
      <c r="L72" s="165">
        <f t="shared" ca="1" si="17"/>
        <v>0.1519695649394075</v>
      </c>
      <c r="M72" s="166">
        <f ca="1">$A72+L72*Design!$B$19</f>
        <v>93.662265201546234</v>
      </c>
      <c r="N72" s="166">
        <f ca="1">K72*Design!$C$12+A72</f>
        <v>148.99003506019818</v>
      </c>
      <c r="O72" s="166">
        <f ca="1">Constants!$D$22+Constants!$D$22*Constants!$C$23/100*(N72-25)</f>
        <v>224.19202804815853</v>
      </c>
      <c r="P72" s="165">
        <f ca="1">IF(100*(Design!$C$29+D72+C72*IF(ISBLANK(Design!$B$43),Constants!$C$6,Design!$B$43)/1000*(1+Constants!$C$36/100*(N72-25)))/($B72+D72-C72*O72/1000)&gt;Design!$B$36,   (1-Constants!$D$20/1000000000*IF(ISBLANK(Design!$B$33),Design!$B$32/4,Design!$B$33/4)*1000000) * ($B72+D72-C72*O72/1000) - (D72+C72*(1+($A72-25)*Constants!$C$36/100)*IF(ISBLANK(Design!$B$43),Constants!$C$6/1000,Design!$B$43/1000)),  (1-Constants!$D$20/1000000000*IF(ISBLANK(Design!$B$33),Design!$B$32,Design!$B$33)*1000000) * ($B72+D72-C72*O72/1000) - (D72+C72*(1+($A72-25)*Constants!$C$36/100)*IF(ISBLANK(Design!$B$43),Constants!$C$6/1000,Design!$B$43/1000)))</f>
        <v>5.4522538346568901</v>
      </c>
      <c r="Q72" s="115">
        <f ca="1">IF(P72&gt;Design!$C$29,Design!$C$29,P72)</f>
        <v>4.9990521327014221</v>
      </c>
      <c r="R72" s="116">
        <f>2*Design!$D$7/3</f>
        <v>2</v>
      </c>
      <c r="S72" s="116">
        <f ca="1">FORECAST(R72, OFFSET(Design!$C$15:$C$17,MATCH(R72,Design!$B$15:$B$17,1)-1,0,2), OFFSET(Design!$B$15:$B$17,MATCH(R72,Design!$B$15:$B$17,1)-1,0,2))+(AB72-25)*Design!$B$18/1000</f>
        <v>0.39235163976426624</v>
      </c>
      <c r="T72" s="182">
        <f ca="1">IF(100*(Design!$C$29+S72+R72*IF(ISBLANK(Design!$B$43),Constants!$C$6,Design!$B$43)/1000*(1+Constants!$C$36/100*(AC72-25)))/($B72+S72-R72*AD72/1000)&gt;Design!$B$36,Design!$B$37,100*(Design!$C$29+S72+R72*IF(ISBLANK(Design!$B$43),Constants!$C$6,Design!$B$43)/1000*(1+Constants!$C$36/100*(AC72-25)))/($B72+S72-R72*AD72/1000))</f>
        <v>82.900318882028245</v>
      </c>
      <c r="U72" s="117">
        <f ca="1">IF(($B72-R72*IF(ISBLANK(Design!$B$43),Constants!$C$6,Design!$B$43)/1000*(1+Constants!$C$36/100*(AC72-25))-Design!$C$29)/(IF(ISBLANK(Design!$B$42),Design!$B$40,Design!$B$42)/1000000)*T72/100/(IF(ISBLANK(Design!$B$33),Design!$B$32,Design!$B$33)*1000000)&lt;0,0,($B72-R72*IF(ISBLANK(Design!$B$43),Constants!$C$6,Design!$B$43)/1000*(1+Constants!$C$36/100*(AC72-25))-Design!$C$29)/(IF(ISBLANK(Design!$B$42),Design!$B$40,Design!$B$42)/1000000)*T72/100/(IF(ISBLANK(Design!$B$33),Design!$B$32,Design!$B$33)*1000000))</f>
        <v>0.29636592570799319</v>
      </c>
      <c r="V72" s="183">
        <f>$B72*Constants!$C$21/1000+IF(ISBLANK(Design!$B$33),Design!$B$32,Design!$B$33)*1000000*Constants!$D$25/1000000000*($B72-Constants!$C$24)</f>
        <v>2.0015624999999995E-2</v>
      </c>
      <c r="W72" s="183">
        <f>$B72*R72*($B72/(Constants!$C$26*1000000000)*IF(ISBLANK(Design!$B$33),Design!$B$32,Design!$B$33)*1000000/2+$B72/(Constants!$C$27*1000000000)*IF(ISBLANK(Design!$B$33),Design!$B$32,Design!$B$33)*1000000/2)</f>
        <v>5.1815321180555526E-2</v>
      </c>
      <c r="X72" s="183">
        <f t="shared" ca="1" si="14"/>
        <v>0.64000163036521673</v>
      </c>
      <c r="Y72" s="183">
        <f>Constants!$D$25/1000000000*Constants!$C$24*IF(ISBLANK(Design!$B$33),Design!$B$32,Design!$B$33)*1000000</f>
        <v>1.0624999999999999E-2</v>
      </c>
      <c r="Z72" s="183">
        <f t="shared" ca="1" si="23"/>
        <v>0.72245757654577225</v>
      </c>
      <c r="AA72" s="183">
        <f t="shared" ca="1" si="19"/>
        <v>0.13418175852164557</v>
      </c>
      <c r="AB72" s="184">
        <f ca="1">$A72+AA72*Design!$B$19</f>
        <v>92.648360235733804</v>
      </c>
      <c r="AC72" s="184">
        <f ca="1">Z72*Design!$C$12+$A72</f>
        <v>109.56355760255626</v>
      </c>
      <c r="AD72" s="184">
        <f ca="1">Constants!$D$22+Constants!$D$22*Constants!$C$23/100*(AC72-25)</f>
        <v>192.65084608204501</v>
      </c>
      <c r="AE72" s="183">
        <f ca="1">IF(100*(Design!$C$29+S72+R72*IF(ISBLANK(Design!$B$43),Constants!$C$6,Design!$B$43)/1000*(1+Constants!$C$36/100*(AC72-25)))/($B72+S72-R72*AD72/1000)&gt;Design!$B$36,   (1-Constants!$D$20/1000000000*IF(ISBLANK(Design!$B$33),Design!$B$32/4,Design!$B$33/4)*1000000) * ($B72+S72-R72*AD72/1000) - (S72+R72*(1+($A72-25)*Constants!$C$36/100)*IF(ISBLANK(Design!$B$43),Constants!$C$6/1000,Design!$B$43/1000)),  (1-Constants!$D$20/1000000000*IF(ISBLANK(Design!$B$33),Design!$B$32,Design!$B$33)*1000000) * ($B72+S72-R72*AD72/1000) - (S72+R72*(1+($A72-25)*Constants!$C$36/100)*IF(ISBLANK(Design!$B$43),Constants!$C$6/1000,Design!$B$43/1000)))</f>
        <v>5.7744135482309993</v>
      </c>
      <c r="AF72" s="117">
        <f ca="1">IF(AE72&gt;Design!$C$29,Design!$C$29,AE72)</f>
        <v>4.9990521327014221</v>
      </c>
      <c r="AG72" s="118">
        <f>Design!$D$7/3</f>
        <v>1</v>
      </c>
      <c r="AH72" s="118">
        <f ca="1">FORECAST(AG72, OFFSET(Design!$C$15:$C$17,MATCH(AG72,Design!$B$15:$B$17,1)-1,0,2), OFFSET(Design!$B$15:$B$17,MATCH(AG72,Design!$B$15:$B$17,1)-1,0,2))+(AQ72-25)*Design!$B$18/1000</f>
        <v>0.31847349414470877</v>
      </c>
      <c r="AI72" s="194">
        <f ca="1">IF(100*(Design!$C$29+AH72+AG72*IF(ISBLANK(Design!$B$43),Constants!$C$6,Design!$B$43)/1000*(1+Constants!$C$36/100*(AR72-25)))/($B72+AH72-AG72*AS72/1000)&gt;Design!$B$36,Design!$B$37,100*(Design!$C$29+AH72+AG72*IF(ISBLANK(Design!$B$43),Constants!$C$6,Design!$B$43)/1000*(1+Constants!$C$36/100*(AR72-25)))/($B72+AH72-AG72*AS72/1000))</f>
        <v>79.349251832952021</v>
      </c>
      <c r="AJ72" s="119">
        <f ca="1">IF(($B72-AG72*IF(ISBLANK(Design!$B$43),Constants!$C$6,Design!$B$43)/1000*(1+Constants!$C$36/100*(AR72-25))-Design!$C$29)/(IF(ISBLANK(Design!$B$42),Design!$B$40,Design!$B$42)/1000000)*AI72/100/(IF(ISBLANK(Design!$B$33),Design!$B$32,Design!$B$33)*1000000)&lt;0,0,($B72-AG72*IF(ISBLANK(Design!$B$43),Constants!$C$6,Design!$B$43)/1000*(1+Constants!$C$36/100*(AR72-25))-Design!$C$29)/(IF(ISBLANK(Design!$B$42),Design!$B$40,Design!$B$42)/1000000)*AI72/100/(IF(ISBLANK(Design!$B$33),Design!$B$32,Design!$B$33)*1000000))</f>
        <v>0.29414328841857423</v>
      </c>
      <c r="AK72" s="195">
        <f>$B72*Constants!$C$21/1000+IF(ISBLANK(Design!$B$33),Design!$B$32,Design!$B$33)*1000000*Constants!$D$25/1000000000*($B72-Constants!$C$24)</f>
        <v>2.0015624999999995E-2</v>
      </c>
      <c r="AL72" s="195">
        <f>$B72*AG72*($B72/(Constants!$C$26*1000000000)*IF(ISBLANK(Design!$B$33),Design!$B$32,Design!$B$33)*1000000/2+$B72/(Constants!$C$27*1000000000)*IF(ISBLANK(Design!$B$33),Design!$B$32,Design!$B$33)*1000000/2)</f>
        <v>2.5907660590277763E-2</v>
      </c>
      <c r="AM72" s="195">
        <f t="shared" ca="1" si="15"/>
        <v>0.14259301088767259</v>
      </c>
      <c r="AN72" s="195">
        <f>Constants!$D$25/1000000000*Constants!$C$24*IF(ISBLANK(Design!$B$33),Design!$B$32,Design!$B$33)*1000000</f>
        <v>1.0624999999999999E-2</v>
      </c>
      <c r="AO72" s="195">
        <f t="shared" ca="1" si="24"/>
        <v>0.19914129647795034</v>
      </c>
      <c r="AP72" s="195">
        <f t="shared" ca="1" si="21"/>
        <v>6.5767159254622107E-2</v>
      </c>
      <c r="AQ72" s="196">
        <f ca="1">$A72+AP72*Design!$B$19</f>
        <v>88.748728077513462</v>
      </c>
      <c r="AR72" s="196">
        <f ca="1">AO72*Design!$C$12+$A72</f>
        <v>91.770804080250315</v>
      </c>
      <c r="AS72" s="196">
        <f ca="1">Constants!$D$22+Constants!$D$22*Constants!$C$23/100*(AR72-25)</f>
        <v>178.41664326420025</v>
      </c>
      <c r="AT72" s="195">
        <f ca="1">IF(100*(Design!$C$29+AH72+AG72*IF(ISBLANK(Design!$B$43),Constants!$C$6,Design!$B$43)/1000*(1+Constants!$C$36/100*(AR72-25)))/($B72+AH72-AG72*AS72/1000)&gt;Design!$B$36,   (1-Constants!$D$20/1000000000*IF(ISBLANK(Design!$B$33),Design!$B$32/4,Design!$B$33/4)*1000000) * ($B72+AH72-AG72*AS72/1000) - (AH72+AG72*(1+($A72-25)*Constants!$C$36/100)*IF(ISBLANK(Design!$B$43),Constants!$C$6/1000,Design!$B$43/1000)),  (1-Constants!$D$20/1000000000*IF(ISBLANK(Design!$B$33),Design!$B$32,Design!$B$33)*1000000) * ($B72+AH72-AG72*AS72/1000) - (AH72+AG72*(1+($A72-25)*Constants!$C$36/100)*IF(ISBLANK(Design!$B$43),Constants!$C$6/1000,Design!$B$43/1000)))</f>
        <v>6.0233819657246501</v>
      </c>
      <c r="AU72" s="119">
        <f ca="1">IF(AT72&gt;Design!$C$29,Design!$C$29,AT72)</f>
        <v>4.9990521327014221</v>
      </c>
    </row>
    <row r="73" spans="1:47" ht="12.75" customHeight="1" x14ac:dyDescent="0.25">
      <c r="A73" s="112">
        <f>Design!$D$13</f>
        <v>85</v>
      </c>
      <c r="B73" s="113">
        <f t="shared" si="12"/>
        <v>6.4099999999999984</v>
      </c>
      <c r="C73" s="114">
        <f>Design!$D$7</f>
        <v>3</v>
      </c>
      <c r="D73" s="114">
        <f ca="1">FORECAST(C73, OFFSET(Design!$C$15:$C$17,MATCH(C73,Design!$B$15:$B$17,1)-1,0,2), OFFSET(Design!$B$15:$B$17,MATCH(C73,Design!$B$15:$B$17,1)-1,0,2))+(M73-25)*Design!$B$18/1000</f>
        <v>0.41856841106253273</v>
      </c>
      <c r="E73" s="173">
        <f ca="1">IF(100*(Design!$C$29+D73+C73*IF(ISBLANK(Design!$B$43),Constants!$C$6,Design!$B$43)/1000*(1+Constants!$C$36/100*(N73-25)))/($B73+D73-C73*O73/1000)&gt;Design!$B$36,Design!$B$37,100*(Design!$C$29+D73+C73*IF(ISBLANK(Design!$B$43),Constants!$C$6,Design!$B$43)/1000*(1+Constants!$C$36/100*(N73-25)))/($B73+D73-C73*O73/1000))</f>
        <v>91.014221279197358</v>
      </c>
      <c r="F73" s="115">
        <f ca="1">IF(($B73-C73*IF(ISBLANK(Design!$B$43),Constants!$C$6,Design!$B$43)/1000*(1+Constants!$C$36/100*(N73-25))-Design!$C$29)/(IF(ISBLANK(Design!$B$42),Design!$B$40,Design!$B$42)/1000000)*E73/100/(IF(ISBLANK(Design!$B$33),Design!$B$32,Design!$B$33)*1000000)&lt;0,0,($B73-C73*IF(ISBLANK(Design!$B$43),Constants!$C$6,Design!$B$43)/1000*(1+Constants!$C$36/100*(N73-25))-Design!$C$29)/(IF(ISBLANK(Design!$B$42),Design!$B$40,Design!$B$42)/1000000)*E73/100/(IF(ISBLANK(Design!$B$33),Design!$B$32,Design!$B$33)*1000000))</f>
        <v>0.26367963645405346</v>
      </c>
      <c r="G73" s="165">
        <f>B73*Constants!$C$21/1000+IF(ISBLANK(Design!$B$33),Design!$B$32,Design!$B$33)*1000000*Constants!$D$25/1000000000*(B73-Constants!$C$24)</f>
        <v>1.902124999999999E-2</v>
      </c>
      <c r="H73" s="165">
        <f>B73*C73*(B73/(Constants!$C$26*1000000000)*IF(ISBLANK(Design!$B$33),Design!$B$32,Design!$B$33)*1000000/2+B73/(Constants!$C$27*1000000000)*IF(ISBLANK(Design!$B$33),Design!$B$32,Design!$B$33)*1000000/2)</f>
        <v>7.2760177083333294E-2</v>
      </c>
      <c r="I73" s="165">
        <f t="shared" ca="1" si="13"/>
        <v>1.8542280075149871</v>
      </c>
      <c r="J73" s="165">
        <f>Constants!$D$25/1000000000*Constants!$C$24*IF(ISBLANK(Design!$B$33),Design!$B$32,Design!$B$33)*1000000</f>
        <v>1.0624999999999999E-2</v>
      </c>
      <c r="K73" s="165">
        <f t="shared" ca="1" si="22"/>
        <v>1.9566344345983204</v>
      </c>
      <c r="L73" s="165">
        <f t="shared" ca="1" si="17"/>
        <v>0.11283489363977636</v>
      </c>
      <c r="M73" s="166">
        <f ca="1">$A73+L73*Design!$B$19</f>
        <v>91.431588937467254</v>
      </c>
      <c r="N73" s="166">
        <f ca="1">K73*Design!$C$12+A73</f>
        <v>151.52557077634287</v>
      </c>
      <c r="O73" s="166">
        <f ca="1">Constants!$D$22+Constants!$D$22*Constants!$C$23/100*(N73-25)</f>
        <v>226.22045662107431</v>
      </c>
      <c r="P73" s="165">
        <f ca="1">IF(100*(Design!$C$29+D73+C73*IF(ISBLANK(Design!$B$43),Constants!$C$6,Design!$B$43)/1000*(1+Constants!$C$36/100*(N73-25)))/($B73+D73-C73*O73/1000)&gt;Design!$B$36,   (1-Constants!$D$20/1000000000*IF(ISBLANK(Design!$B$33),Design!$B$32/4,Design!$B$33/4)*1000000) * ($B73+D73-C73*O73/1000) - (D73+C73*(1+($A73-25)*Constants!$C$36/100)*IF(ISBLANK(Design!$B$43),Constants!$C$6/1000,Design!$B$43/1000)),  (1-Constants!$D$20/1000000000*IF(ISBLANK(Design!$B$33),Design!$B$32,Design!$B$33)*1000000) * ($B73+D73-C73*O73/1000) - (D73+C73*(1+($A73-25)*Constants!$C$36/100)*IF(ISBLANK(Design!$B$43),Constants!$C$6/1000,Design!$B$43/1000)))</f>
        <v>5.2432602661105143</v>
      </c>
      <c r="Q73" s="115">
        <f ca="1">IF(P73&gt;Design!$C$29,Design!$C$29,P73)</f>
        <v>4.9990521327014221</v>
      </c>
      <c r="R73" s="116">
        <f>2*Design!$D$7/3</f>
        <v>2</v>
      </c>
      <c r="S73" s="116">
        <f ca="1">FORECAST(R73, OFFSET(Design!$C$15:$C$17,MATCH(R73,Design!$B$15:$B$17,1)-1,0,2), OFFSET(Design!$B$15:$B$17,MATCH(R73,Design!$B$15:$B$17,1)-1,0,2))+(AB73-25)*Design!$B$18/1000</f>
        <v>0.39358263794693471</v>
      </c>
      <c r="T73" s="182">
        <f ca="1">IF(100*(Design!$C$29+S73+R73*IF(ISBLANK(Design!$B$43),Constants!$C$6,Design!$B$43)/1000*(1+Constants!$C$36/100*(AC73-25)))/($B73+S73-R73*AD73/1000)&gt;Design!$B$36,Design!$B$37,100*(Design!$C$29+S73+R73*IF(ISBLANK(Design!$B$43),Constants!$C$6,Design!$B$43)/1000*(1+Constants!$C$36/100*(AC73-25)))/($B73+S73-R73*AD73/1000))</f>
        <v>85.697374792258486</v>
      </c>
      <c r="U73" s="117">
        <f ca="1">IF(($B73-R73*IF(ISBLANK(Design!$B$43),Constants!$C$6,Design!$B$43)/1000*(1+Constants!$C$36/100*(AC73-25))-Design!$C$29)/(IF(ISBLANK(Design!$B$42),Design!$B$40,Design!$B$42)/1000000)*T73/100/(IF(ISBLANK(Design!$B$33),Design!$B$32,Design!$B$33)*1000000)&lt;0,0,($B73-R73*IF(ISBLANK(Design!$B$43),Constants!$C$6,Design!$B$43)/1000*(1+Constants!$C$36/100*(AC73-25))-Design!$C$29)/(IF(ISBLANK(Design!$B$42),Design!$B$40,Design!$B$42)/1000000)*T73/100/(IF(ISBLANK(Design!$B$33),Design!$B$32,Design!$B$33)*1000000))</f>
        <v>0.26297202249598406</v>
      </c>
      <c r="V73" s="183">
        <f>$B73*Constants!$C$21/1000+IF(ISBLANK(Design!$B$33),Design!$B$32,Design!$B$33)*1000000*Constants!$D$25/1000000000*($B73-Constants!$C$24)</f>
        <v>1.902124999999999E-2</v>
      </c>
      <c r="W73" s="183">
        <f>$B73*R73*($B73/(Constants!$C$26*1000000000)*IF(ISBLANK(Design!$B$33),Design!$B$32,Design!$B$33)*1000000/2+$B73/(Constants!$C$27*1000000000)*IF(ISBLANK(Design!$B$33),Design!$B$32,Design!$B$33)*1000000/2)</f>
        <v>4.8506784722222196E-2</v>
      </c>
      <c r="X73" s="183">
        <f t="shared" ca="1" si="14"/>
        <v>0.66309259775235929</v>
      </c>
      <c r="Y73" s="183">
        <f>Constants!$D$25/1000000000*Constants!$C$24*IF(ISBLANK(Design!$B$33),Design!$B$32,Design!$B$33)*1000000</f>
        <v>1.0624999999999999E-2</v>
      </c>
      <c r="Z73" s="183">
        <f t="shared" ca="1" si="23"/>
        <v>0.74124563247458142</v>
      </c>
      <c r="AA73" s="183">
        <f t="shared" ca="1" si="19"/>
        <v>0.11258529917658461</v>
      </c>
      <c r="AB73" s="184">
        <f ca="1">$A73+AA73*Design!$B$19</f>
        <v>91.417362053065318</v>
      </c>
      <c r="AC73" s="184">
        <f ca="1">Z73*Design!$C$12+$A73</f>
        <v>110.20235150413578</v>
      </c>
      <c r="AD73" s="184">
        <f ca="1">Constants!$D$22+Constants!$D$22*Constants!$C$23/100*(AC73-25)</f>
        <v>193.16188120330861</v>
      </c>
      <c r="AE73" s="183">
        <f ca="1">IF(100*(Design!$C$29+S73+R73*IF(ISBLANK(Design!$B$43),Constants!$C$6,Design!$B$43)/1000*(1+Constants!$C$36/100*(AC73-25)))/($B73+S73-R73*AD73/1000)&gt;Design!$B$36,   (1-Constants!$D$20/1000000000*IF(ISBLANK(Design!$B$33),Design!$B$32/4,Design!$B$33/4)*1000000) * ($B73+S73-R73*AD73/1000) - (S73+R73*(1+($A73-25)*Constants!$C$36/100)*IF(ISBLANK(Design!$B$43),Constants!$C$6/1000,Design!$B$43/1000)),  (1-Constants!$D$20/1000000000*IF(ISBLANK(Design!$B$33),Design!$B$32,Design!$B$33)*1000000) * ($B73+S73-R73*AD73/1000) - (S73+R73*(1+($A73-25)*Constants!$C$36/100)*IF(ISBLANK(Design!$B$43),Constants!$C$6/1000,Design!$B$43/1000)))</f>
        <v>5.5702586847197786</v>
      </c>
      <c r="AF73" s="117">
        <f ca="1">IF(AE73&gt;Design!$C$29,Design!$C$29,AE73)</f>
        <v>4.9990521327014221</v>
      </c>
      <c r="AG73" s="118">
        <f>Design!$D$7/3</f>
        <v>1</v>
      </c>
      <c r="AH73" s="118">
        <f ca="1">FORECAST(AG73, OFFSET(Design!$C$15:$C$17,MATCH(AG73,Design!$B$15:$B$17,1)-1,0,2), OFFSET(Design!$B$15:$B$17,MATCH(AG73,Design!$B$15:$B$17,1)-1,0,2))+(AQ73-25)*Design!$B$18/1000</f>
        <v>0.31894186125768675</v>
      </c>
      <c r="AI73" s="194">
        <f ca="1">IF(100*(Design!$C$29+AH73+AG73*IF(ISBLANK(Design!$B$43),Constants!$C$6,Design!$B$43)/1000*(1+Constants!$C$36/100*(AR73-25)))/($B73+AH73-AG73*AS73/1000)&gt;Design!$B$36,Design!$B$37,100*(Design!$C$29+AH73+AG73*IF(ISBLANK(Design!$B$43),Constants!$C$6,Design!$B$43)/1000*(1+Constants!$C$36/100*(AR73-25)))/($B73+AH73-AG73*AS73/1000))</f>
        <v>81.955898754295546</v>
      </c>
      <c r="AJ73" s="119">
        <f ca="1">IF(($B73-AG73*IF(ISBLANK(Design!$B$43),Constants!$C$6,Design!$B$43)/1000*(1+Constants!$C$36/100*(AR73-25))-Design!$C$29)/(IF(ISBLANK(Design!$B$42),Design!$B$40,Design!$B$42)/1000000)*AI73/100/(IF(ISBLANK(Design!$B$33),Design!$B$32,Design!$B$33)*1000000)&lt;0,0,($B73-AG73*IF(ISBLANK(Design!$B$43),Constants!$C$6,Design!$B$43)/1000*(1+Constants!$C$36/100*(AR73-25))-Design!$C$29)/(IF(ISBLANK(Design!$B$42),Design!$B$40,Design!$B$42)/1000000)*AI73/100/(IF(ISBLANK(Design!$B$33),Design!$B$32,Design!$B$33)*1000000))</f>
        <v>0.26234402270332929</v>
      </c>
      <c r="AK73" s="195">
        <f>$B73*Constants!$C$21/1000+IF(ISBLANK(Design!$B$33),Design!$B$32,Design!$B$33)*1000000*Constants!$D$25/1000000000*($B73-Constants!$C$24)</f>
        <v>1.902124999999999E-2</v>
      </c>
      <c r="AL73" s="195">
        <f>$B73*AG73*($B73/(Constants!$C$26*1000000000)*IF(ISBLANK(Design!$B$33),Design!$B$32,Design!$B$33)*1000000/2+$B73/(Constants!$C$27*1000000000)*IF(ISBLANK(Design!$B$33),Design!$B$32,Design!$B$33)*1000000/2)</f>
        <v>2.4253392361111098E-2</v>
      </c>
      <c r="AM73" s="195">
        <f t="shared" ca="1" si="15"/>
        <v>0.14710334449011467</v>
      </c>
      <c r="AN73" s="195">
        <f>Constants!$D$25/1000000000*Constants!$C$24*IF(ISBLANK(Design!$B$33),Design!$B$32,Design!$B$33)*1000000</f>
        <v>1.0624999999999999E-2</v>
      </c>
      <c r="AO73" s="195">
        <f t="shared" ca="1" si="24"/>
        <v>0.20100298685122575</v>
      </c>
      <c r="AP73" s="195">
        <f t="shared" ca="1" si="21"/>
        <v>5.7550192360271236E-2</v>
      </c>
      <c r="AQ73" s="196">
        <f ca="1">$A73+AP73*Design!$B$19</f>
        <v>88.280360964535461</v>
      </c>
      <c r="AR73" s="196">
        <f ca="1">AO73*Design!$C$12+$A73</f>
        <v>91.834101552941675</v>
      </c>
      <c r="AS73" s="196">
        <f ca="1">Constants!$D$22+Constants!$D$22*Constants!$C$23/100*(AR73-25)</f>
        <v>178.46728124235335</v>
      </c>
      <c r="AT73" s="195">
        <f ca="1">IF(100*(Design!$C$29+AH73+AG73*IF(ISBLANK(Design!$B$43),Constants!$C$6,Design!$B$43)/1000*(1+Constants!$C$36/100*(AR73-25)))/($B73+AH73-AG73*AS73/1000)&gt;Design!$B$36,   (1-Constants!$D$20/1000000000*IF(ISBLANK(Design!$B$33),Design!$B$32/4,Design!$B$33/4)*1000000) * ($B73+AH73-AG73*AS73/1000) - (AH73+AG73*(1+($A73-25)*Constants!$C$36/100)*IF(ISBLANK(Design!$B$43),Constants!$C$6/1000,Design!$B$43/1000)),  (1-Constants!$D$20/1000000000*IF(ISBLANK(Design!$B$33),Design!$B$32,Design!$B$33)*1000000) * ($B73+AH73-AG73*AS73/1000) - (AH73+AG73*(1+($A73-25)*Constants!$C$36/100)*IF(ISBLANK(Design!$B$43),Constants!$C$6/1000,Design!$B$43/1000)))</f>
        <v>5.8201869982117982</v>
      </c>
      <c r="AU73" s="119">
        <f ca="1">IF(AT73&gt;Design!$C$29,Design!$C$29,AT73)</f>
        <v>4.9990521327014221</v>
      </c>
    </row>
    <row r="74" spans="1:47" ht="12.75" customHeight="1" x14ac:dyDescent="0.25">
      <c r="A74" s="112">
        <f>Design!$D$13</f>
        <v>85</v>
      </c>
      <c r="B74" s="113">
        <f t="shared" si="12"/>
        <v>6.1949999999999985</v>
      </c>
      <c r="C74" s="114">
        <f>Design!$D$7</f>
        <v>3</v>
      </c>
      <c r="D74" s="114">
        <f ca="1">FORECAST(C74, OFFSET(Design!$C$15:$C$17,MATCH(C74,Design!$B$15:$B$17,1)-1,0,2), OFFSET(Design!$B$15:$B$17,MATCH(C74,Design!$B$15:$B$17,1)-1,0,2))+(M74-25)*Design!$B$18/1000</f>
        <v>0.42099995875680457</v>
      </c>
      <c r="E74" s="173">
        <f ca="1">IF(100*(Design!$C$29+D74+C74*IF(ISBLANK(Design!$B$43),Constants!$C$6,Design!$B$43)/1000*(1+Constants!$C$36/100*(N74-25)))/($B74+D74-C74*O74/1000)&gt;Design!$B$36,Design!$B$37,100*(Design!$C$29+D74+C74*IF(ISBLANK(Design!$B$43),Constants!$C$6,Design!$B$43)/1000*(1+Constants!$C$36/100*(N74-25)))/($B74+D74-C74*O74/1000))</f>
        <v>94.44369207948381</v>
      </c>
      <c r="F74" s="115">
        <f ca="1">IF(($B74-C74*IF(ISBLANK(Design!$B$43),Constants!$C$6,Design!$B$43)/1000*(1+Constants!$C$36/100*(N74-25))-Design!$C$29)/(IF(ISBLANK(Design!$B$42),Design!$B$40,Design!$B$42)/1000000)*E74/100/(IF(ISBLANK(Design!$B$33),Design!$B$32,Design!$B$33)*1000000)&lt;0,0,($B74-C74*IF(ISBLANK(Design!$B$43),Constants!$C$6,Design!$B$43)/1000*(1+Constants!$C$36/100*(N74-25))-Design!$C$29)/(IF(ISBLANK(Design!$B$42),Design!$B$40,Design!$B$42)/1000000)*E74/100/(IF(ISBLANK(Design!$B$33),Design!$B$32,Design!$B$33)*1000000))</f>
        <v>0.2255423761714517</v>
      </c>
      <c r="G74" s="165">
        <f>B74*Constants!$C$21/1000+IF(ISBLANK(Design!$B$33),Design!$B$32,Design!$B$33)*1000000*Constants!$D$25/1000000000*(B74-Constants!$C$24)</f>
        <v>1.8026874999999994E-2</v>
      </c>
      <c r="H74" s="165">
        <f>B74*C74*(B74/(Constants!$C$26*1000000000)*IF(ISBLANK(Design!$B$33),Design!$B$32,Design!$B$33)*1000000/2+B74/(Constants!$C$27*1000000000)*IF(ISBLANK(Design!$B$33),Design!$B$32,Design!$B$33)*1000000/2)</f>
        <v>6.7961085937499957E-2</v>
      </c>
      <c r="I74" s="165">
        <f t="shared" ca="1" si="13"/>
        <v>1.9429450658424012</v>
      </c>
      <c r="J74" s="165">
        <f>Constants!$D$25/1000000000*Constants!$C$24*IF(ISBLANK(Design!$B$33),Design!$B$32,Design!$B$33)*1000000</f>
        <v>1.0624999999999999E-2</v>
      </c>
      <c r="K74" s="165">
        <f t="shared" ca="1" si="22"/>
        <v>2.0395580267799014</v>
      </c>
      <c r="L74" s="165">
        <f t="shared" ca="1" si="17"/>
        <v>7.0176162161322678E-2</v>
      </c>
      <c r="M74" s="166">
        <f ca="1">$A74+L74*Design!$B$19</f>
        <v>89.000041243195398</v>
      </c>
      <c r="N74" s="166">
        <f ca="1">K74*Design!$C$12+A74</f>
        <v>154.34497291051665</v>
      </c>
      <c r="O74" s="166">
        <f ca="1">Constants!$D$22+Constants!$D$22*Constants!$C$23/100*(N74-25)</f>
        <v>228.47597832841331</v>
      </c>
      <c r="P74" s="165">
        <f ca="1">IF(100*(Design!$C$29+D74+C74*IF(ISBLANK(Design!$B$43),Constants!$C$6,Design!$B$43)/1000*(1+Constants!$C$36/100*(N74-25)))/($B74+D74-C74*O74/1000)&gt;Design!$B$36,   (1-Constants!$D$20/1000000000*IF(ISBLANK(Design!$B$33),Design!$B$32/4,Design!$B$33/4)*1000000) * ($B74+D74-C74*O74/1000) - (D74+C74*(1+($A74-25)*Constants!$C$36/100)*IF(ISBLANK(Design!$B$43),Constants!$C$6/1000,Design!$B$43/1000)),  (1-Constants!$D$20/1000000000*IF(ISBLANK(Design!$B$33),Design!$B$32,Design!$B$33)*1000000) * ($B74+D74-C74*O74/1000) - (D74+C74*(1+($A74-25)*Constants!$C$36/100)*IF(ISBLANK(Design!$B$43),Constants!$C$6/1000,Design!$B$43/1000)))</f>
        <v>5.0336119607013803</v>
      </c>
      <c r="Q74" s="115">
        <f ca="1">IF(P74&gt;Design!$C$29,Design!$C$29,P74)</f>
        <v>4.9990521327014221</v>
      </c>
      <c r="R74" s="116">
        <f>2*Design!$D$7/3</f>
        <v>2</v>
      </c>
      <c r="S74" s="116">
        <f ca="1">FORECAST(R74, OFFSET(Design!$C$15:$C$17,MATCH(R74,Design!$B$15:$B$17,1)-1,0,2), OFFSET(Design!$B$15:$B$17,MATCH(R74,Design!$B$15:$B$17,1)-1,0,2))+(AB74-25)*Design!$B$18/1000</f>
        <v>0.39490835939423541</v>
      </c>
      <c r="T74" s="182">
        <f ca="1">IF(100*(Design!$C$29+S74+R74*IF(ISBLANK(Design!$B$43),Constants!$C$6,Design!$B$43)/1000*(1+Constants!$C$36/100*(AC74-25)))/($B74+S74-R74*AD74/1000)&gt;Design!$B$36,Design!$B$37,100*(Design!$C$29+S74+R74*IF(ISBLANK(Design!$B$43),Constants!$C$6,Design!$B$43)/1000*(1+Constants!$C$36/100*(AC74-25)))/($B74+S74-R74*AD74/1000))</f>
        <v>88.69015734329713</v>
      </c>
      <c r="U74" s="117">
        <f ca="1">IF(($B74-R74*IF(ISBLANK(Design!$B$43),Constants!$C$6,Design!$B$43)/1000*(1+Constants!$C$36/100*(AC74-25))-Design!$C$29)/(IF(ISBLANK(Design!$B$42),Design!$B$40,Design!$B$42)/1000000)*T74/100/(IF(ISBLANK(Design!$B$33),Design!$B$32,Design!$B$33)*1000000)&lt;0,0,($B74-R74*IF(ISBLANK(Design!$B$43),Constants!$C$6,Design!$B$43)/1000*(1+Constants!$C$36/100*(AC74-25))-Design!$C$29)/(IF(ISBLANK(Design!$B$42),Design!$B$40,Design!$B$42)/1000000)*T74/100/(IF(ISBLANK(Design!$B$33),Design!$B$32,Design!$B$33)*1000000))</f>
        <v>0.22724271881597569</v>
      </c>
      <c r="V74" s="183">
        <f>$B74*Constants!$C$21/1000+IF(ISBLANK(Design!$B$33),Design!$B$32,Design!$B$33)*1000000*Constants!$D$25/1000000000*($B74-Constants!$C$24)</f>
        <v>1.8026874999999994E-2</v>
      </c>
      <c r="W74" s="183">
        <f>$B74*R74*($B74/(Constants!$C$26*1000000000)*IF(ISBLANK(Design!$B$33),Design!$B$32,Design!$B$33)*1000000/2+$B74/(Constants!$C$27*1000000000)*IF(ISBLANK(Design!$B$33),Design!$B$32,Design!$B$33)*1000000/2)</f>
        <v>4.5307390624999978E-2</v>
      </c>
      <c r="X74" s="183">
        <f t="shared" ca="1" si="14"/>
        <v>0.68800047920428931</v>
      </c>
      <c r="Y74" s="183">
        <f>Constants!$D$25/1000000000*Constants!$C$24*IF(ISBLANK(Design!$B$33),Design!$B$32,Design!$B$33)*1000000</f>
        <v>1.0624999999999999E-2</v>
      </c>
      <c r="Z74" s="183">
        <f t="shared" ca="1" si="23"/>
        <v>0.7619597448292893</v>
      </c>
      <c r="AA74" s="183">
        <f t="shared" ca="1" si="19"/>
        <v>8.9327028171309442E-2</v>
      </c>
      <c r="AB74" s="184">
        <f ca="1">$A74+AA74*Design!$B$19</f>
        <v>90.091640605764638</v>
      </c>
      <c r="AC74" s="184">
        <f ca="1">Z74*Design!$C$12+$A74</f>
        <v>110.90663132419584</v>
      </c>
      <c r="AD74" s="184">
        <f ca="1">Constants!$D$22+Constants!$D$22*Constants!$C$23/100*(AC74-25)</f>
        <v>193.72530505935669</v>
      </c>
      <c r="AE74" s="183">
        <f ca="1">IF(100*(Design!$C$29+S74+R74*IF(ISBLANK(Design!$B$43),Constants!$C$6,Design!$B$43)/1000*(1+Constants!$C$36/100*(AC74-25)))/($B74+S74-R74*AD74/1000)&gt;Design!$B$36,   (1-Constants!$D$20/1000000000*IF(ISBLANK(Design!$B$33),Design!$B$32/4,Design!$B$33/4)*1000000) * ($B74+S74-R74*AD74/1000) - (S74+R74*(1+($A74-25)*Constants!$C$36/100)*IF(ISBLANK(Design!$B$43),Constants!$C$6/1000,Design!$B$43/1000)),  (1-Constants!$D$20/1000000000*IF(ISBLANK(Design!$B$33),Design!$B$32,Design!$B$33)*1000000) * ($B74+S74-R74*AD74/1000) - (S74+R74*(1+($A74-25)*Constants!$C$36/100)*IF(ISBLANK(Design!$B$43),Constants!$C$6/1000,Design!$B$43/1000)))</f>
        <v>5.3659995992338132</v>
      </c>
      <c r="AF74" s="117">
        <f ca="1">IF(AE74&gt;Design!$C$29,Design!$C$29,AE74)</f>
        <v>4.9990521327014221</v>
      </c>
      <c r="AG74" s="118">
        <f>Design!$D$7/3</f>
        <v>1</v>
      </c>
      <c r="AH74" s="118">
        <f ca="1">FORECAST(AG74, OFFSET(Design!$C$15:$C$17,MATCH(AG74,Design!$B$15:$B$17,1)-1,0,2), OFFSET(Design!$B$15:$B$17,MATCH(AG74,Design!$B$15:$B$17,1)-1,0,2))+(AQ74-25)*Design!$B$18/1000</f>
        <v>0.31944352196722631</v>
      </c>
      <c r="AI74" s="194">
        <f ca="1">IF(100*(Design!$C$29+AH74+AG74*IF(ISBLANK(Design!$B$43),Constants!$C$6,Design!$B$43)/1000*(1+Constants!$C$36/100*(AR74-25)))/($B74+AH74-AG74*AS74/1000)&gt;Design!$B$36,Design!$B$37,100*(Design!$C$29+AH74+AG74*IF(ISBLANK(Design!$B$43),Constants!$C$6,Design!$B$43)/1000*(1+Constants!$C$36/100*(AR74-25)))/($B74+AH74-AG74*AS74/1000))</f>
        <v>84.739359564902387</v>
      </c>
      <c r="AJ74" s="119">
        <f ca="1">IF(($B74-AG74*IF(ISBLANK(Design!$B$43),Constants!$C$6,Design!$B$43)/1000*(1+Constants!$C$36/100*(AR74-25))-Design!$C$29)/(IF(ISBLANK(Design!$B$42),Design!$B$40,Design!$B$42)/1000000)*AI74/100/(IF(ISBLANK(Design!$B$33),Design!$B$32,Design!$B$33)*1000000)&lt;0,0,($B74-AG74*IF(ISBLANK(Design!$B$43),Constants!$C$6,Design!$B$43)/1000*(1+Constants!$C$36/100*(AR74-25))-Design!$C$29)/(IF(ISBLANK(Design!$B$42),Design!$B$40,Design!$B$42)/1000000)*AI74/100/(IF(ISBLANK(Design!$B$33),Design!$B$32,Design!$B$33)*1000000))</f>
        <v>0.22838345123681969</v>
      </c>
      <c r="AK74" s="195">
        <f>$B74*Constants!$C$21/1000+IF(ISBLANK(Design!$B$33),Design!$B$32,Design!$B$33)*1000000*Constants!$D$25/1000000000*($B74-Constants!$C$24)</f>
        <v>1.8026874999999994E-2</v>
      </c>
      <c r="AL74" s="195">
        <f>$B74*AG74*($B74/(Constants!$C$26*1000000000)*IF(ISBLANK(Design!$B$33),Design!$B$32,Design!$B$33)*1000000/2+$B74/(Constants!$C$27*1000000000)*IF(ISBLANK(Design!$B$33),Design!$B$32,Design!$B$33)*1000000/2)</f>
        <v>2.2653695312499989E-2</v>
      </c>
      <c r="AM74" s="195">
        <f t="shared" ca="1" si="15"/>
        <v>0.15194131853331752</v>
      </c>
      <c r="AN74" s="195">
        <f>Constants!$D$25/1000000000*Constants!$C$24*IF(ISBLANK(Design!$B$33),Design!$B$32,Design!$B$33)*1000000</f>
        <v>1.0624999999999999E-2</v>
      </c>
      <c r="AO74" s="195">
        <f t="shared" ca="1" si="24"/>
        <v>0.20324688884581749</v>
      </c>
      <c r="AP74" s="195">
        <f t="shared" ca="1" si="21"/>
        <v>4.8749127280630473E-2</v>
      </c>
      <c r="AQ74" s="196">
        <f ca="1">$A74+AP74*Design!$B$19</f>
        <v>87.77870025499594</v>
      </c>
      <c r="AR74" s="196">
        <f ca="1">AO74*Design!$C$12+$A74</f>
        <v>91.910394220757794</v>
      </c>
      <c r="AS74" s="196">
        <f ca="1">Constants!$D$22+Constants!$D$22*Constants!$C$23/100*(AR74-25)</f>
        <v>178.52831537660623</v>
      </c>
      <c r="AT74" s="195">
        <f ca="1">IF(100*(Design!$C$29+AH74+AG74*IF(ISBLANK(Design!$B$43),Constants!$C$6,Design!$B$43)/1000*(1+Constants!$C$36/100*(AR74-25)))/($B74+AH74-AG74*AS74/1000)&gt;Design!$B$36,   (1-Constants!$D$20/1000000000*IF(ISBLANK(Design!$B$33),Design!$B$32/4,Design!$B$33/4)*1000000) * ($B74+AH74-AG74*AS74/1000) - (AH74+AG74*(1+($A74-25)*Constants!$C$36/100)*IF(ISBLANK(Design!$B$43),Constants!$C$6/1000,Design!$B$43/1000)),  (1-Constants!$D$20/1000000000*IF(ISBLANK(Design!$B$33),Design!$B$32,Design!$B$33)*1000000) * ($B74+AH74-AG74*AS74/1000) - (AH74+AG74*(1+($A74-25)*Constants!$C$36/100)*IF(ISBLANK(Design!$B$43),Constants!$C$6/1000,Design!$B$43/1000)))</f>
        <v>5.6169803694592604</v>
      </c>
      <c r="AU74" s="119">
        <f ca="1">IF(AT74&gt;Design!$C$29,Design!$C$29,AT74)</f>
        <v>4.9990521327014221</v>
      </c>
    </row>
    <row r="75" spans="1:47" ht="12.75" customHeight="1" x14ac:dyDescent="0.25">
      <c r="A75" s="112">
        <f>Design!$D$13</f>
        <v>85</v>
      </c>
      <c r="B75" s="113">
        <f t="shared" si="12"/>
        <v>5.9799999999999986</v>
      </c>
      <c r="C75" s="114">
        <f>Design!$D$7</f>
        <v>3</v>
      </c>
      <c r="D75" s="114">
        <f ca="1">FORECAST(C75, OFFSET(Design!$C$15:$C$17,MATCH(C75,Design!$B$15:$B$17,1)-1,0,2), OFFSET(Design!$B$15:$B$17,MATCH(C75,Design!$B$15:$B$17,1)-1,0,2))+(M75-25)*Design!$B$18/1000</f>
        <v>0.42399854194383751</v>
      </c>
      <c r="E75" s="173">
        <f ca="1">IF(100*(Design!$C$29+D75+C75*IF(ISBLANK(Design!$B$43),Constants!$C$6,Design!$B$43)/1000*(1+Constants!$C$36/100*(N75-25)))/($B75+D75-C75*O75/1000)&gt;Design!$B$36,Design!$B$37,100*(Design!$C$29+D75+C75*IF(ISBLANK(Design!$B$43),Constants!$C$6,Design!$B$43)/1000*(1+Constants!$C$36/100*(N75-25)))/($B75+D75-C75*O75/1000))</f>
        <v>98.618750000000006</v>
      </c>
      <c r="F75" s="115">
        <f ca="1">IF(($B75-C75*IF(ISBLANK(Design!$B$43),Constants!$C$6,Design!$B$43)/1000*(1+Constants!$C$36/100*(N75-25))-Design!$C$29)/(IF(ISBLANK(Design!$B$42),Design!$B$40,Design!$B$42)/1000000)*E75/100/(IF(ISBLANK(Design!$B$33),Design!$B$32,Design!$B$33)*1000000)&lt;0,0,($B75-C75*IF(ISBLANK(Design!$B$43),Constants!$C$6,Design!$B$43)/1000*(1+Constants!$C$36/100*(N75-25))-Design!$C$29)/(IF(ISBLANK(Design!$B$42),Design!$B$40,Design!$B$42)/1000000)*E75/100/(IF(ISBLANK(Design!$B$33),Design!$B$32,Design!$B$33)*1000000))</f>
        <v>0.18523122615079837</v>
      </c>
      <c r="G75" s="165">
        <f>B75*Constants!$C$21/1000+IF(ISBLANK(Design!$B$33),Design!$B$32,Design!$B$33)*1000000*Constants!$D$25/1000000000*(B75-Constants!$C$24)</f>
        <v>1.7032499999999992E-2</v>
      </c>
      <c r="H75" s="165">
        <f>B75*C75*(B75/(Constants!$C$26*1000000000)*IF(ISBLANK(Design!$B$33),Design!$B$32,Design!$B$33)*1000000/2+B75/(Constants!$C$27*1000000000)*IF(ISBLANK(Design!$B$33),Design!$B$32,Design!$B$33)*1000000/2)</f>
        <v>6.3325708333333314E-2</v>
      </c>
      <c r="I75" s="165">
        <f t="shared" ca="1" si="13"/>
        <v>2.0539806463846486</v>
      </c>
      <c r="J75" s="165">
        <f>Constants!$D$25/1000000000*Constants!$C$24*IF(ISBLANK(Design!$B$33),Design!$B$32,Design!$B$33)*1000000</f>
        <v>1.0624999999999999E-2</v>
      </c>
      <c r="K75" s="165">
        <f t="shared" ca="1" si="22"/>
        <v>2.1449638547179819</v>
      </c>
      <c r="L75" s="165">
        <f t="shared" ca="1" si="17"/>
        <v>1.7569439581797634E-2</v>
      </c>
      <c r="M75" s="166">
        <f ca="1">$A75+L75*Design!$B$19</f>
        <v>86.001458056162463</v>
      </c>
      <c r="N75" s="166">
        <f ca="1">K75*Design!$C$12+A75</f>
        <v>157.92877106041138</v>
      </c>
      <c r="O75" s="166">
        <f ca="1">Constants!$D$22+Constants!$D$22*Constants!$C$23/100*(N75-25)</f>
        <v>231.34301684832911</v>
      </c>
      <c r="P75" s="165">
        <f ca="1">IF(100*(Design!$C$29+D75+C75*IF(ISBLANK(Design!$B$43),Constants!$C$6,Design!$B$43)/1000*(1+Constants!$C$36/100*(N75-25)))/($B75+D75-C75*O75/1000)&gt;Design!$B$36,   (1-Constants!$D$20/1000000000*IF(ISBLANK(Design!$B$33),Design!$B$32/4,Design!$B$33/4)*1000000) * ($B75+D75-C75*O75/1000) - (D75+C75*(1+($A75-25)*Constants!$C$36/100)*IF(ISBLANK(Design!$B$43),Constants!$C$6/1000,Design!$B$43/1000)),  (1-Constants!$D$20/1000000000*IF(ISBLANK(Design!$B$33),Design!$B$32,Design!$B$33)*1000000) * ($B75+D75-C75*O75/1000) - (D75+C75*(1+($A75-25)*Constants!$C$36/100)*IF(ISBLANK(Design!$B$43),Constants!$C$6/1000,Design!$B$43/1000)))</f>
        <v>5.0588059958550646</v>
      </c>
      <c r="Q75" s="115">
        <f ca="1">IF(P75&gt;Design!$C$29,Design!$C$29,P75)</f>
        <v>4.9990521327014221</v>
      </c>
      <c r="R75" s="116">
        <f>2*Design!$D$7/3</f>
        <v>2</v>
      </c>
      <c r="S75" s="116">
        <f ca="1">FORECAST(R75, OFFSET(Design!$C$15:$C$17,MATCH(R75,Design!$B$15:$B$17,1)-1,0,2), OFFSET(Design!$B$15:$B$17,MATCH(R75,Design!$B$15:$B$17,1)-1,0,2))+(AB75-25)*Design!$B$18/1000</f>
        <v>0.39634019064474885</v>
      </c>
      <c r="T75" s="182">
        <f ca="1">IF(100*(Design!$C$29+S75+R75*IF(ISBLANK(Design!$B$43),Constants!$C$6,Design!$B$43)/1000*(1+Constants!$C$36/100*(AC75-25)))/($B75+S75-R75*AD75/1000)&gt;Design!$B$36,Design!$B$37,100*(Design!$C$29+S75+R75*IF(ISBLANK(Design!$B$43),Constants!$C$6,Design!$B$43)/1000*(1+Constants!$C$36/100*(AC75-25)))/($B75+S75-R75*AD75/1000))</f>
        <v>91.899991069966461</v>
      </c>
      <c r="U75" s="117">
        <f ca="1">IF(($B75-R75*IF(ISBLANK(Design!$B$43),Constants!$C$6,Design!$B$43)/1000*(1+Constants!$C$36/100*(AC75-25))-Design!$C$29)/(IF(ISBLANK(Design!$B$42),Design!$B$40,Design!$B$42)/1000000)*T75/100/(IF(ISBLANK(Design!$B$33),Design!$B$32,Design!$B$33)*1000000)&lt;0,0,($B75-R75*IF(ISBLANK(Design!$B$43),Constants!$C$6,Design!$B$43)/1000*(1+Constants!$C$36/100*(AC75-25))-Design!$C$29)/(IF(ISBLANK(Design!$B$42),Design!$B$40,Design!$B$42)/1000000)*T75/100/(IF(ISBLANK(Design!$B$33),Design!$B$32,Design!$B$33)*1000000))</f>
        <v>0.18892354439589271</v>
      </c>
      <c r="V75" s="183">
        <f>$B75*Constants!$C$21/1000+IF(ISBLANK(Design!$B$33),Design!$B$32,Design!$B$33)*1000000*Constants!$D$25/1000000000*($B75-Constants!$C$24)</f>
        <v>1.7032499999999992E-2</v>
      </c>
      <c r="W75" s="183">
        <f>$B75*R75*($B75/(Constants!$C$26*1000000000)*IF(ISBLANK(Design!$B$33),Design!$B$32,Design!$B$33)*1000000/2+$B75/(Constants!$C$27*1000000000)*IF(ISBLANK(Design!$B$33),Design!$B$32,Design!$B$33)*1000000/2)</f>
        <v>4.2217138888888874E-2</v>
      </c>
      <c r="X75" s="183">
        <f t="shared" ca="1" si="14"/>
        <v>0.71495175717442228</v>
      </c>
      <c r="Y75" s="183">
        <f>Constants!$D$25/1000000000*Constants!$C$24*IF(ISBLANK(Design!$B$33),Design!$B$32,Design!$B$33)*1000000</f>
        <v>1.0624999999999999E-2</v>
      </c>
      <c r="Z75" s="183">
        <f t="shared" ca="1" si="23"/>
        <v>0.78482639606331117</v>
      </c>
      <c r="AA75" s="183">
        <f t="shared" ca="1" si="19"/>
        <v>6.4207181671073241E-2</v>
      </c>
      <c r="AB75" s="184">
        <f ca="1">$A75+AA75*Design!$B$19</f>
        <v>88.65980935525117</v>
      </c>
      <c r="AC75" s="184">
        <f ca="1">Z75*Design!$C$12+$A75</f>
        <v>111.68409746615258</v>
      </c>
      <c r="AD75" s="184">
        <f ca="1">Constants!$D$22+Constants!$D$22*Constants!$C$23/100*(AC75-25)</f>
        <v>194.34727797292209</v>
      </c>
      <c r="AE75" s="183">
        <f ca="1">IF(100*(Design!$C$29+S75+R75*IF(ISBLANK(Design!$B$43),Constants!$C$6,Design!$B$43)/1000*(1+Constants!$C$36/100*(AC75-25)))/($B75+S75-R75*AD75/1000)&gt;Design!$B$36,   (1-Constants!$D$20/1000000000*IF(ISBLANK(Design!$B$33),Design!$B$32/4,Design!$B$33/4)*1000000) * ($B75+S75-R75*AD75/1000) - (S75+R75*(1+($A75-25)*Constants!$C$36/100)*IF(ISBLANK(Design!$B$43),Constants!$C$6/1000,Design!$B$43/1000)),  (1-Constants!$D$20/1000000000*IF(ISBLANK(Design!$B$33),Design!$B$32,Design!$B$33)*1000000) * ($B75+S75-R75*AD75/1000) - (S75+R75*(1+($A75-25)*Constants!$C$36/100)*IF(ISBLANK(Design!$B$43),Constants!$C$6/1000,Design!$B$43/1000)))</f>
        <v>5.1616240227370405</v>
      </c>
      <c r="AF75" s="117">
        <f ca="1">IF(AE75&gt;Design!$C$29,Design!$C$29,AE75)</f>
        <v>4.9990521327014221</v>
      </c>
      <c r="AG75" s="118">
        <f>Design!$D$7/3</f>
        <v>1</v>
      </c>
      <c r="AH75" s="118">
        <f ca="1">FORECAST(AG75, OFFSET(Design!$C$15:$C$17,MATCH(AG75,Design!$B$15:$B$17,1)-1,0,2), OFFSET(Design!$B$15:$B$17,MATCH(AG75,Design!$B$15:$B$17,1)-1,0,2))+(AQ75-25)*Design!$B$18/1000</f>
        <v>0.31998215085139037</v>
      </c>
      <c r="AI75" s="194">
        <f ca="1">IF(100*(Design!$C$29+AH75+AG75*IF(ISBLANK(Design!$B$43),Constants!$C$6,Design!$B$43)/1000*(1+Constants!$C$36/100*(AR75-25)))/($B75+AH75-AG75*AS75/1000)&gt;Design!$B$36,Design!$B$37,100*(Design!$C$29+AH75+AG75*IF(ISBLANK(Design!$B$43),Constants!$C$6,Design!$B$43)/1000*(1+Constants!$C$36/100*(AR75-25)))/($B75+AH75-AG75*AS75/1000))</f>
        <v>87.71822189790052</v>
      </c>
      <c r="AJ75" s="119">
        <f ca="1">IF(($B75-AG75*IF(ISBLANK(Design!$B$43),Constants!$C$6,Design!$B$43)/1000*(1+Constants!$C$36/100*(AR75-25))-Design!$C$29)/(IF(ISBLANK(Design!$B$42),Design!$B$40,Design!$B$42)/1000000)*AI75/100/(IF(ISBLANK(Design!$B$33),Design!$B$32,Design!$B$33)*1000000)&lt;0,0,($B75-AG75*IF(ISBLANK(Design!$B$43),Constants!$C$6,Design!$B$43)/1000*(1+Constants!$C$36/100*(AR75-25))-Design!$C$29)/(IF(ISBLANK(Design!$B$42),Design!$B$40,Design!$B$42)/1000000)*AI75/100/(IF(ISBLANK(Design!$B$33),Design!$B$32,Design!$B$33)*1000000))</f>
        <v>0.19203382600858093</v>
      </c>
      <c r="AK75" s="195">
        <f>$B75*Constants!$C$21/1000+IF(ISBLANK(Design!$B$33),Design!$B$32,Design!$B$33)*1000000*Constants!$D$25/1000000000*($B75-Constants!$C$24)</f>
        <v>1.7032499999999992E-2</v>
      </c>
      <c r="AL75" s="195">
        <f>$B75*AG75*($B75/(Constants!$C$26*1000000000)*IF(ISBLANK(Design!$B$33),Design!$B$32,Design!$B$33)*1000000/2+$B75/(Constants!$C$27*1000000000)*IF(ISBLANK(Design!$B$33),Design!$B$32,Design!$B$33)*1000000/2)</f>
        <v>2.1108569444444437E-2</v>
      </c>
      <c r="AM75" s="195">
        <f t="shared" ca="1" si="15"/>
        <v>0.1571469212413639</v>
      </c>
      <c r="AN75" s="195">
        <f>Constants!$D$25/1000000000*Constants!$C$24*IF(ISBLANK(Design!$B$33),Design!$B$32,Design!$B$33)*1000000</f>
        <v>1.0624999999999999E-2</v>
      </c>
      <c r="AO75" s="195">
        <f t="shared" ca="1" si="24"/>
        <v>0.20591299068580832</v>
      </c>
      <c r="AP75" s="195">
        <f t="shared" ca="1" si="21"/>
        <v>3.9299497733892998E-2</v>
      </c>
      <c r="AQ75" s="196">
        <f ca="1">$A75+AP75*Design!$B$19</f>
        <v>87.240071370831899</v>
      </c>
      <c r="AR75" s="196">
        <f ca="1">AO75*Design!$C$12+$A75</f>
        <v>92.001041683317482</v>
      </c>
      <c r="AS75" s="196">
        <f ca="1">Constants!$D$22+Constants!$D$22*Constants!$C$23/100*(AR75-25)</f>
        <v>178.60083334665399</v>
      </c>
      <c r="AT75" s="195">
        <f ca="1">IF(100*(Design!$C$29+AH75+AG75*IF(ISBLANK(Design!$B$43),Constants!$C$6,Design!$B$43)/1000*(1+Constants!$C$36/100*(AR75-25)))/($B75+AH75-AG75*AS75/1000)&gt;Design!$B$36,   (1-Constants!$D$20/1000000000*IF(ISBLANK(Design!$B$33),Design!$B$32/4,Design!$B$33/4)*1000000) * ($B75+AH75-AG75*AS75/1000) - (AH75+AG75*(1+($A75-25)*Constants!$C$36/100)*IF(ISBLANK(Design!$B$43),Constants!$C$6/1000,Design!$B$43/1000)),  (1-Constants!$D$20/1000000000*IF(ISBLANK(Design!$B$33),Design!$B$32,Design!$B$33)*1000000) * ($B75+AH75-AG75*AS75/1000) - (AH75+AG75*(1+($A75-25)*Constants!$C$36/100)*IF(ISBLANK(Design!$B$43),Constants!$C$6/1000,Design!$B$43/1000)))</f>
        <v>5.413760848861207</v>
      </c>
      <c r="AU75" s="119">
        <f ca="1">IF(AT75&gt;Design!$C$29,Design!$C$29,AT75)</f>
        <v>4.9990521327014221</v>
      </c>
    </row>
    <row r="76" spans="1:47" ht="12.75" customHeight="1" x14ac:dyDescent="0.25">
      <c r="A76" s="112">
        <f>Design!$D$13</f>
        <v>85</v>
      </c>
      <c r="B76" s="113">
        <f t="shared" si="12"/>
        <v>5.7649999999999988</v>
      </c>
      <c r="C76" s="114">
        <f>Design!$D$7</f>
        <v>3</v>
      </c>
      <c r="D76" s="114">
        <f ca="1">FORECAST(C76, OFFSET(Design!$C$15:$C$17,MATCH(C76,Design!$B$15:$B$17,1)-1,0,2), OFFSET(Design!$B$15:$B$17,MATCH(C76,Design!$B$15:$B$17,1)-1,0,2))+(M76-25)*Design!$B$18/1000</f>
        <v>0.42399854194383751</v>
      </c>
      <c r="E76" s="173">
        <f ca="1">IF(100*(Design!$C$29+D76+C76*IF(ISBLANK(Design!$B$43),Constants!$C$6,Design!$B$43)/1000*(1+Constants!$C$36/100*(N76-25)))/($B76+D76-C76*O76/1000)&gt;Design!$B$36,Design!$B$37,100*(Design!$C$29+D76+C76*IF(ISBLANK(Design!$B$43),Constants!$C$6,Design!$B$43)/1000*(1+Constants!$C$36/100*(N76-25)))/($B76+D76-C76*O76/1000))</f>
        <v>98.618750000000006</v>
      </c>
      <c r="F76" s="115">
        <f ca="1">IF(($B76-C76*IF(ISBLANK(Design!$B$43),Constants!$C$6,Design!$B$43)/1000*(1+Constants!$C$36/100*(N76-25))-Design!$C$29)/(IF(ISBLANK(Design!$B$42),Design!$B$40,Design!$B$42)/1000000)*E76/100/(IF(ISBLANK(Design!$B$33),Design!$B$32,Design!$B$33)*1000000)&lt;0,0,($B76-C76*IF(ISBLANK(Design!$B$43),Constants!$C$6,Design!$B$43)/1000*(1+Constants!$C$36/100*(N76-25))-Design!$C$29)/(IF(ISBLANK(Design!$B$42),Design!$B$40,Design!$B$42)/1000000)*E76/100/(IF(ISBLANK(Design!$B$33),Design!$B$32,Design!$B$33)*1000000))</f>
        <v>0.1353700428807538</v>
      </c>
      <c r="G76" s="165">
        <f>B76*Constants!$C$21/1000+IF(ISBLANK(Design!$B$33),Design!$B$32,Design!$B$33)*1000000*Constants!$D$25/1000000000*(B76-Constants!$C$24)</f>
        <v>1.6038124999999997E-2</v>
      </c>
      <c r="H76" s="165">
        <f>B76*C76*(B76/(Constants!$C$26*1000000000)*IF(ISBLANK(Design!$B$33),Design!$B$32,Design!$B$33)*1000000/2+B76/(Constants!$C$27*1000000000)*IF(ISBLANK(Design!$B$33),Design!$B$32,Design!$B$33)*1000000/2)</f>
        <v>5.8854044270833308E-2</v>
      </c>
      <c r="I76" s="165">
        <f t="shared" ca="1" si="13"/>
        <v>2.0518400216925801</v>
      </c>
      <c r="J76" s="165">
        <f>Constants!$D$25/1000000000*Constants!$C$24*IF(ISBLANK(Design!$B$33),Design!$B$32,Design!$B$33)*1000000</f>
        <v>1.0624999999999999E-2</v>
      </c>
      <c r="K76" s="165">
        <f t="shared" ca="1" si="22"/>
        <v>2.1373571909634137</v>
      </c>
      <c r="L76" s="165">
        <f t="shared" ca="1" si="17"/>
        <v>1.7569439581797634E-2</v>
      </c>
      <c r="M76" s="166">
        <f ca="1">$A76+L76*Design!$B$19</f>
        <v>86.001458056162463</v>
      </c>
      <c r="N76" s="166">
        <f ca="1">K76*Design!$C$12+A76</f>
        <v>157.67014449275607</v>
      </c>
      <c r="O76" s="166">
        <f ca="1">Constants!$D$22+Constants!$D$22*Constants!$C$23/100*(N76-25)</f>
        <v>231.13611559420485</v>
      </c>
      <c r="P76" s="165">
        <f ca="1">IF(100*(Design!$C$29+D76+C76*IF(ISBLANK(Design!$B$43),Constants!$C$6,Design!$B$43)/1000*(1+Constants!$C$36/100*(N76-25)))/($B76+D76-C76*O76/1000)&gt;Design!$B$36,   (1-Constants!$D$20/1000000000*IF(ISBLANK(Design!$B$33),Design!$B$32/4,Design!$B$33/4)*1000000) * ($B76+D76-C76*O76/1000) - (D76+C76*(1+($A76-25)*Constants!$C$36/100)*IF(ISBLANK(Design!$B$43),Constants!$C$6/1000,Design!$B$43/1000)),  (1-Constants!$D$20/1000000000*IF(ISBLANK(Design!$B$33),Design!$B$32,Design!$B$33)*1000000) * ($B76+D76-C76*O76/1000) - (D76+C76*(1+($A76-25)*Constants!$C$36/100)*IF(ISBLANK(Design!$B$43),Constants!$C$6/1000,Design!$B$43/1000)))</f>
        <v>4.8473878136467192</v>
      </c>
      <c r="Q76" s="115">
        <f ca="1">IF(P76&gt;Design!$C$29,Design!$C$29,P76)</f>
        <v>4.8473878136467192</v>
      </c>
      <c r="R76" s="116">
        <f>2*Design!$D$7/3</f>
        <v>2</v>
      </c>
      <c r="S76" s="116">
        <f ca="1">FORECAST(R76, OFFSET(Design!$C$15:$C$17,MATCH(R76,Design!$B$15:$B$17,1)-1,0,2), OFFSET(Design!$B$15:$B$17,MATCH(R76,Design!$B$15:$B$17,1)-1,0,2))+(AB76-25)*Design!$B$18/1000</f>
        <v>0.39937114021833375</v>
      </c>
      <c r="T76" s="182">
        <f ca="1">IF(100*(Design!$C$29+S76+R76*IF(ISBLANK(Design!$B$43),Constants!$C$6,Design!$B$43)/1000*(1+Constants!$C$36/100*(AC76-25)))/($B76+S76-R76*AD76/1000)&gt;Design!$B$36,Design!$B$37,100*(Design!$C$29+S76+R76*IF(ISBLANK(Design!$B$43),Constants!$C$6,Design!$B$43)/1000*(1+Constants!$C$36/100*(AC76-25)))/($B76+S76-R76*AD76/1000))</f>
        <v>98.618750000000006</v>
      </c>
      <c r="U76" s="117">
        <f ca="1">IF(($B76-R76*IF(ISBLANK(Design!$B$43),Constants!$C$6,Design!$B$43)/1000*(1+Constants!$C$36/100*(AC76-25))-Design!$C$29)/(IF(ISBLANK(Design!$B$42),Design!$B$40,Design!$B$42)/1000000)*T76/100/(IF(ISBLANK(Design!$B$33),Design!$B$32,Design!$B$33)*1000000)&lt;0,0,($B76-R76*IF(ISBLANK(Design!$B$43),Constants!$C$6,Design!$B$43)/1000*(1+Constants!$C$36/100*(AC76-25))-Design!$C$29)/(IF(ISBLANK(Design!$B$42),Design!$B$40,Design!$B$42)/1000000)*T76/100/(IF(ISBLANK(Design!$B$33),Design!$B$32,Design!$B$33)*1000000))</f>
        <v>0.15271250892323507</v>
      </c>
      <c r="V76" s="183">
        <f>$B76*Constants!$C$21/1000+IF(ISBLANK(Design!$B$33),Design!$B$32,Design!$B$33)*1000000*Constants!$D$25/1000000000*($B76-Constants!$C$24)</f>
        <v>1.6038124999999997E-2</v>
      </c>
      <c r="W76" s="183">
        <f>$B76*R76*($B76/(Constants!$C$26*1000000000)*IF(ISBLANK(Design!$B$33),Design!$B$32,Design!$B$33)*1000000/2+$B76/(Constants!$C$27*1000000000)*IF(ISBLANK(Design!$B$33),Design!$B$32,Design!$B$33)*1000000/2)</f>
        <v>3.9236029513888875E-2</v>
      </c>
      <c r="X76" s="183">
        <f t="shared" ca="1" si="14"/>
        <v>0.77280796718908462</v>
      </c>
      <c r="Y76" s="183">
        <f>Constants!$D$25/1000000000*Constants!$C$24*IF(ISBLANK(Design!$B$33),Design!$B$32,Design!$B$33)*1000000</f>
        <v>1.0624999999999999E-2</v>
      </c>
      <c r="Z76" s="183">
        <f t="shared" ca="1" si="23"/>
        <v>0.83870712170297346</v>
      </c>
      <c r="AA76" s="183">
        <f t="shared" ca="1" si="19"/>
        <v>1.1032627748531386E-2</v>
      </c>
      <c r="AB76" s="184">
        <f ca="1">$A76+AA76*Design!$B$19</f>
        <v>85.628859781666293</v>
      </c>
      <c r="AC76" s="184">
        <f ca="1">Z76*Design!$C$12+$A76</f>
        <v>113.5160421379011</v>
      </c>
      <c r="AD76" s="184">
        <f ca="1">Constants!$D$22+Constants!$D$22*Constants!$C$23/100*(AC76-25)</f>
        <v>195.81283371032089</v>
      </c>
      <c r="AE76" s="183">
        <f ca="1">IF(100*(Design!$C$29+S76+R76*IF(ISBLANK(Design!$B$43),Constants!$C$6,Design!$B$43)/1000*(1+Constants!$C$36/100*(AC76-25)))/($B76+S76-R76*AD76/1000)&gt;Design!$B$36,   (1-Constants!$D$20/1000000000*IF(ISBLANK(Design!$B$33),Design!$B$32/4,Design!$B$33/4)*1000000) * ($B76+S76-R76*AD76/1000) - (S76+R76*(1+($A76-25)*Constants!$C$36/100)*IF(ISBLANK(Design!$B$43),Constants!$C$6/1000,Design!$B$43/1000)),  (1-Constants!$D$20/1000000000*IF(ISBLANK(Design!$B$33),Design!$B$32,Design!$B$33)*1000000) * ($B76+S76-R76*AD76/1000) - (S76+R76*(1+($A76-25)*Constants!$C$36/100)*IF(ISBLANK(Design!$B$43),Constants!$C$6/1000,Design!$B$43/1000)))</f>
        <v>5.1947742857363384</v>
      </c>
      <c r="AF76" s="117">
        <f ca="1">IF(AE76&gt;Design!$C$29,Design!$C$29,AE76)</f>
        <v>4.9990521327014221</v>
      </c>
      <c r="AG76" s="118">
        <f>Design!$D$7/3</f>
        <v>1</v>
      </c>
      <c r="AH76" s="118">
        <f ca="1">FORECAST(AG76, OFFSET(Design!$C$15:$C$17,MATCH(AG76,Design!$B$15:$B$17,1)-1,0,2), OFFSET(Design!$B$15:$B$17,MATCH(AG76,Design!$B$15:$B$17,1)-1,0,2))+(AQ76-25)*Design!$B$18/1000</f>
        <v>0.32056198296642685</v>
      </c>
      <c r="AI76" s="194">
        <f ca="1">IF(100*(Design!$C$29+AH76+AG76*IF(ISBLANK(Design!$B$43),Constants!$C$6,Design!$B$43)/1000*(1+Constants!$C$36/100*(AR76-25)))/($B76+AH76-AG76*AS76/1000)&gt;Design!$B$36,Design!$B$37,100*(Design!$C$29+AH76+AG76*IF(ISBLANK(Design!$B$43),Constants!$C$6,Design!$B$43)/1000*(1+Constants!$C$36/100*(AR76-25)))/($B76+AH76-AG76*AS76/1000))</f>
        <v>90.913768308361995</v>
      </c>
      <c r="AJ76" s="119">
        <f ca="1">IF(($B76-AG76*IF(ISBLANK(Design!$B$43),Constants!$C$6,Design!$B$43)/1000*(1+Constants!$C$36/100*(AR76-25))-Design!$C$29)/(IF(ISBLANK(Design!$B$42),Design!$B$40,Design!$B$42)/1000000)*AI76/100/(IF(ISBLANK(Design!$B$33),Design!$B$32,Design!$B$33)*1000000)&lt;0,0,($B76-AG76*IF(ISBLANK(Design!$B$43),Constants!$C$6,Design!$B$43)/1000*(1+Constants!$C$36/100*(AR76-25))-Design!$C$29)/(IF(ISBLANK(Design!$B$42),Design!$B$40,Design!$B$42)/1000000)*AI76/100/(IF(ISBLANK(Design!$B$33),Design!$B$32,Design!$B$33)*1000000))</f>
        <v>0.15303430017373165</v>
      </c>
      <c r="AK76" s="195">
        <f>$B76*Constants!$C$21/1000+IF(ISBLANK(Design!$B$33),Design!$B$32,Design!$B$33)*1000000*Constants!$D$25/1000000000*($B76-Constants!$C$24)</f>
        <v>1.6038124999999997E-2</v>
      </c>
      <c r="AL76" s="195">
        <f>$B76*AG76*($B76/(Constants!$C$26*1000000000)*IF(ISBLANK(Design!$B$33),Design!$B$32,Design!$B$33)*1000000/2+$B76/(Constants!$C$27*1000000000)*IF(ISBLANK(Design!$B$33),Design!$B$32,Design!$B$33)*1000000/2)</f>
        <v>1.9618014756944437E-2</v>
      </c>
      <c r="AM76" s="195">
        <f t="shared" ca="1" si="15"/>
        <v>0.1627673255450848</v>
      </c>
      <c r="AN76" s="195">
        <f>Constants!$D$25/1000000000*Constants!$C$24*IF(ISBLANK(Design!$B$33),Design!$B$32,Design!$B$33)*1000000</f>
        <v>1.0624999999999999E-2</v>
      </c>
      <c r="AO76" s="195">
        <f t="shared" ca="1" si="24"/>
        <v>0.20904846530202922</v>
      </c>
      <c r="AP76" s="195">
        <f t="shared" ca="1" si="21"/>
        <v>2.9127004487638691E-2</v>
      </c>
      <c r="AQ76" s="196">
        <f ca="1">$A76+AP76*Design!$B$19</f>
        <v>86.660239255795403</v>
      </c>
      <c r="AR76" s="196">
        <f ca="1">AO76*Design!$C$12+$A76</f>
        <v>92.107647820268994</v>
      </c>
      <c r="AS76" s="196">
        <f ca="1">Constants!$D$22+Constants!$D$22*Constants!$C$23/100*(AR76-25)</f>
        <v>178.6861182562152</v>
      </c>
      <c r="AT76" s="195">
        <f ca="1">IF(100*(Design!$C$29+AH76+AG76*IF(ISBLANK(Design!$B$43),Constants!$C$6,Design!$B$43)/1000*(1+Constants!$C$36/100*(AR76-25)))/($B76+AH76-AG76*AS76/1000)&gt;Design!$B$36,   (1-Constants!$D$20/1000000000*IF(ISBLANK(Design!$B$33),Design!$B$32/4,Design!$B$33/4)*1000000) * ($B76+AH76-AG76*AS76/1000) - (AH76+AG76*(1+($A76-25)*Constants!$C$36/100)*IF(ISBLANK(Design!$B$43),Constants!$C$6/1000,Design!$B$43/1000)),  (1-Constants!$D$20/1000000000*IF(ISBLANK(Design!$B$33),Design!$B$32,Design!$B$33)*1000000) * ($B76+AH76-AG76*AS76/1000) - (AH76+AG76*(1+($A76-25)*Constants!$C$36/100)*IF(ISBLANK(Design!$B$43),Constants!$C$6/1000,Design!$B$43/1000)))</f>
        <v>5.2105269902185443</v>
      </c>
      <c r="AU76" s="119">
        <f ca="1">IF(AT76&gt;Design!$C$29,Design!$C$29,AT76)</f>
        <v>4.9990521327014221</v>
      </c>
    </row>
    <row r="77" spans="1:47" ht="12.75" customHeight="1" x14ac:dyDescent="0.25">
      <c r="A77" s="112">
        <f>Design!$D$13</f>
        <v>85</v>
      </c>
      <c r="B77" s="113">
        <f t="shared" si="12"/>
        <v>5.5499999999999989</v>
      </c>
      <c r="C77" s="114">
        <f>Design!$D$7</f>
        <v>3</v>
      </c>
      <c r="D77" s="114">
        <f ca="1">FORECAST(C77, OFFSET(Design!$C$15:$C$17,MATCH(C77,Design!$B$15:$B$17,1)-1,0,2), OFFSET(Design!$B$15:$B$17,MATCH(C77,Design!$B$15:$B$17,1)-1,0,2))+(M77-25)*Design!$B$18/1000</f>
        <v>0.42399854194383751</v>
      </c>
      <c r="E77" s="173">
        <f ca="1">IF(100*(Design!$C$29+D77+C77*IF(ISBLANK(Design!$B$43),Constants!$C$6,Design!$B$43)/1000*(1+Constants!$C$36/100*(N77-25)))/($B77+D77-C77*O77/1000)&gt;Design!$B$36,Design!$B$37,100*(Design!$C$29+D77+C77*IF(ISBLANK(Design!$B$43),Constants!$C$6,Design!$B$43)/1000*(1+Constants!$C$36/100*(N77-25)))/($B77+D77-C77*O77/1000))</f>
        <v>98.618750000000006</v>
      </c>
      <c r="F77" s="115">
        <f ca="1">IF(($B77-C77*IF(ISBLANK(Design!$B$43),Constants!$C$6,Design!$B$43)/1000*(1+Constants!$C$36/100*(N77-25))-Design!$C$29)/(IF(ISBLANK(Design!$B$42),Design!$B$40,Design!$B$42)/1000000)*E77/100/(IF(ISBLANK(Design!$B$33),Design!$B$32,Design!$B$33)*1000000)&lt;0,0,($B77-C77*IF(ISBLANK(Design!$B$43),Constants!$C$6,Design!$B$43)/1000*(1+Constants!$C$36/100*(N77-25))-Design!$C$29)/(IF(ISBLANK(Design!$B$42),Design!$B$40,Design!$B$42)/1000000)*E77/100/(IF(ISBLANK(Design!$B$33),Design!$B$32,Design!$B$33)*1000000))</f>
        <v>8.5507591112608056E-2</v>
      </c>
      <c r="G77" s="165">
        <f>B77*Constants!$C$21/1000+IF(ISBLANK(Design!$B$33),Design!$B$32,Design!$B$33)*1000000*Constants!$D$25/1000000000*(B77-Constants!$C$24)</f>
        <v>1.5043749999999995E-2</v>
      </c>
      <c r="H77" s="165">
        <f>B77*C77*(B77/(Constants!$C$26*1000000000)*IF(ISBLANK(Design!$B$33),Design!$B$32,Design!$B$33)*1000000/2+B77/(Constants!$C$27*1000000000)*IF(ISBLANK(Design!$B$33),Design!$B$32,Design!$B$33)*1000000/2)</f>
        <v>5.4546093749999983E-2</v>
      </c>
      <c r="I77" s="165">
        <f t="shared" ca="1" si="13"/>
        <v>2.0498766144998029</v>
      </c>
      <c r="J77" s="165">
        <f>Constants!$D$25/1000000000*Constants!$C$24*IF(ISBLANK(Design!$B$33),Design!$B$32,Design!$B$33)*1000000</f>
        <v>1.0624999999999999E-2</v>
      </c>
      <c r="K77" s="165">
        <f t="shared" ca="1" si="22"/>
        <v>2.1300914582498027</v>
      </c>
      <c r="L77" s="165">
        <f t="shared" ca="1" si="17"/>
        <v>1.7569439581797634E-2</v>
      </c>
      <c r="M77" s="166">
        <f ca="1">$A77+L77*Design!$B$19</f>
        <v>86.001458056162463</v>
      </c>
      <c r="N77" s="166">
        <f ca="1">K77*Design!$C$12+A77</f>
        <v>157.4231095804933</v>
      </c>
      <c r="O77" s="166">
        <f ca="1">Constants!$D$22+Constants!$D$22*Constants!$C$23/100*(N77-25)</f>
        <v>230.93848766439464</v>
      </c>
      <c r="P77" s="165">
        <f ca="1">IF(100*(Design!$C$29+D77+C77*IF(ISBLANK(Design!$B$43),Constants!$C$6,Design!$B$43)/1000*(1+Constants!$C$36/100*(N77-25)))/($B77+D77-C77*O77/1000)&gt;Design!$B$36,   (1-Constants!$D$20/1000000000*IF(ISBLANK(Design!$B$33),Design!$B$32/4,Design!$B$33/4)*1000000) * ($B77+D77-C77*O77/1000) - (D77+C77*(1+($A77-25)*Constants!$C$36/100)*IF(ISBLANK(Design!$B$43),Constants!$C$6/1000,Design!$B$43/1000)),  (1-Constants!$D$20/1000000000*IF(ISBLANK(Design!$B$33),Design!$B$32,Design!$B$33)*1000000) * ($B77+D77-C77*O77/1000) - (D77+C77*(1+($A77-25)*Constants!$C$36/100)*IF(ISBLANK(Design!$B$43),Constants!$C$6/1000,Design!$B$43/1000)))</f>
        <v>4.6359421957288092</v>
      </c>
      <c r="Q77" s="115">
        <f ca="1">IF(P77&gt;Design!$C$29,Design!$C$29,P77)</f>
        <v>4.6359421957288092</v>
      </c>
      <c r="R77" s="116">
        <f>2*Design!$D$7/3</f>
        <v>2</v>
      </c>
      <c r="S77" s="116">
        <f ca="1">FORECAST(R77, OFFSET(Design!$C$15:$C$17,MATCH(R77,Design!$B$15:$B$17,1)-1,0,2), OFFSET(Design!$B$15:$B$17,MATCH(R77,Design!$B$15:$B$17,1)-1,0,2))+(AB77-25)*Design!$B$18/1000</f>
        <v>0.39937114021833375</v>
      </c>
      <c r="T77" s="182">
        <f ca="1">IF(100*(Design!$C$29+S77+R77*IF(ISBLANK(Design!$B$43),Constants!$C$6,Design!$B$43)/1000*(1+Constants!$C$36/100*(AC77-25)))/($B77+S77-R77*AD77/1000)&gt;Design!$B$36,Design!$B$37,100*(Design!$C$29+S77+R77*IF(ISBLANK(Design!$B$43),Constants!$C$6,Design!$B$43)/1000*(1+Constants!$C$36/100*(AC77-25)))/($B77+S77-R77*AD77/1000))</f>
        <v>98.618750000000006</v>
      </c>
      <c r="U77" s="117">
        <f ca="1">IF(($B77-R77*IF(ISBLANK(Design!$B$43),Constants!$C$6,Design!$B$43)/1000*(1+Constants!$C$36/100*(AC77-25))-Design!$C$29)/(IF(ISBLANK(Design!$B$42),Design!$B$40,Design!$B$42)/1000000)*T77/100/(IF(ISBLANK(Design!$B$33),Design!$B$32,Design!$B$33)*1000000)&lt;0,0,($B77-R77*IF(ISBLANK(Design!$B$43),Constants!$C$6,Design!$B$43)/1000*(1+Constants!$C$36/100*(AC77-25))-Design!$C$29)/(IF(ISBLANK(Design!$B$42),Design!$B$40,Design!$B$42)/1000000)*T77/100/(IF(ISBLANK(Design!$B$33),Design!$B$32,Design!$B$33)*1000000))</f>
        <v>0.10283433685941247</v>
      </c>
      <c r="V77" s="183">
        <f>$B77*Constants!$C$21/1000+IF(ISBLANK(Design!$B$33),Design!$B$32,Design!$B$33)*1000000*Constants!$D$25/1000000000*($B77-Constants!$C$24)</f>
        <v>1.5043749999999995E-2</v>
      </c>
      <c r="W77" s="183">
        <f>$B77*R77*($B77/(Constants!$C$26*1000000000)*IF(ISBLANK(Design!$B$33),Design!$B$32,Design!$B$33)*1000000/2+$B77/(Constants!$C$27*1000000000)*IF(ISBLANK(Design!$B$33),Design!$B$32,Design!$B$33)*1000000/2)</f>
        <v>3.6364062499999981E-2</v>
      </c>
      <c r="X77" s="183">
        <f t="shared" ca="1" si="14"/>
        <v>0.77211336656810736</v>
      </c>
      <c r="Y77" s="183">
        <f>Constants!$D$25/1000000000*Constants!$C$24*IF(ISBLANK(Design!$B$33),Design!$B$32,Design!$B$33)*1000000</f>
        <v>1.0624999999999999E-2</v>
      </c>
      <c r="Z77" s="183">
        <f t="shared" ca="1" si="23"/>
        <v>0.83414617906810729</v>
      </c>
      <c r="AA77" s="183">
        <f t="shared" ca="1" si="19"/>
        <v>1.1032627748531386E-2</v>
      </c>
      <c r="AB77" s="184">
        <f ca="1">$A77+AA77*Design!$B$19</f>
        <v>85.628859781666293</v>
      </c>
      <c r="AC77" s="184">
        <f ca="1">Z77*Design!$C$12+$A77</f>
        <v>113.36097008831564</v>
      </c>
      <c r="AD77" s="184">
        <f ca="1">Constants!$D$22+Constants!$D$22*Constants!$C$23/100*(AC77-25)</f>
        <v>195.68877607065252</v>
      </c>
      <c r="AE77" s="183">
        <f ca="1">IF(100*(Design!$C$29+S77+R77*IF(ISBLANK(Design!$B$43),Constants!$C$6,Design!$B$43)/1000*(1+Constants!$C$36/100*(AC77-25)))/($B77+S77-R77*AD77/1000)&gt;Design!$B$36,   (1-Constants!$D$20/1000000000*IF(ISBLANK(Design!$B$33),Design!$B$32/4,Design!$B$33/4)*1000000) * ($B77+S77-R77*AD77/1000) - (S77+R77*(1+($A77-25)*Constants!$C$36/100)*IF(ISBLANK(Design!$B$43),Constants!$C$6/1000,Design!$B$43/1000)),  (1-Constants!$D$20/1000000000*IF(ISBLANK(Design!$B$33),Design!$B$32,Design!$B$33)*1000000) * ($B77+S77-R77*AD77/1000) - (S77+R77*(1+($A77-25)*Constants!$C$36/100)*IF(ISBLANK(Design!$B$43),Constants!$C$6/1000,Design!$B$43/1000)))</f>
        <v>4.9829886614233789</v>
      </c>
      <c r="AF77" s="117">
        <f ca="1">IF(AE77&gt;Design!$C$29,Design!$C$29,AE77)</f>
        <v>4.9829886614233789</v>
      </c>
      <c r="AG77" s="118">
        <f>Design!$D$7/3</f>
        <v>1</v>
      </c>
      <c r="AH77" s="118">
        <f ca="1">FORECAST(AG77, OFFSET(Design!$C$15:$C$17,MATCH(AG77,Design!$B$15:$B$17,1)-1,0,2), OFFSET(Design!$B$15:$B$17,MATCH(AG77,Design!$B$15:$B$17,1)-1,0,2))+(AQ77-25)*Design!$B$18/1000</f>
        <v>0.32118792477434904</v>
      </c>
      <c r="AI77" s="194">
        <f ca="1">IF(100*(Design!$C$29+AH77+AG77*IF(ISBLANK(Design!$B$43),Constants!$C$6,Design!$B$43)/1000*(1+Constants!$C$36/100*(AR77-25)))/($B77+AH77-AG77*AS77/1000)&gt;Design!$B$36,Design!$B$37,100*(Design!$C$29+AH77+AG77*IF(ISBLANK(Design!$B$43),Constants!$C$6,Design!$B$43)/1000*(1+Constants!$C$36/100*(AR77-25)))/($B77+AH77-AG77*AS77/1000))</f>
        <v>94.350482113024242</v>
      </c>
      <c r="AJ77" s="119">
        <f ca="1">IF(($B77-AG77*IF(ISBLANK(Design!$B$43),Constants!$C$6,Design!$B$43)/1000*(1+Constants!$C$36/100*(AR77-25))-Design!$C$29)/(IF(ISBLANK(Design!$B$42),Design!$B$40,Design!$B$42)/1000000)*AI77/100/(IF(ISBLANK(Design!$B$33),Design!$B$32,Design!$B$33)*1000000)&lt;0,0,($B77-AG77*IF(ISBLANK(Design!$B$43),Constants!$C$6,Design!$B$43)/1000*(1+Constants!$C$36/100*(AR77-25))-Design!$C$29)/(IF(ISBLANK(Design!$B$42),Design!$B$40,Design!$B$42)/1000000)*AI77/100/(IF(ISBLANK(Design!$B$33),Design!$B$32,Design!$B$33)*1000000))</f>
        <v>0.11108470074838477</v>
      </c>
      <c r="AK77" s="195">
        <f>$B77*Constants!$C$21/1000+IF(ISBLANK(Design!$B$33),Design!$B$32,Design!$B$33)*1000000*Constants!$D$25/1000000000*($B77-Constants!$C$24)</f>
        <v>1.5043749999999995E-2</v>
      </c>
      <c r="AL77" s="195">
        <f>$B77*AG77*($B77/(Constants!$C$26*1000000000)*IF(ISBLANK(Design!$B$33),Design!$B$32,Design!$B$33)*1000000/2+$B77/(Constants!$C$27*1000000000)*IF(ISBLANK(Design!$B$33),Design!$B$32,Design!$B$33)*1000000/2)</f>
        <v>1.8182031249999991E-2</v>
      </c>
      <c r="AM77" s="195">
        <f t="shared" ca="1" si="15"/>
        <v>0.16885862797870077</v>
      </c>
      <c r="AN77" s="195">
        <f>Constants!$D$25/1000000000*Constants!$C$24*IF(ISBLANK(Design!$B$33),Design!$B$32,Design!$B$33)*1000000</f>
        <v>1.0624999999999999E-2</v>
      </c>
      <c r="AO77" s="195">
        <f t="shared" ca="1" si="24"/>
        <v>0.21270940922870074</v>
      </c>
      <c r="AP77" s="195">
        <f t="shared" ca="1" si="21"/>
        <v>1.8145569260933109E-2</v>
      </c>
      <c r="AQ77" s="196">
        <f ca="1">$A77+AP77*Design!$B$19</f>
        <v>86.034297447873186</v>
      </c>
      <c r="AR77" s="196">
        <f ca="1">AO77*Design!$C$12+$A77</f>
        <v>92.232119913775819</v>
      </c>
      <c r="AS77" s="196">
        <f ca="1">Constants!$D$22+Constants!$D$22*Constants!$C$23/100*(AR77-25)</f>
        <v>178.78569593102065</v>
      </c>
      <c r="AT77" s="195">
        <f ca="1">IF(100*(Design!$C$29+AH77+AG77*IF(ISBLANK(Design!$B$43),Constants!$C$6,Design!$B$43)/1000*(1+Constants!$C$36/100*(AR77-25)))/($B77+AH77-AG77*AS77/1000)&gt;Design!$B$36,   (1-Constants!$D$20/1000000000*IF(ISBLANK(Design!$B$33),Design!$B$32/4,Design!$B$33/4)*1000000) * ($B77+AH77-AG77*AS77/1000) - (AH77+AG77*(1+($A77-25)*Constants!$C$36/100)*IF(ISBLANK(Design!$B$43),Constants!$C$6/1000,Design!$B$43/1000)),  (1-Constants!$D$20/1000000000*IF(ISBLANK(Design!$B$33),Design!$B$32,Design!$B$33)*1000000) * ($B77+AH77-AG77*AS77/1000) - (AH77+AG77*(1+($A77-25)*Constants!$C$36/100)*IF(ISBLANK(Design!$B$43),Constants!$C$6/1000,Design!$B$43/1000)))</f>
        <v>5.0072770809253839</v>
      </c>
      <c r="AU77" s="119">
        <f ca="1">IF(AT77&gt;Design!$C$29,Design!$C$29,AT77)</f>
        <v>4.9990521327014221</v>
      </c>
    </row>
    <row r="78" spans="1:47" ht="12.75" customHeight="1" x14ac:dyDescent="0.25">
      <c r="A78" s="112">
        <f>Design!$D$13</f>
        <v>85</v>
      </c>
      <c r="B78" s="113">
        <f t="shared" si="12"/>
        <v>5.3349999999999991</v>
      </c>
      <c r="C78" s="114">
        <f>Design!$D$7</f>
        <v>3</v>
      </c>
      <c r="D78" s="114">
        <f ca="1">FORECAST(C78, OFFSET(Design!$C$15:$C$17,MATCH(C78,Design!$B$15:$B$17,1)-1,0,2), OFFSET(Design!$B$15:$B$17,MATCH(C78,Design!$B$15:$B$17,1)-1,0,2))+(M78-25)*Design!$B$18/1000</f>
        <v>0.42399854194383751</v>
      </c>
      <c r="E78" s="173">
        <f ca="1">IF(100*(Design!$C$29+D78+C78*IF(ISBLANK(Design!$B$43),Constants!$C$6,Design!$B$43)/1000*(1+Constants!$C$36/100*(N78-25)))/($B78+D78-C78*O78/1000)&gt;Design!$B$36,Design!$B$37,100*(Design!$C$29+D78+C78*IF(ISBLANK(Design!$B$43),Constants!$C$6,Design!$B$43)/1000*(1+Constants!$C$36/100*(N78-25)))/($B78+D78-C78*O78/1000))</f>
        <v>98.618750000000006</v>
      </c>
      <c r="F78" s="115">
        <f ca="1">IF(($B78-C78*IF(ISBLANK(Design!$B$43),Constants!$C$6,Design!$B$43)/1000*(1+Constants!$C$36/100*(N78-25))-Design!$C$29)/(IF(ISBLANK(Design!$B$42),Design!$B$40,Design!$B$42)/1000000)*E78/100/(IF(ISBLANK(Design!$B$33),Design!$B$32,Design!$B$33)*1000000)&lt;0,0,($B78-C78*IF(ISBLANK(Design!$B$43),Constants!$C$6,Design!$B$43)/1000*(1+Constants!$C$36/100*(N78-25))-Design!$C$29)/(IF(ISBLANK(Design!$B$42),Design!$B$40,Design!$B$42)/1000000)*E78/100/(IF(ISBLANK(Design!$B$33),Design!$B$32,Design!$B$33)*1000000))</f>
        <v>3.5643872122806002E-2</v>
      </c>
      <c r="G78" s="165">
        <f>B78*Constants!$C$21/1000+IF(ISBLANK(Design!$B$33),Design!$B$32,Design!$B$33)*1000000*Constants!$D$25/1000000000*(B78-Constants!$C$24)</f>
        <v>1.4049374999999996E-2</v>
      </c>
      <c r="H78" s="165">
        <f>B78*C78*(B78/(Constants!$C$26*1000000000)*IF(ISBLANK(Design!$B$33),Design!$B$32,Design!$B$33)*1000000/2+B78/(Constants!$C$27*1000000000)*IF(ISBLANK(Design!$B$33),Design!$B$32,Design!$B$33)*1000000/2)</f>
        <v>5.0401856770833302E-2</v>
      </c>
      <c r="I78" s="165">
        <f t="shared" ca="1" si="13"/>
        <v>2.0480900817394847</v>
      </c>
      <c r="J78" s="165">
        <f>Constants!$D$25/1000000000*Constants!$C$24*IF(ISBLANK(Design!$B$33),Design!$B$32,Design!$B$33)*1000000</f>
        <v>1.0624999999999999E-2</v>
      </c>
      <c r="K78" s="165">
        <f t="shared" ca="1" si="22"/>
        <v>2.123166313510318</v>
      </c>
      <c r="L78" s="165">
        <f t="shared" ca="1" si="17"/>
        <v>1.7569439581797634E-2</v>
      </c>
      <c r="M78" s="166">
        <f ca="1">$A78+L78*Design!$B$19</f>
        <v>86.001458056162463</v>
      </c>
      <c r="N78" s="166">
        <f ca="1">K78*Design!$C$12+A78</f>
        <v>157.18765465935081</v>
      </c>
      <c r="O78" s="166">
        <f ca="1">Constants!$D$22+Constants!$D$22*Constants!$C$23/100*(N78-25)</f>
        <v>230.75012372748066</v>
      </c>
      <c r="P78" s="165">
        <f ca="1">IF(100*(Design!$C$29+D78+C78*IF(ISBLANK(Design!$B$43),Constants!$C$6,Design!$B$43)/1000*(1+Constants!$C$36/100*(N78-25)))/($B78+D78-C78*O78/1000)&gt;Design!$B$36,   (1-Constants!$D$20/1000000000*IF(ISBLANK(Design!$B$33),Design!$B$32/4,Design!$B$33/4)*1000000) * ($B78+D78-C78*O78/1000) - (D78+C78*(1+($A78-25)*Constants!$C$36/100)*IF(ISBLANK(Design!$B$43),Constants!$C$6/1000,Design!$B$43/1000)),  (1-Constants!$D$20/1000000000*IF(ISBLANK(Design!$B$33),Design!$B$32,Design!$B$33)*1000000) * ($B78+D78-C78*O78/1000) - (D78+C78*(1+($A78-25)*Constants!$C$36/100)*IF(ISBLANK(Design!$B$43),Constants!$C$6/1000,Design!$B$43/1000)))</f>
        <v>4.4244691697089156</v>
      </c>
      <c r="Q78" s="115">
        <f ca="1">IF(P78&gt;Design!$C$29,Design!$C$29,P78)</f>
        <v>4.4244691697089156</v>
      </c>
      <c r="R78" s="116">
        <f>2*Design!$D$7/3</f>
        <v>2</v>
      </c>
      <c r="S78" s="116">
        <f ca="1">FORECAST(R78, OFFSET(Design!$C$15:$C$17,MATCH(R78,Design!$B$15:$B$17,1)-1,0,2), OFFSET(Design!$B$15:$B$17,MATCH(R78,Design!$B$15:$B$17,1)-1,0,2))+(AB78-25)*Design!$B$18/1000</f>
        <v>0.39937114021833375</v>
      </c>
      <c r="T78" s="182">
        <f ca="1">IF(100*(Design!$C$29+S78+R78*IF(ISBLANK(Design!$B$43),Constants!$C$6,Design!$B$43)/1000*(1+Constants!$C$36/100*(AC78-25)))/($B78+S78-R78*AD78/1000)&gt;Design!$B$36,Design!$B$37,100*(Design!$C$29+S78+R78*IF(ISBLANK(Design!$B$43),Constants!$C$6,Design!$B$43)/1000*(1+Constants!$C$36/100*(AC78-25)))/($B78+S78-R78*AD78/1000))</f>
        <v>98.618750000000006</v>
      </c>
      <c r="U78" s="117">
        <f ca="1">IF(($B78-R78*IF(ISBLANK(Design!$B$43),Constants!$C$6,Design!$B$43)/1000*(1+Constants!$C$36/100*(AC78-25))-Design!$C$29)/(IF(ISBLANK(Design!$B$42),Design!$B$40,Design!$B$42)/1000000)*T78/100/(IF(ISBLANK(Design!$B$33),Design!$B$32,Design!$B$33)*1000000)&lt;0,0,($B78-R78*IF(ISBLANK(Design!$B$43),Constants!$C$6,Design!$B$43)/1000*(1+Constants!$C$36/100*(AC78-25))-Design!$C$29)/(IF(ISBLANK(Design!$B$42),Design!$B$40,Design!$B$42)/1000000)*T78/100/(IF(ISBLANK(Design!$B$33),Design!$B$32,Design!$B$33)*1000000))</f>
        <v>5.2955638609439803E-2</v>
      </c>
      <c r="V78" s="183">
        <f>$B78*Constants!$C$21/1000+IF(ISBLANK(Design!$B$33),Design!$B$32,Design!$B$33)*1000000*Constants!$D$25/1000000000*($B78-Constants!$C$24)</f>
        <v>1.4049374999999996E-2</v>
      </c>
      <c r="W78" s="183">
        <f>$B78*R78*($B78/(Constants!$C$26*1000000000)*IF(ISBLANK(Design!$B$33),Design!$B$32,Design!$B$33)*1000000/2+$B78/(Constants!$C$27*1000000000)*IF(ISBLANK(Design!$B$33),Design!$B$32,Design!$B$33)*1000000/2)</f>
        <v>3.3601237847222208E-2</v>
      </c>
      <c r="X78" s="183">
        <f t="shared" ca="1" si="14"/>
        <v>0.77152175617615404</v>
      </c>
      <c r="Y78" s="183">
        <f>Constants!$D$25/1000000000*Constants!$C$24*IF(ISBLANK(Design!$B$33),Design!$B$32,Design!$B$33)*1000000</f>
        <v>1.0624999999999999E-2</v>
      </c>
      <c r="Z78" s="183">
        <f t="shared" ca="1" si="23"/>
        <v>0.8297973690233762</v>
      </c>
      <c r="AA78" s="183">
        <f t="shared" ca="1" si="19"/>
        <v>1.1032627748531386E-2</v>
      </c>
      <c r="AB78" s="184">
        <f ca="1">$A78+AA78*Design!$B$19</f>
        <v>85.628859781666293</v>
      </c>
      <c r="AC78" s="184">
        <f ca="1">Z78*Design!$C$12+$A78</f>
        <v>113.21311054679479</v>
      </c>
      <c r="AD78" s="184">
        <f ca="1">Constants!$D$22+Constants!$D$22*Constants!$C$23/100*(AC78-25)</f>
        <v>195.57048843743584</v>
      </c>
      <c r="AE78" s="183">
        <f ca="1">IF(100*(Design!$C$29+S78+R78*IF(ISBLANK(Design!$B$43),Constants!$C$6,Design!$B$43)/1000*(1+Constants!$C$36/100*(AC78-25)))/($B78+S78-R78*AD78/1000)&gt;Design!$B$36,   (1-Constants!$D$20/1000000000*IF(ISBLANK(Design!$B$33),Design!$B$32/4,Design!$B$33/4)*1000000) * ($B78+S78-R78*AD78/1000) - (S78+R78*(1+($A78-25)*Constants!$C$36/100)*IF(ISBLANK(Design!$B$43),Constants!$C$6/1000,Design!$B$43/1000)),  (1-Constants!$D$20/1000000000*IF(ISBLANK(Design!$B$33),Design!$B$32,Design!$B$33)*1000000) * ($B78+S78-R78*AD78/1000) - (S78+R78*(1+($A78-25)*Constants!$C$36/100)*IF(ISBLANK(Design!$B$43),Constants!$C$6/1000,Design!$B$43/1000)))</f>
        <v>4.7711916564939454</v>
      </c>
      <c r="AF78" s="117">
        <f ca="1">IF(AE78&gt;Design!$C$29,Design!$C$29,AE78)</f>
        <v>4.7711916564939454</v>
      </c>
      <c r="AG78" s="118">
        <f>Design!$D$7/3</f>
        <v>1</v>
      </c>
      <c r="AH78" s="118">
        <f ca="1">FORECAST(AG78, OFFSET(Design!$C$15:$C$17,MATCH(AG78,Design!$B$15:$B$17,1)-1,0,2), OFFSET(Design!$B$15:$B$17,MATCH(AG78,Design!$B$15:$B$17,1)-1,0,2))+(AQ78-25)*Design!$B$18/1000</f>
        <v>0.32196873221474043</v>
      </c>
      <c r="AI78" s="194">
        <f ca="1">IF(100*(Design!$C$29+AH78+AG78*IF(ISBLANK(Design!$B$43),Constants!$C$6,Design!$B$43)/1000*(1+Constants!$C$36/100*(AR78-25)))/($B78+AH78-AG78*AS78/1000)&gt;Design!$B$36,Design!$B$37,100*(Design!$C$29+AH78+AG78*IF(ISBLANK(Design!$B$43),Constants!$C$6,Design!$B$43)/1000*(1+Constants!$C$36/100*(AR78-25)))/($B78+AH78-AG78*AS78/1000))</f>
        <v>98.618750000000006</v>
      </c>
      <c r="AJ78" s="119">
        <f ca="1">IF(($B78-AG78*IF(ISBLANK(Design!$B$43),Constants!$C$6,Design!$B$43)/1000*(1+Constants!$C$36/100*(AR78-25))-Design!$C$29)/(IF(ISBLANK(Design!$B$42),Design!$B$40,Design!$B$42)/1000000)*AI78/100/(IF(ISBLANK(Design!$B$33),Design!$B$32,Design!$B$33)*1000000)&lt;0,0,($B78-AG78*IF(ISBLANK(Design!$B$43),Constants!$C$6,Design!$B$43)/1000*(1+Constants!$C$36/100*(AR78-25))-Design!$C$29)/(IF(ISBLANK(Design!$B$42),Design!$B$40,Design!$B$42)/1000000)*AI78/100/(IF(ISBLANK(Design!$B$33),Design!$B$32,Design!$B$33)*1000000))</f>
        <v>6.6213954669760502E-2</v>
      </c>
      <c r="AK78" s="195">
        <f>$B78*Constants!$C$21/1000+IF(ISBLANK(Design!$B$33),Design!$B$32,Design!$B$33)*1000000*Constants!$D$25/1000000000*($B78-Constants!$C$24)</f>
        <v>1.4049374999999996E-2</v>
      </c>
      <c r="AL78" s="195">
        <f>$B78*AG78*($B78/(Constants!$C$26*1000000000)*IF(ISBLANK(Design!$B$33),Design!$B$32,Design!$B$33)*1000000/2+$B78/(Constants!$C$27*1000000000)*IF(ISBLANK(Design!$B$33),Design!$B$32,Design!$B$33)*1000000/2)</f>
        <v>1.6800618923611104E-2</v>
      </c>
      <c r="AM78" s="195">
        <f t="shared" ca="1" si="15"/>
        <v>0.17652253896793213</v>
      </c>
      <c r="AN78" s="195">
        <f>Constants!$D$25/1000000000*Constants!$C$24*IF(ISBLANK(Design!$B$33),Design!$B$32,Design!$B$33)*1000000</f>
        <v>1.0624999999999999E-2</v>
      </c>
      <c r="AO78" s="195">
        <f t="shared" ca="1" si="24"/>
        <v>0.21799753289154322</v>
      </c>
      <c r="AP78" s="195">
        <f t="shared" ca="1" si="21"/>
        <v>4.4471931137160681E-3</v>
      </c>
      <c r="AQ78" s="196">
        <f ca="1">$A78+AP78*Design!$B$19</f>
        <v>85.253490007481815</v>
      </c>
      <c r="AR78" s="196">
        <f ca="1">AO78*Design!$C$12+$A78</f>
        <v>92.411916118312476</v>
      </c>
      <c r="AS78" s="196">
        <f ca="1">Constants!$D$22+Constants!$D$22*Constants!$C$23/100*(AR78-25)</f>
        <v>178.92953289464998</v>
      </c>
      <c r="AT78" s="195">
        <f ca="1">IF(100*(Design!$C$29+AH78+AG78*IF(ISBLANK(Design!$B$43),Constants!$C$6,Design!$B$43)/1000*(1+Constants!$C$36/100*(AR78-25)))/($B78+AH78-AG78*AS78/1000)&gt;Design!$B$36,   (1-Constants!$D$20/1000000000*IF(ISBLANK(Design!$B$33),Design!$B$32/4,Design!$B$33/4)*1000000) * ($B78+AH78-AG78*AS78/1000) - (AH78+AG78*(1+($A78-25)*Constants!$C$36/100)*IF(ISBLANK(Design!$B$43),Constants!$C$6/1000,Design!$B$43/1000)),  (1-Constants!$D$20/1000000000*IF(ISBLANK(Design!$B$33),Design!$B$32,Design!$B$33)*1000000) * ($B78+AH78-AG78*AS78/1000) - (AH78+AG78*(1+($A78-25)*Constants!$C$36/100)*IF(ISBLANK(Design!$B$43),Constants!$C$6/1000,Design!$B$43/1000)))</f>
        <v>5.0309730506647394</v>
      </c>
      <c r="AU78" s="119">
        <f ca="1">IF(AT78&gt;Design!$C$29,Design!$C$29,AT78)</f>
        <v>4.9990521327014221</v>
      </c>
    </row>
    <row r="79" spans="1:47" ht="12.75" customHeight="1" x14ac:dyDescent="0.25">
      <c r="A79" s="112">
        <f>Design!$D$13</f>
        <v>85</v>
      </c>
      <c r="B79" s="113">
        <f t="shared" si="12"/>
        <v>5.1199999999999992</v>
      </c>
      <c r="C79" s="114">
        <f>Design!$D$7</f>
        <v>3</v>
      </c>
      <c r="D79" s="114">
        <f ca="1">FORECAST(C79, OFFSET(Design!$C$15:$C$17,MATCH(C79,Design!$B$15:$B$17,1)-1,0,2), OFFSET(Design!$B$15:$B$17,MATCH(C79,Design!$B$15:$B$17,1)-1,0,2))+(M79-25)*Design!$B$18/1000</f>
        <v>0.42399854194383751</v>
      </c>
      <c r="E79" s="173">
        <f ca="1">IF(100*(Design!$C$29+D79+C79*IF(ISBLANK(Design!$B$43),Constants!$C$6,Design!$B$43)/1000*(1+Constants!$C$36/100*(N79-25)))/($B79+D79-C79*O79/1000)&gt;Design!$B$36,Design!$B$37,100*(Design!$C$29+D79+C79*IF(ISBLANK(Design!$B$43),Constants!$C$6,Design!$B$43)/1000*(1+Constants!$C$36/100*(N79-25)))/($B79+D79-C79*O79/1000))</f>
        <v>98.618750000000006</v>
      </c>
      <c r="F79" s="115">
        <f ca="1">IF(($B79-C79*IF(ISBLANK(Design!$B$43),Constants!$C$6,Design!$B$43)/1000*(1+Constants!$C$36/100*(N79-25))-Design!$C$29)/(IF(ISBLANK(Design!$B$42),Design!$B$40,Design!$B$42)/1000000)*E79/100/(IF(ISBLANK(Design!$B$33),Design!$B$32,Design!$B$33)*1000000)&lt;0,0,($B79-C79*IF(ISBLANK(Design!$B$43),Constants!$C$6,Design!$B$43)/1000*(1+Constants!$C$36/100*(N79-25))-Design!$C$29)/(IF(ISBLANK(Design!$B$42),Design!$B$40,Design!$B$42)/1000000)*E79/100/(IF(ISBLANK(Design!$B$33),Design!$B$32,Design!$B$33)*1000000))</f>
        <v>0</v>
      </c>
      <c r="G79" s="165">
        <f>B79*Constants!$C$21/1000+IF(ISBLANK(Design!$B$33),Design!$B$32,Design!$B$33)*1000000*Constants!$D$25/1000000000*(B79-Constants!$C$24)</f>
        <v>1.3054999999999995E-2</v>
      </c>
      <c r="H79" s="165">
        <f>B79*C79*(B79/(Constants!$C$26*1000000000)*IF(ISBLANK(Design!$B$33),Design!$B$32,Design!$B$33)*1000000/2+B79/(Constants!$C$27*1000000000)*IF(ISBLANK(Design!$B$33),Design!$B$32,Design!$B$33)*1000000/2)</f>
        <v>4.6421333333333321E-2</v>
      </c>
      <c r="I79" s="165">
        <f t="shared" ca="1" si="13"/>
        <v>2.0464750584566223</v>
      </c>
      <c r="J79" s="165">
        <f>Constants!$D$25/1000000000*Constants!$C$24*IF(ISBLANK(Design!$B$33),Design!$B$32,Design!$B$33)*1000000</f>
        <v>1.0624999999999999E-2</v>
      </c>
      <c r="K79" s="165">
        <f t="shared" ca="1" si="22"/>
        <v>2.1165763917899558</v>
      </c>
      <c r="L79" s="165">
        <f t="shared" ca="1" si="17"/>
        <v>1.7569439581797634E-2</v>
      </c>
      <c r="M79" s="166">
        <f ca="1">$A79+L79*Design!$B$19</f>
        <v>86.001458056162463</v>
      </c>
      <c r="N79" s="166">
        <f ca="1">K79*Design!$C$12+A79</f>
        <v>156.9635973208585</v>
      </c>
      <c r="O79" s="166">
        <f ca="1">Constants!$D$22+Constants!$D$22*Constants!$C$23/100*(N79-25)</f>
        <v>230.57087785668682</v>
      </c>
      <c r="P79" s="165">
        <f ca="1">IF(100*(Design!$C$29+D79+C79*IF(ISBLANK(Design!$B$43),Constants!$C$6,Design!$B$43)/1000*(1+Constants!$C$36/100*(N79-25)))/($B79+D79-C79*O79/1000)&gt;Design!$B$36,   (1-Constants!$D$20/1000000000*IF(ISBLANK(Design!$B$33),Design!$B$32/4,Design!$B$33/4)*1000000) * ($B79+D79-C79*O79/1000) - (D79+C79*(1+($A79-25)*Constants!$C$36/100)*IF(ISBLANK(Design!$B$43),Constants!$C$6/1000,Design!$B$43/1000)),  (1-Constants!$D$20/1000000000*IF(ISBLANK(Design!$B$33),Design!$B$32,Design!$B$33)*1000000) * ($B79+D79-C79*O79/1000) - (D79+C79*(1+($A79-25)*Constants!$C$36/100)*IF(ISBLANK(Design!$B$43),Constants!$C$6/1000,Design!$B$43/1000)))</f>
        <v>4.2129691673205256</v>
      </c>
      <c r="Q79" s="115">
        <f ca="1">IF(P79&gt;Design!$C$29,Design!$C$29,P79)</f>
        <v>4.2129691673205256</v>
      </c>
      <c r="R79" s="116">
        <f>2*Design!$D$7/3</f>
        <v>2</v>
      </c>
      <c r="S79" s="116">
        <f ca="1">FORECAST(R79, OFFSET(Design!$C$15:$C$17,MATCH(R79,Design!$B$15:$B$17,1)-1,0,2), OFFSET(Design!$B$15:$B$17,MATCH(R79,Design!$B$15:$B$17,1)-1,0,2))+(AB79-25)*Design!$B$18/1000</f>
        <v>0.39937114021833375</v>
      </c>
      <c r="T79" s="182">
        <f ca="1">IF(100*(Design!$C$29+S79+R79*IF(ISBLANK(Design!$B$43),Constants!$C$6,Design!$B$43)/1000*(1+Constants!$C$36/100*(AC79-25)))/($B79+S79-R79*AD79/1000)&gt;Design!$B$36,Design!$B$37,100*(Design!$C$29+S79+R79*IF(ISBLANK(Design!$B$43),Constants!$C$6,Design!$B$43)/1000*(1+Constants!$C$36/100*(AC79-25)))/($B79+S79-R79*AD79/1000))</f>
        <v>98.618750000000006</v>
      </c>
      <c r="U79" s="117">
        <f ca="1">IF(($B79-R79*IF(ISBLANK(Design!$B$43),Constants!$C$6,Design!$B$43)/1000*(1+Constants!$C$36/100*(AC79-25))-Design!$C$29)/(IF(ISBLANK(Design!$B$42),Design!$B$40,Design!$B$42)/1000000)*T79/100/(IF(ISBLANK(Design!$B$33),Design!$B$32,Design!$B$33)*1000000)&lt;0,0,($B79-R79*IF(ISBLANK(Design!$B$43),Constants!$C$6,Design!$B$43)/1000*(1+Constants!$C$36/100*(AC79-25))-Design!$C$29)/(IF(ISBLANK(Design!$B$42),Design!$B$40,Design!$B$42)/1000000)*T79/100/(IF(ISBLANK(Design!$B$33),Design!$B$32,Design!$B$33)*1000000))</f>
        <v>3.0764146001943937E-3</v>
      </c>
      <c r="V79" s="183">
        <f>$B79*Constants!$C$21/1000+IF(ISBLANK(Design!$B$33),Design!$B$32,Design!$B$33)*1000000*Constants!$D$25/1000000000*($B79-Constants!$C$24)</f>
        <v>1.3054999999999995E-2</v>
      </c>
      <c r="W79" s="183">
        <f>$B79*R79*($B79/(Constants!$C$26*1000000000)*IF(ISBLANK(Design!$B$33),Design!$B$32,Design!$B$33)*1000000/2+$B79/(Constants!$C$27*1000000000)*IF(ISBLANK(Design!$B$33),Design!$B$32,Design!$B$33)*1000000/2)</f>
        <v>3.0947555555555544E-2</v>
      </c>
      <c r="X79" s="183">
        <f t="shared" ca="1" si="14"/>
        <v>0.77103296391719001</v>
      </c>
      <c r="Y79" s="183">
        <f>Constants!$D$25/1000000000*Constants!$C$24*IF(ISBLANK(Design!$B$33),Design!$B$32,Design!$B$33)*1000000</f>
        <v>1.0624999999999999E-2</v>
      </c>
      <c r="Z79" s="183">
        <f t="shared" ca="1" si="23"/>
        <v>0.82566051947274555</v>
      </c>
      <c r="AA79" s="183">
        <f t="shared" ca="1" si="19"/>
        <v>1.1032627748531386E-2</v>
      </c>
      <c r="AB79" s="184">
        <f ca="1">$A79+AA79*Design!$B$19</f>
        <v>85.628859781666293</v>
      </c>
      <c r="AC79" s="184">
        <f ca="1">Z79*Design!$C$12+$A79</f>
        <v>113.07245766207335</v>
      </c>
      <c r="AD79" s="184">
        <f ca="1">Constants!$D$22+Constants!$D$22*Constants!$C$23/100*(AC79-25)</f>
        <v>195.4579661296587</v>
      </c>
      <c r="AE79" s="183">
        <f ca="1">IF(100*(Design!$C$29+S79+R79*IF(ISBLANK(Design!$B$43),Constants!$C$6,Design!$B$43)/1000*(1+Constants!$C$36/100*(AC79-25)))/($B79+S79-R79*AD79/1000)&gt;Design!$B$36,   (1-Constants!$D$20/1000000000*IF(ISBLANK(Design!$B$33),Design!$B$32/4,Design!$B$33/4)*1000000) * ($B79+S79-R79*AD79/1000) - (S79+R79*(1+($A79-25)*Constants!$C$36/100)*IF(ISBLANK(Design!$B$43),Constants!$C$6/1000,Design!$B$43/1000)),  (1-Constants!$D$20/1000000000*IF(ISBLANK(Design!$B$33),Design!$B$32,Design!$B$33)*1000000) * ($B79+S79-R79*AD79/1000) - (S79+R79*(1+($A79-25)*Constants!$C$36/100)*IF(ISBLANK(Design!$B$43),Constants!$C$6/1000,Design!$B$43/1000)))</f>
        <v>4.5593832801807475</v>
      </c>
      <c r="AF79" s="117">
        <f ca="1">IF(AE79&gt;Design!$C$29,Design!$C$29,AE79)</f>
        <v>4.5593832801807475</v>
      </c>
      <c r="AG79" s="118">
        <f>Design!$D$7/3</f>
        <v>1</v>
      </c>
      <c r="AH79" s="118">
        <f ca="1">FORECAST(AG79, OFFSET(Design!$C$15:$C$17,MATCH(AG79,Design!$B$15:$B$17,1)-1,0,2), OFFSET(Design!$B$15:$B$17,MATCH(AG79,Design!$B$15:$B$17,1)-1,0,2))+(AQ79-25)*Design!$B$18/1000</f>
        <v>0.32196873221474043</v>
      </c>
      <c r="AI79" s="194">
        <f ca="1">IF(100*(Design!$C$29+AH79+AG79*IF(ISBLANK(Design!$B$43),Constants!$C$6,Design!$B$43)/1000*(1+Constants!$C$36/100*(AR79-25)))/($B79+AH79-AG79*AS79/1000)&gt;Design!$B$36,Design!$B$37,100*(Design!$C$29+AH79+AG79*IF(ISBLANK(Design!$B$43),Constants!$C$6,Design!$B$43)/1000*(1+Constants!$C$36/100*(AR79-25)))/($B79+AH79-AG79*AS79/1000))</f>
        <v>98.618750000000006</v>
      </c>
      <c r="AJ79" s="119">
        <f ca="1">IF(($B79-AG79*IF(ISBLANK(Design!$B$43),Constants!$C$6,Design!$B$43)/1000*(1+Constants!$C$36/100*(AR79-25))-Design!$C$29)/(IF(ISBLANK(Design!$B$42),Design!$B$40,Design!$B$42)/1000000)*AI79/100/(IF(ISBLANK(Design!$B$33),Design!$B$32,Design!$B$33)*1000000)&lt;0,0,($B79-AG79*IF(ISBLANK(Design!$B$43),Constants!$C$6,Design!$B$43)/1000*(1+Constants!$C$36/100*(AR79-25))-Design!$C$29)/(IF(ISBLANK(Design!$B$42),Design!$B$40,Design!$B$42)/1000000)*AI79/100/(IF(ISBLANK(Design!$B$33),Design!$B$32,Design!$B$33)*1000000))</f>
        <v>1.6327504735401132E-2</v>
      </c>
      <c r="AK79" s="195">
        <f>$B79*Constants!$C$21/1000+IF(ISBLANK(Design!$B$33),Design!$B$32,Design!$B$33)*1000000*Constants!$D$25/1000000000*($B79-Constants!$C$24)</f>
        <v>1.3054999999999995E-2</v>
      </c>
      <c r="AL79" s="195">
        <f>$B79*AG79*($B79/(Constants!$C$26*1000000000)*IF(ISBLANK(Design!$B$33),Design!$B$32,Design!$B$33)*1000000/2+$B79/(Constants!$C$27*1000000000)*IF(ISBLANK(Design!$B$33),Design!$B$32,Design!$B$33)*1000000/2)</f>
        <v>1.5473777777777772E-2</v>
      </c>
      <c r="AM79" s="195">
        <f t="shared" ca="1" si="15"/>
        <v>0.1763963371133862</v>
      </c>
      <c r="AN79" s="195">
        <f>Constants!$D$25/1000000000*Constants!$C$24*IF(ISBLANK(Design!$B$33),Design!$B$32,Design!$B$33)*1000000</f>
        <v>1.0624999999999999E-2</v>
      </c>
      <c r="AO79" s="195">
        <f t="shared" ca="1" si="24"/>
        <v>0.21555011489116396</v>
      </c>
      <c r="AP79" s="195">
        <f t="shared" ca="1" si="21"/>
        <v>4.4471931137160681E-3</v>
      </c>
      <c r="AQ79" s="196">
        <f ca="1">$A79+AP79*Design!$B$19</f>
        <v>85.253490007481815</v>
      </c>
      <c r="AR79" s="196">
        <f ca="1">AO79*Design!$C$12+$A79</f>
        <v>92.32870390629958</v>
      </c>
      <c r="AS79" s="196">
        <f ca="1">Constants!$D$22+Constants!$D$22*Constants!$C$23/100*(AR79-25)</f>
        <v>178.86296312503967</v>
      </c>
      <c r="AT79" s="195">
        <f ca="1">IF(100*(Design!$C$29+AH79+AG79*IF(ISBLANK(Design!$B$43),Constants!$C$6,Design!$B$43)/1000*(1+Constants!$C$36/100*(AR79-25)))/($B79+AH79-AG79*AS79/1000)&gt;Design!$B$36,   (1-Constants!$D$20/1000000000*IF(ISBLANK(Design!$B$33),Design!$B$32/4,Design!$B$33/4)*1000000) * ($B79+AH79-AG79*AS79/1000) - (AH79+AG79*(1+($A79-25)*Constants!$C$36/100)*IF(ISBLANK(Design!$B$43),Constants!$C$6/1000,Design!$B$43/1000)),  (1-Constants!$D$20/1000000000*IF(ISBLANK(Design!$B$33),Design!$B$32,Design!$B$33)*1000000) * ($B79+AH79-AG79*AS79/1000) - (AH79+AG79*(1+($A79-25)*Constants!$C$36/100)*IF(ISBLANK(Design!$B$43),Constants!$C$6/1000,Design!$B$43/1000)))</f>
        <v>4.8190083884394079</v>
      </c>
      <c r="AU79" s="119">
        <f ca="1">IF(AT79&gt;Design!$C$29,Design!$C$29,AT79)</f>
        <v>4.8190083884394079</v>
      </c>
    </row>
    <row r="80" spans="1:47" ht="12.75" customHeight="1" x14ac:dyDescent="0.25">
      <c r="A80" s="112">
        <f>Design!$D$13</f>
        <v>85</v>
      </c>
      <c r="B80" s="113">
        <f t="shared" si="12"/>
        <v>4.9049999999999994</v>
      </c>
      <c r="C80" s="114">
        <f>Design!$D$7</f>
        <v>3</v>
      </c>
      <c r="D80" s="114">
        <f ca="1">FORECAST(C80, OFFSET(Design!$C$15:$C$17,MATCH(C80,Design!$B$15:$B$17,1)-1,0,2), OFFSET(Design!$B$15:$B$17,MATCH(C80,Design!$B$15:$B$17,1)-1,0,2))+(M80-25)*Design!$B$18/1000</f>
        <v>0.42399854194383751</v>
      </c>
      <c r="E80" s="173">
        <f ca="1">IF(100*(Design!$C$29+D80+C80*IF(ISBLANK(Design!$B$43),Constants!$C$6,Design!$B$43)/1000*(1+Constants!$C$36/100*(N80-25)))/($B80+D80-C80*O80/1000)&gt;Design!$B$36,Design!$B$37,100*(Design!$C$29+D80+C80*IF(ISBLANK(Design!$B$43),Constants!$C$6,Design!$B$43)/1000*(1+Constants!$C$36/100*(N80-25)))/($B80+D80-C80*O80/1000))</f>
        <v>98.618750000000006</v>
      </c>
      <c r="F80" s="115">
        <f ca="1">IF(($B80-C80*IF(ISBLANK(Design!$B$43),Constants!$C$6,Design!$B$43)/1000*(1+Constants!$C$36/100*(N80-25))-Design!$C$29)/(IF(ISBLANK(Design!$B$42),Design!$B$40,Design!$B$42)/1000000)*E80/100/(IF(ISBLANK(Design!$B$33),Design!$B$32,Design!$B$33)*1000000)&lt;0,0,($B80-C80*IF(ISBLANK(Design!$B$43),Constants!$C$6,Design!$B$43)/1000*(1+Constants!$C$36/100*(N80-25))-Design!$C$29)/(IF(ISBLANK(Design!$B$42),Design!$B$40,Design!$B$42)/1000000)*E80/100/(IF(ISBLANK(Design!$B$33),Design!$B$32,Design!$B$33)*1000000))</f>
        <v>0</v>
      </c>
      <c r="G80" s="165">
        <f>B80*Constants!$C$21/1000+IF(ISBLANK(Design!$B$33),Design!$B$32,Design!$B$33)*1000000*Constants!$D$25/1000000000*(B80-Constants!$C$24)</f>
        <v>1.2060624999999998E-2</v>
      </c>
      <c r="H80" s="165">
        <f>B80*C80*(B80/(Constants!$C$26*1000000000)*IF(ISBLANK(Design!$B$33),Design!$B$32,Design!$B$33)*1000000/2+B80/(Constants!$C$27*1000000000)*IF(ISBLANK(Design!$B$33),Design!$B$32,Design!$B$33)*1000000/2)</f>
        <v>4.2604523437499986E-2</v>
      </c>
      <c r="I80" s="165">
        <f t="shared" ca="1" si="13"/>
        <v>2.0449438975869678</v>
      </c>
      <c r="J80" s="165">
        <f>Constants!$D$25/1000000000*Constants!$C$24*IF(ISBLANK(Design!$B$33),Design!$B$32,Design!$B$33)*1000000</f>
        <v>1.0624999999999999E-2</v>
      </c>
      <c r="K80" s="165">
        <f t="shared" ca="1" si="22"/>
        <v>2.110234046024468</v>
      </c>
      <c r="L80" s="165">
        <f t="shared" ca="1" si="17"/>
        <v>1.7569439581797634E-2</v>
      </c>
      <c r="M80" s="166">
        <f ca="1">$A80+L80*Design!$B$19</f>
        <v>86.001458056162463</v>
      </c>
      <c r="N80" s="166">
        <f ca="1">K80*Design!$C$12+A80</f>
        <v>156.74795756483189</v>
      </c>
      <c r="O80" s="166">
        <f ca="1">Constants!$D$22+Constants!$D$22*Constants!$C$23/100*(N80-25)</f>
        <v>230.39836605186554</v>
      </c>
      <c r="P80" s="165">
        <f ca="1">IF(100*(Design!$C$29+D80+C80*IF(ISBLANK(Design!$B$43),Constants!$C$6,Design!$B$43)/1000*(1+Constants!$C$36/100*(N80-25)))/($B80+D80-C80*O80/1000)&gt;Design!$B$36,   (1-Constants!$D$20/1000000000*IF(ISBLANK(Design!$B$33),Design!$B$32/4,Design!$B$33/4)*1000000) * ($B80+D80-C80*O80/1000) - (D80+C80*(1+($A80-25)*Constants!$C$36/100)*IF(ISBLANK(Design!$B$43),Constants!$C$6/1000,Design!$B$43/1000)),  (1-Constants!$D$20/1000000000*IF(ISBLANK(Design!$B$33),Design!$B$32,Design!$B$33)*1000000) * ($B80+D80-C80*O80/1000) - (D80+C80*(1+($A80-25)*Constants!$C$36/100)*IF(ISBLANK(Design!$B$43),Constants!$C$6/1000,Design!$B$43/1000)))</f>
        <v>4.0014492417770775</v>
      </c>
      <c r="Q80" s="115">
        <f ca="1">IF(P80&gt;Design!$C$29,Design!$C$29,P80)</f>
        <v>4.0014492417770775</v>
      </c>
      <c r="R80" s="116">
        <f>2*Design!$D$7/3</f>
        <v>2</v>
      </c>
      <c r="S80" s="116">
        <f ca="1">FORECAST(R80, OFFSET(Design!$C$15:$C$17,MATCH(R80,Design!$B$15:$B$17,1)-1,0,2), OFFSET(Design!$B$15:$B$17,MATCH(R80,Design!$B$15:$B$17,1)-1,0,2))+(AB80-25)*Design!$B$18/1000</f>
        <v>0.39937114021833375</v>
      </c>
      <c r="T80" s="182">
        <f ca="1">IF(100*(Design!$C$29+S80+R80*IF(ISBLANK(Design!$B$43),Constants!$C$6,Design!$B$43)/1000*(1+Constants!$C$36/100*(AC80-25)))/($B80+S80-R80*AD80/1000)&gt;Design!$B$36,Design!$B$37,100*(Design!$C$29+S80+R80*IF(ISBLANK(Design!$B$43),Constants!$C$6,Design!$B$43)/1000*(1+Constants!$C$36/100*(AC80-25)))/($B80+S80-R80*AD80/1000))</f>
        <v>98.618750000000006</v>
      </c>
      <c r="U80" s="117">
        <f ca="1">IF(($B80-R80*IF(ISBLANK(Design!$B$43),Constants!$C$6,Design!$B$43)/1000*(1+Constants!$C$36/100*(AC80-25))-Design!$C$29)/(IF(ISBLANK(Design!$B$42),Design!$B$40,Design!$B$42)/1000000)*T80/100/(IF(ISBLANK(Design!$B$33),Design!$B$32,Design!$B$33)*1000000)&lt;0,0,($B80-R80*IF(ISBLANK(Design!$B$43),Constants!$C$6,Design!$B$43)/1000*(1+Constants!$C$36/100*(AC80-25))-Design!$C$29)/(IF(ISBLANK(Design!$B$42),Design!$B$40,Design!$B$42)/1000000)*T80/100/(IF(ISBLANK(Design!$B$33),Design!$B$32,Design!$B$33)*1000000))</f>
        <v>0</v>
      </c>
      <c r="V80" s="183">
        <f>$B80*Constants!$C$21/1000+IF(ISBLANK(Design!$B$33),Design!$B$32,Design!$B$33)*1000000*Constants!$D$25/1000000000*($B80-Constants!$C$24)</f>
        <v>1.2060624999999998E-2</v>
      </c>
      <c r="W80" s="183">
        <f>$B80*R80*($B80/(Constants!$C$26*1000000000)*IF(ISBLANK(Design!$B$33),Design!$B$32,Design!$B$33)*1000000/2+$B80/(Constants!$C$27*1000000000)*IF(ISBLANK(Design!$B$33),Design!$B$32,Design!$B$33)*1000000/2)</f>
        <v>2.8403015624999989E-2</v>
      </c>
      <c r="X80" s="183">
        <f t="shared" ca="1" si="14"/>
        <v>0.77060743854602998</v>
      </c>
      <c r="Y80" s="183">
        <f>Constants!$D$25/1000000000*Constants!$C$24*IF(ISBLANK(Design!$B$33),Design!$B$32,Design!$B$33)*1000000</f>
        <v>1.0624999999999999E-2</v>
      </c>
      <c r="Z80" s="183">
        <f t="shared" ca="1" si="23"/>
        <v>0.82169607917102994</v>
      </c>
      <c r="AA80" s="183">
        <f t="shared" ca="1" si="19"/>
        <v>1.1032627748531386E-2</v>
      </c>
      <c r="AB80" s="184">
        <f ca="1">$A80+AA80*Design!$B$19</f>
        <v>85.628859781666293</v>
      </c>
      <c r="AC80" s="184">
        <f ca="1">Z80*Design!$C$12+$A80</f>
        <v>112.93766669181502</v>
      </c>
      <c r="AD80" s="184">
        <f ca="1">Constants!$D$22+Constants!$D$22*Constants!$C$23/100*(AC80-25)</f>
        <v>195.35013335345201</v>
      </c>
      <c r="AE80" s="183">
        <f ca="1">IF(100*(Design!$C$29+S80+R80*IF(ISBLANK(Design!$B$43),Constants!$C$6,Design!$B$43)/1000*(1+Constants!$C$36/100*(AC80-25)))/($B80+S80-R80*AD80/1000)&gt;Design!$B$36,   (1-Constants!$D$20/1000000000*IF(ISBLANK(Design!$B$33),Design!$B$32/4,Design!$B$33/4)*1000000) * ($B80+S80-R80*AD80/1000) - (S80+R80*(1+($A80-25)*Constants!$C$36/100)*IF(ISBLANK(Design!$B$43),Constants!$C$6/1000,Design!$B$43/1000)),  (1-Constants!$D$20/1000000000*IF(ISBLANK(Design!$B$33),Design!$B$32,Design!$B$33)*1000000) * ($B80+S80-R80*AD80/1000) - (S80+R80*(1+($A80-25)*Constants!$C$36/100)*IF(ISBLANK(Design!$B$43),Constants!$C$6/1000,Design!$B$43/1000)))</f>
        <v>4.3475656543527172</v>
      </c>
      <c r="AF80" s="117">
        <f ca="1">IF(AE80&gt;Design!$C$29,Design!$C$29,AE80)</f>
        <v>4.3475656543527172</v>
      </c>
      <c r="AG80" s="118">
        <f>Design!$D$7/3</f>
        <v>1</v>
      </c>
      <c r="AH80" s="118">
        <f ca="1">FORECAST(AG80, OFFSET(Design!$C$15:$C$17,MATCH(AG80,Design!$B$15:$B$17,1)-1,0,2), OFFSET(Design!$B$15:$B$17,MATCH(AG80,Design!$B$15:$B$17,1)-1,0,2))+(AQ80-25)*Design!$B$18/1000</f>
        <v>0.32196873221474043</v>
      </c>
      <c r="AI80" s="194">
        <f ca="1">IF(100*(Design!$C$29+AH80+AG80*IF(ISBLANK(Design!$B$43),Constants!$C$6,Design!$B$43)/1000*(1+Constants!$C$36/100*(AR80-25)))/($B80+AH80-AG80*AS80/1000)&gt;Design!$B$36,Design!$B$37,100*(Design!$C$29+AH80+AG80*IF(ISBLANK(Design!$B$43),Constants!$C$6,Design!$B$43)/1000*(1+Constants!$C$36/100*(AR80-25)))/($B80+AH80-AG80*AS80/1000))</f>
        <v>98.618750000000006</v>
      </c>
      <c r="AJ80" s="119">
        <f ca="1">IF(($B80-AG80*IF(ISBLANK(Design!$B$43),Constants!$C$6,Design!$B$43)/1000*(1+Constants!$C$36/100*(AR80-25))-Design!$C$29)/(IF(ISBLANK(Design!$B$42),Design!$B$40,Design!$B$42)/1000000)*AI80/100/(IF(ISBLANK(Design!$B$33),Design!$B$32,Design!$B$33)*1000000)&lt;0,0,($B80-AG80*IF(ISBLANK(Design!$B$43),Constants!$C$6,Design!$B$43)/1000*(1+Constants!$C$36/100*(AR80-25))-Design!$C$29)/(IF(ISBLANK(Design!$B$42),Design!$B$40,Design!$B$42)/1000000)*AI80/100/(IF(ISBLANK(Design!$B$33),Design!$B$32,Design!$B$33)*1000000))</f>
        <v>0</v>
      </c>
      <c r="AK80" s="195">
        <f>$B80*Constants!$C$21/1000+IF(ISBLANK(Design!$B$33),Design!$B$32,Design!$B$33)*1000000*Constants!$D$25/1000000000*($B80-Constants!$C$24)</f>
        <v>1.2060624999999998E-2</v>
      </c>
      <c r="AL80" s="195">
        <f>$B80*AG80*($B80/(Constants!$C$26*1000000000)*IF(ISBLANK(Design!$B$33),Design!$B$32,Design!$B$33)*1000000/2+$B80/(Constants!$C$27*1000000000)*IF(ISBLANK(Design!$B$33),Design!$B$32,Design!$B$33)*1000000/2)</f>
        <v>1.4201507812499995E-2</v>
      </c>
      <c r="AM80" s="195">
        <f t="shared" ca="1" si="15"/>
        <v>0.17632983336585814</v>
      </c>
      <c r="AN80" s="195">
        <f>Constants!$D$25/1000000000*Constants!$C$24*IF(ISBLANK(Design!$B$33),Design!$B$32,Design!$B$33)*1000000</f>
        <v>1.0624999999999999E-2</v>
      </c>
      <c r="AO80" s="195">
        <f t="shared" ca="1" si="24"/>
        <v>0.21321696617835811</v>
      </c>
      <c r="AP80" s="195">
        <f t="shared" ca="1" si="21"/>
        <v>4.4471931137160681E-3</v>
      </c>
      <c r="AQ80" s="196">
        <f ca="1">$A80+AP80*Design!$B$19</f>
        <v>85.253490007481815</v>
      </c>
      <c r="AR80" s="196">
        <f ca="1">AO80*Design!$C$12+$A80</f>
        <v>92.249376850064181</v>
      </c>
      <c r="AS80" s="196">
        <f ca="1">Constants!$D$22+Constants!$D$22*Constants!$C$23/100*(AR80-25)</f>
        <v>178.79950148005133</v>
      </c>
      <c r="AT80" s="195">
        <f ca="1">IF(100*(Design!$C$29+AH80+AG80*IF(ISBLANK(Design!$B$43),Constants!$C$6,Design!$B$43)/1000*(1+Constants!$C$36/100*(AR80-25)))/($B80+AH80-AG80*AS80/1000)&gt;Design!$B$36,   (1-Constants!$D$20/1000000000*IF(ISBLANK(Design!$B$33),Design!$B$32/4,Design!$B$33/4)*1000000) * ($B80+AH80-AG80*AS80/1000) - (AH80+AG80*(1+($A80-25)*Constants!$C$36/100)*IF(ISBLANK(Design!$B$43),Constants!$C$6/1000,Design!$B$43/1000)),  (1-Constants!$D$20/1000000000*IF(ISBLANK(Design!$B$33),Design!$B$32,Design!$B$33)*1000000) * ($B80+AH80-AG80*AS80/1000) - (AH80+AG80*(1+($A80-25)*Constants!$C$36/100)*IF(ISBLANK(Design!$B$43),Constants!$C$6/1000,Design!$B$43/1000)))</f>
        <v>4.6070406610204255</v>
      </c>
      <c r="AU80" s="119">
        <f ca="1">IF(AT80&gt;Design!$C$29,Design!$C$29,AT80)</f>
        <v>4.6070406610204255</v>
      </c>
    </row>
    <row r="81" spans="1:47" ht="12.75" customHeight="1" x14ac:dyDescent="0.25">
      <c r="A81" s="112">
        <f>Design!$D$13</f>
        <v>85</v>
      </c>
      <c r="B81" s="113">
        <f t="shared" si="12"/>
        <v>4.6899999999999995</v>
      </c>
      <c r="C81" s="114">
        <f>Design!$D$7</f>
        <v>3</v>
      </c>
      <c r="D81" s="114">
        <f ca="1">FORECAST(C81, OFFSET(Design!$C$15:$C$17,MATCH(C81,Design!$B$15:$B$17,1)-1,0,2), OFFSET(Design!$B$15:$B$17,MATCH(C81,Design!$B$15:$B$17,1)-1,0,2))+(M81-25)*Design!$B$18/1000</f>
        <v>0.42399854194383751</v>
      </c>
      <c r="E81" s="173">
        <f ca="1">IF(100*(Design!$C$29+D81+C81*IF(ISBLANK(Design!$B$43),Constants!$C$6,Design!$B$43)/1000*(1+Constants!$C$36/100*(N81-25)))/($B81+D81-C81*O81/1000)&gt;Design!$B$36,Design!$B$37,100*(Design!$C$29+D81+C81*IF(ISBLANK(Design!$B$43),Constants!$C$6,Design!$B$43)/1000*(1+Constants!$C$36/100*(N81-25)))/($B81+D81-C81*O81/1000))</f>
        <v>98.618750000000006</v>
      </c>
      <c r="F81" s="115">
        <f ca="1">IF(($B81-C81*IF(ISBLANK(Design!$B$43),Constants!$C$6,Design!$B$43)/1000*(1+Constants!$C$36/100*(N81-25))-Design!$C$29)/(IF(ISBLANK(Design!$B$42),Design!$B$40,Design!$B$42)/1000000)*E81/100/(IF(ISBLANK(Design!$B$33),Design!$B$32,Design!$B$33)*1000000)&lt;0,0,($B81-C81*IF(ISBLANK(Design!$B$43),Constants!$C$6,Design!$B$43)/1000*(1+Constants!$C$36/100*(N81-25))-Design!$C$29)/(IF(ISBLANK(Design!$B$42),Design!$B$40,Design!$B$42)/1000000)*E81/100/(IF(ISBLANK(Design!$B$33),Design!$B$32,Design!$B$33)*1000000))</f>
        <v>0</v>
      </c>
      <c r="G81" s="165">
        <f>B81*Constants!$C$21/1000+IF(ISBLANK(Design!$B$33),Design!$B$32,Design!$B$33)*1000000*Constants!$D$25/1000000000*(B81-Constants!$C$24)</f>
        <v>1.1066249999999996E-2</v>
      </c>
      <c r="H81" s="165">
        <f>B81*C81*(B81/(Constants!$C$26*1000000000)*IF(ISBLANK(Design!$B$33),Design!$B$32,Design!$B$33)*1000000/2+B81/(Constants!$C$27*1000000000)*IF(ISBLANK(Design!$B$33),Design!$B$32,Design!$B$33)*1000000/2)</f>
        <v>3.8951427083333323E-2</v>
      </c>
      <c r="I81" s="165">
        <f t="shared" ca="1" si="13"/>
        <v>2.0434648385953866</v>
      </c>
      <c r="J81" s="165">
        <f>Constants!$D$25/1000000000*Constants!$C$24*IF(ISBLANK(Design!$B$33),Design!$B$32,Design!$B$33)*1000000</f>
        <v>1.0624999999999999E-2</v>
      </c>
      <c r="K81" s="165">
        <f t="shared" ca="1" si="22"/>
        <v>2.1041075156787201</v>
      </c>
      <c r="L81" s="165">
        <f t="shared" ca="1" si="17"/>
        <v>1.7569439581797634E-2</v>
      </c>
      <c r="M81" s="166">
        <f ca="1">$A81+L81*Design!$B$19</f>
        <v>86.001458056162463</v>
      </c>
      <c r="N81" s="166">
        <f ca="1">K81*Design!$C$12+A81</f>
        <v>156.53965553307648</v>
      </c>
      <c r="O81" s="166">
        <f ca="1">Constants!$D$22+Constants!$D$22*Constants!$C$23/100*(N81-25)</f>
        <v>230.2317244264612</v>
      </c>
      <c r="P81" s="165">
        <f ca="1">IF(100*(Design!$C$29+D81+C81*IF(ISBLANK(Design!$B$43),Constants!$C$6,Design!$B$43)/1000*(1+Constants!$C$36/100*(N81-25)))/($B81+D81-C81*O81/1000)&gt;Design!$B$36,   (1-Constants!$D$20/1000000000*IF(ISBLANK(Design!$B$33),Design!$B$32/4,Design!$B$33/4)*1000000) * ($B81+D81-C81*O81/1000) - (D81+C81*(1+($A81-25)*Constants!$C$36/100)*IF(ISBLANK(Design!$B$43),Constants!$C$6/1000,Design!$B$43/1000)),  (1-Constants!$D$20/1000000000*IF(ISBLANK(Design!$B$33),Design!$B$32,Design!$B$33)*1000000) * ($B81+D81-C81*O81/1000) - (D81+C81*(1+($A81-25)*Constants!$C$36/100)*IF(ISBLANK(Design!$B$43),Constants!$C$6/1000,Design!$B$43/1000)))</f>
        <v>3.7899119489409383</v>
      </c>
      <c r="Q81" s="115">
        <f ca="1">IF(P81&gt;Design!$C$29,Design!$C$29,P81)</f>
        <v>3.7899119489409383</v>
      </c>
      <c r="R81" s="116">
        <f>2*Design!$D$7/3</f>
        <v>2</v>
      </c>
      <c r="S81" s="116">
        <f ca="1">FORECAST(R81, OFFSET(Design!$C$15:$C$17,MATCH(R81,Design!$B$15:$B$17,1)-1,0,2), OFFSET(Design!$B$15:$B$17,MATCH(R81,Design!$B$15:$B$17,1)-1,0,2))+(AB81-25)*Design!$B$18/1000</f>
        <v>0.39937114021833375</v>
      </c>
      <c r="T81" s="182">
        <f ca="1">IF(100*(Design!$C$29+S81+R81*IF(ISBLANK(Design!$B$43),Constants!$C$6,Design!$B$43)/1000*(1+Constants!$C$36/100*(AC81-25)))/($B81+S81-R81*AD81/1000)&gt;Design!$B$36,Design!$B$37,100*(Design!$C$29+S81+R81*IF(ISBLANK(Design!$B$43),Constants!$C$6,Design!$B$43)/1000*(1+Constants!$C$36/100*(AC81-25)))/($B81+S81-R81*AD81/1000))</f>
        <v>98.618750000000006</v>
      </c>
      <c r="U81" s="117">
        <f ca="1">IF(($B81-R81*IF(ISBLANK(Design!$B$43),Constants!$C$6,Design!$B$43)/1000*(1+Constants!$C$36/100*(AC81-25))-Design!$C$29)/(IF(ISBLANK(Design!$B$42),Design!$B$40,Design!$B$42)/1000000)*T81/100/(IF(ISBLANK(Design!$B$33),Design!$B$32,Design!$B$33)*1000000)&lt;0,0,($B81-R81*IF(ISBLANK(Design!$B$43),Constants!$C$6,Design!$B$43)/1000*(1+Constants!$C$36/100*(AC81-25))-Design!$C$29)/(IF(ISBLANK(Design!$B$42),Design!$B$40,Design!$B$42)/1000000)*T81/100/(IF(ISBLANK(Design!$B$33),Design!$B$32,Design!$B$33)*1000000))</f>
        <v>0</v>
      </c>
      <c r="V81" s="183">
        <f>$B81*Constants!$C$21/1000+IF(ISBLANK(Design!$B$33),Design!$B$32,Design!$B$33)*1000000*Constants!$D$25/1000000000*($B81-Constants!$C$24)</f>
        <v>1.1066249999999996E-2</v>
      </c>
      <c r="W81" s="183">
        <f>$B81*R81*($B81/(Constants!$C$26*1000000000)*IF(ISBLANK(Design!$B$33),Design!$B$32,Design!$B$33)*1000000/2+$B81/(Constants!$C$27*1000000000)*IF(ISBLANK(Design!$B$33),Design!$B$32,Design!$B$33)*1000000/2)</f>
        <v>2.5967618055555548E-2</v>
      </c>
      <c r="X81" s="183">
        <f t="shared" ca="1" si="14"/>
        <v>0.77019520169257971</v>
      </c>
      <c r="Y81" s="183">
        <f>Constants!$D$25/1000000000*Constants!$C$24*IF(ISBLANK(Design!$B$33),Design!$B$32,Design!$B$33)*1000000</f>
        <v>1.0624999999999999E-2</v>
      </c>
      <c r="Z81" s="183">
        <f t="shared" ca="1" si="23"/>
        <v>0.81785406974813524</v>
      </c>
      <c r="AA81" s="183">
        <f t="shared" ca="1" si="19"/>
        <v>1.1032627748531386E-2</v>
      </c>
      <c r="AB81" s="184">
        <f ca="1">$A81+AA81*Design!$B$19</f>
        <v>85.628859781666293</v>
      </c>
      <c r="AC81" s="184">
        <f ca="1">Z81*Design!$C$12+$A81</f>
        <v>112.80703837143659</v>
      </c>
      <c r="AD81" s="184">
        <f ca="1">Constants!$D$22+Constants!$D$22*Constants!$C$23/100*(AC81-25)</f>
        <v>195.24563069714929</v>
      </c>
      <c r="AE81" s="183">
        <f ca="1">IF(100*(Design!$C$29+S81+R81*IF(ISBLANK(Design!$B$43),Constants!$C$6,Design!$B$43)/1000*(1+Constants!$C$36/100*(AC81-25)))/($B81+S81-R81*AD81/1000)&gt;Design!$B$36,   (1-Constants!$D$20/1000000000*IF(ISBLANK(Design!$B$33),Design!$B$32/4,Design!$B$33/4)*1000000) * ($B81+S81-R81*AD81/1000) - (S81+R81*(1+($A81-25)*Constants!$C$36/100)*IF(ISBLANK(Design!$B$43),Constants!$C$6/1000,Design!$B$43/1000)),  (1-Constants!$D$20/1000000000*IF(ISBLANK(Design!$B$33),Design!$B$32,Design!$B$33)*1000000) * ($B81+S81-R81*AD81/1000) - (S81+R81*(1+($A81-25)*Constants!$C$36/100)*IF(ISBLANK(Design!$B$43),Constants!$C$6/1000,Design!$B$43/1000)))</f>
        <v>4.1357414602794424</v>
      </c>
      <c r="AF81" s="117">
        <f ca="1">IF(AE81&gt;Design!$C$29,Design!$C$29,AE81)</f>
        <v>4.1357414602794424</v>
      </c>
      <c r="AG81" s="118">
        <f>Design!$D$7/3</f>
        <v>1</v>
      </c>
      <c r="AH81" s="118">
        <f ca="1">FORECAST(AG81, OFFSET(Design!$C$15:$C$17,MATCH(AG81,Design!$B$15:$B$17,1)-1,0,2), OFFSET(Design!$B$15:$B$17,MATCH(AG81,Design!$B$15:$B$17,1)-1,0,2))+(AQ81-25)*Design!$B$18/1000</f>
        <v>0.32196873221474043</v>
      </c>
      <c r="AI81" s="194">
        <f ca="1">IF(100*(Design!$C$29+AH81+AG81*IF(ISBLANK(Design!$B$43),Constants!$C$6,Design!$B$43)/1000*(1+Constants!$C$36/100*(AR81-25)))/($B81+AH81-AG81*AS81/1000)&gt;Design!$B$36,Design!$B$37,100*(Design!$C$29+AH81+AG81*IF(ISBLANK(Design!$B$43),Constants!$C$6,Design!$B$43)/1000*(1+Constants!$C$36/100*(AR81-25)))/($B81+AH81-AG81*AS81/1000))</f>
        <v>98.618750000000006</v>
      </c>
      <c r="AJ81" s="119">
        <f ca="1">IF(($B81-AG81*IF(ISBLANK(Design!$B$43),Constants!$C$6,Design!$B$43)/1000*(1+Constants!$C$36/100*(AR81-25))-Design!$C$29)/(IF(ISBLANK(Design!$B$42),Design!$B$40,Design!$B$42)/1000000)*AI81/100/(IF(ISBLANK(Design!$B$33),Design!$B$32,Design!$B$33)*1000000)&lt;0,0,($B81-AG81*IF(ISBLANK(Design!$B$43),Constants!$C$6,Design!$B$43)/1000*(1+Constants!$C$36/100*(AR81-25))-Design!$C$29)/(IF(ISBLANK(Design!$B$42),Design!$B$40,Design!$B$42)/1000000)*AI81/100/(IF(ISBLANK(Design!$B$33),Design!$B$32,Design!$B$33)*1000000))</f>
        <v>0</v>
      </c>
      <c r="AK81" s="195">
        <f>$B81*Constants!$C$21/1000+IF(ISBLANK(Design!$B$33),Design!$B$32,Design!$B$33)*1000000*Constants!$D$25/1000000000*($B81-Constants!$C$24)</f>
        <v>1.1066249999999996E-2</v>
      </c>
      <c r="AL81" s="195">
        <f>$B81*AG81*($B81/(Constants!$C$26*1000000000)*IF(ISBLANK(Design!$B$33),Design!$B$32,Design!$B$33)*1000000/2+$B81/(Constants!$C$27*1000000000)*IF(ISBLANK(Design!$B$33),Design!$B$32,Design!$B$33)*1000000/2)</f>
        <v>1.2983809027777774E-2</v>
      </c>
      <c r="AM81" s="195">
        <f t="shared" ca="1" si="15"/>
        <v>0.17626886048005394</v>
      </c>
      <c r="AN81" s="195">
        <f>Constants!$D$25/1000000000*Constants!$C$24*IF(ISBLANK(Design!$B$33),Design!$B$32,Design!$B$33)*1000000</f>
        <v>1.0624999999999999E-2</v>
      </c>
      <c r="AO81" s="195">
        <f t="shared" ca="1" si="24"/>
        <v>0.2109439195078317</v>
      </c>
      <c r="AP81" s="195">
        <f t="shared" ca="1" si="21"/>
        <v>4.4471931137160681E-3</v>
      </c>
      <c r="AQ81" s="196">
        <f ca="1">$A81+AP81*Design!$B$19</f>
        <v>85.253490007481815</v>
      </c>
      <c r="AR81" s="196">
        <f ca="1">AO81*Design!$C$12+$A81</f>
        <v>92.172093263266277</v>
      </c>
      <c r="AS81" s="196">
        <f ca="1">Constants!$D$22+Constants!$D$22*Constants!$C$23/100*(AR81-25)</f>
        <v>178.73767461061303</v>
      </c>
      <c r="AT81" s="195">
        <f ca="1">IF(100*(Design!$C$29+AH81+AG81*IF(ISBLANK(Design!$B$43),Constants!$C$6,Design!$B$43)/1000*(1+Constants!$C$36/100*(AR81-25)))/($B81+AH81-AG81*AS81/1000)&gt;Design!$B$36,   (1-Constants!$D$20/1000000000*IF(ISBLANK(Design!$B$33),Design!$B$32/4,Design!$B$33/4)*1000000) * ($B81+AH81-AG81*AS81/1000) - (AH81+AG81*(1+($A81-25)*Constants!$C$36/100)*IF(ISBLANK(Design!$B$43),Constants!$C$6/1000,Design!$B$43/1000)),  (1-Constants!$D$20/1000000000*IF(ISBLANK(Design!$B$33),Design!$B$32,Design!$B$33)*1000000) * ($B81+AH81-AG81*AS81/1000) - (AH81+AG81*(1+($A81-25)*Constants!$C$36/100)*IF(ISBLANK(Design!$B$43),Constants!$C$6/1000,Design!$B$43/1000)))</f>
        <v>4.3950713214062294</v>
      </c>
      <c r="AU81" s="119">
        <f ca="1">IF(AT81&gt;Design!$C$29,Design!$C$29,AT81)</f>
        <v>4.3950713214062294</v>
      </c>
    </row>
    <row r="82" spans="1:47" ht="12.75" customHeight="1" x14ac:dyDescent="0.25">
      <c r="A82" s="112">
        <f>Design!$D$13</f>
        <v>85</v>
      </c>
      <c r="B82" s="113">
        <f t="shared" si="12"/>
        <v>4.4749999999999996</v>
      </c>
      <c r="C82" s="114">
        <f>Design!$D$7</f>
        <v>3</v>
      </c>
      <c r="D82" s="114">
        <f ca="1">FORECAST(C82, OFFSET(Design!$C$15:$C$17,MATCH(C82,Design!$B$15:$B$17,1)-1,0,2), OFFSET(Design!$B$15:$B$17,MATCH(C82,Design!$B$15:$B$17,1)-1,0,2))+(M82-25)*Design!$B$18/1000</f>
        <v>0.42399854194383751</v>
      </c>
      <c r="E82" s="173">
        <f ca="1">IF(100*(Design!$C$29+D82+C82*IF(ISBLANK(Design!$B$43),Constants!$C$6,Design!$B$43)/1000*(1+Constants!$C$36/100*(N82-25)))/($B82+D82-C82*O82/1000)&gt;Design!$B$36,Design!$B$37,100*(Design!$C$29+D82+C82*IF(ISBLANK(Design!$B$43),Constants!$C$6,Design!$B$43)/1000*(1+Constants!$C$36/100*(N82-25)))/($B82+D82-C82*O82/1000))</f>
        <v>98.618750000000006</v>
      </c>
      <c r="F82" s="115">
        <f ca="1">IF(($B82-C82*IF(ISBLANK(Design!$B$43),Constants!$C$6,Design!$B$43)/1000*(1+Constants!$C$36/100*(N82-25))-Design!$C$29)/(IF(ISBLANK(Design!$B$42),Design!$B$40,Design!$B$42)/1000000)*E82/100/(IF(ISBLANK(Design!$B$33),Design!$B$32,Design!$B$33)*1000000)&lt;0,0,($B82-C82*IF(ISBLANK(Design!$B$43),Constants!$C$6,Design!$B$43)/1000*(1+Constants!$C$36/100*(N82-25))-Design!$C$29)/(IF(ISBLANK(Design!$B$42),Design!$B$40,Design!$B$42)/1000000)*E82/100/(IF(ISBLANK(Design!$B$33),Design!$B$32,Design!$B$33)*1000000))</f>
        <v>0</v>
      </c>
      <c r="G82" s="165">
        <f>B82*Constants!$C$21/1000+IF(ISBLANK(Design!$B$33),Design!$B$32,Design!$B$33)*1000000*Constants!$D$25/1000000000*(B82-Constants!$C$24)</f>
        <v>1.0071874999999999E-2</v>
      </c>
      <c r="H82" s="165">
        <f>B82*C82*(B82/(Constants!$C$26*1000000000)*IF(ISBLANK(Design!$B$33),Design!$B$32,Design!$B$33)*1000000/2+B82/(Constants!$C$27*1000000000)*IF(ISBLANK(Design!$B$33),Design!$B$32,Design!$B$33)*1000000/2)</f>
        <v>3.5462044270833319E-2</v>
      </c>
      <c r="I82" s="165">
        <f t="shared" ca="1" si="13"/>
        <v>2.0420378814818791</v>
      </c>
      <c r="J82" s="165">
        <f>Constants!$D$25/1000000000*Constants!$C$24*IF(ISBLANK(Design!$B$33),Design!$B$32,Design!$B$33)*1000000</f>
        <v>1.0624999999999999E-2</v>
      </c>
      <c r="K82" s="165">
        <f t="shared" ca="1" si="22"/>
        <v>2.0981968007527128</v>
      </c>
      <c r="L82" s="165">
        <f t="shared" ca="1" si="17"/>
        <v>1.7569439581797634E-2</v>
      </c>
      <c r="M82" s="166">
        <f ca="1">$A82+L82*Design!$B$19</f>
        <v>86.001458056162463</v>
      </c>
      <c r="N82" s="166">
        <f ca="1">K82*Design!$C$12+A82</f>
        <v>156.33869122559224</v>
      </c>
      <c r="O82" s="166">
        <f ca="1">Constants!$D$22+Constants!$D$22*Constants!$C$23/100*(N82-25)</f>
        <v>230.07095298047381</v>
      </c>
      <c r="P82" s="165">
        <f ca="1">IF(100*(Design!$C$29+D82+C82*IF(ISBLANK(Design!$B$43),Constants!$C$6,Design!$B$43)/1000*(1+Constants!$C$36/100*(N82-25)))/($B82+D82-C82*O82/1000)&gt;Design!$B$36,   (1-Constants!$D$20/1000000000*IF(ISBLANK(Design!$B$33),Design!$B$32/4,Design!$B$33/4)*1000000) * ($B82+D82-C82*O82/1000) - (D82+C82*(1+($A82-25)*Constants!$C$36/100)*IF(ISBLANK(Design!$B$43),Constants!$C$6/1000,Design!$B$43/1000)),  (1-Constants!$D$20/1000000000*IF(ISBLANK(Design!$B$33),Design!$B$32,Design!$B$33)*1000000) * ($B82+D82-C82*O82/1000) - (D82+C82*(1+($A82-25)*Constants!$C$36/100)*IF(ISBLANK(Design!$B$43),Constants!$C$6/1000,Design!$B$43/1000)))</f>
        <v>3.5783572888121071</v>
      </c>
      <c r="Q82" s="115">
        <f ca="1">IF(P82&gt;Design!$C$29,Design!$C$29,P82)</f>
        <v>3.5783572888121071</v>
      </c>
      <c r="R82" s="116">
        <f>2*Design!$D$7/3</f>
        <v>2</v>
      </c>
      <c r="S82" s="116">
        <f ca="1">FORECAST(R82, OFFSET(Design!$C$15:$C$17,MATCH(R82,Design!$B$15:$B$17,1)-1,0,2), OFFSET(Design!$B$15:$B$17,MATCH(R82,Design!$B$15:$B$17,1)-1,0,2))+(AB82-25)*Design!$B$18/1000</f>
        <v>0.39937114021833375</v>
      </c>
      <c r="T82" s="182">
        <f ca="1">IF(100*(Design!$C$29+S82+R82*IF(ISBLANK(Design!$B$43),Constants!$C$6,Design!$B$43)/1000*(1+Constants!$C$36/100*(AC82-25)))/($B82+S82-R82*AD82/1000)&gt;Design!$B$36,Design!$B$37,100*(Design!$C$29+S82+R82*IF(ISBLANK(Design!$B$43),Constants!$C$6,Design!$B$43)/1000*(1+Constants!$C$36/100*(AC82-25)))/($B82+S82-R82*AD82/1000))</f>
        <v>98.618750000000006</v>
      </c>
      <c r="U82" s="117">
        <f ca="1">IF(($B82-R82*IF(ISBLANK(Design!$B$43),Constants!$C$6,Design!$B$43)/1000*(1+Constants!$C$36/100*(AC82-25))-Design!$C$29)/(IF(ISBLANK(Design!$B$42),Design!$B$40,Design!$B$42)/1000000)*T82/100/(IF(ISBLANK(Design!$B$33),Design!$B$32,Design!$B$33)*1000000)&lt;0,0,($B82-R82*IF(ISBLANK(Design!$B$43),Constants!$C$6,Design!$B$43)/1000*(1+Constants!$C$36/100*(AC82-25))-Design!$C$29)/(IF(ISBLANK(Design!$B$42),Design!$B$40,Design!$B$42)/1000000)*T82/100/(IF(ISBLANK(Design!$B$33),Design!$B$32,Design!$B$33)*1000000))</f>
        <v>0</v>
      </c>
      <c r="V82" s="183">
        <f>$B82*Constants!$C$21/1000+IF(ISBLANK(Design!$B$33),Design!$B$32,Design!$B$33)*1000000*Constants!$D$25/1000000000*($B82-Constants!$C$24)</f>
        <v>1.0071874999999999E-2</v>
      </c>
      <c r="W82" s="183">
        <f>$B82*R82*($B82/(Constants!$C$26*1000000000)*IF(ISBLANK(Design!$B$33),Design!$B$32,Design!$B$33)*1000000/2+$B82/(Constants!$C$27*1000000000)*IF(ISBLANK(Design!$B$33),Design!$B$32,Design!$B$33)*1000000/2)</f>
        <v>2.3641362847222215E-2</v>
      </c>
      <c r="X82" s="183">
        <f t="shared" ca="1" si="14"/>
        <v>0.7697960830569156</v>
      </c>
      <c r="Y82" s="183">
        <f>Constants!$D$25/1000000000*Constants!$C$24*IF(ISBLANK(Design!$B$33),Design!$B$32,Design!$B$33)*1000000</f>
        <v>1.0624999999999999E-2</v>
      </c>
      <c r="Z82" s="183">
        <f t="shared" ca="1" si="23"/>
        <v>0.81413432090413784</v>
      </c>
      <c r="AA82" s="183">
        <f t="shared" ca="1" si="19"/>
        <v>1.1032627748531386E-2</v>
      </c>
      <c r="AB82" s="184">
        <f ca="1">$A82+AA82*Design!$B$19</f>
        <v>85.628859781666293</v>
      </c>
      <c r="AC82" s="184">
        <f ca="1">Z82*Design!$C$12+$A82</f>
        <v>112.68056691074068</v>
      </c>
      <c r="AD82" s="184">
        <f ca="1">Constants!$D$22+Constants!$D$22*Constants!$C$23/100*(AC82-25)</f>
        <v>195.14445352859255</v>
      </c>
      <c r="AE82" s="183">
        <f ca="1">IF(100*(Design!$C$29+S82+R82*IF(ISBLANK(Design!$B$43),Constants!$C$6,Design!$B$43)/1000*(1+Constants!$C$36/100*(AC82-25)))/($B82+S82-R82*AD82/1000)&gt;Design!$B$36,   (1-Constants!$D$20/1000000000*IF(ISBLANK(Design!$B$33),Design!$B$32/4,Design!$B$33/4)*1000000) * ($B82+S82-R82*AD82/1000) - (S82+R82*(1+($A82-25)*Constants!$C$36/100)*IF(ISBLANK(Design!$B$43),Constants!$C$6/1000,Design!$B$43/1000)),  (1-Constants!$D$20/1000000000*IF(ISBLANK(Design!$B$33),Design!$B$32,Design!$B$33)*1000000) * ($B82+S82-R82*AD82/1000) - (S82+R82*(1+($A82-25)*Constants!$C$36/100)*IF(ISBLANK(Design!$B$43),Constants!$C$6/1000,Design!$B$43/1000)))</f>
        <v>3.9239107070972765</v>
      </c>
      <c r="AF82" s="117">
        <f ca="1">IF(AE82&gt;Design!$C$29,Design!$C$29,AE82)</f>
        <v>3.9239107070972765</v>
      </c>
      <c r="AG82" s="118">
        <f>Design!$D$7/3</f>
        <v>1</v>
      </c>
      <c r="AH82" s="118">
        <f ca="1">FORECAST(AG82, OFFSET(Design!$C$15:$C$17,MATCH(AG82,Design!$B$15:$B$17,1)-1,0,2), OFFSET(Design!$B$15:$B$17,MATCH(AG82,Design!$B$15:$B$17,1)-1,0,2))+(AQ82-25)*Design!$B$18/1000</f>
        <v>0.32196873221474043</v>
      </c>
      <c r="AI82" s="194">
        <f ca="1">IF(100*(Design!$C$29+AH82+AG82*IF(ISBLANK(Design!$B$43),Constants!$C$6,Design!$B$43)/1000*(1+Constants!$C$36/100*(AR82-25)))/($B82+AH82-AG82*AS82/1000)&gt;Design!$B$36,Design!$B$37,100*(Design!$C$29+AH82+AG82*IF(ISBLANK(Design!$B$43),Constants!$C$6,Design!$B$43)/1000*(1+Constants!$C$36/100*(AR82-25)))/($B82+AH82-AG82*AS82/1000))</f>
        <v>98.618750000000006</v>
      </c>
      <c r="AJ82" s="119">
        <f ca="1">IF(($B82-AG82*IF(ISBLANK(Design!$B$43),Constants!$C$6,Design!$B$43)/1000*(1+Constants!$C$36/100*(AR82-25))-Design!$C$29)/(IF(ISBLANK(Design!$B$42),Design!$B$40,Design!$B$42)/1000000)*AI82/100/(IF(ISBLANK(Design!$B$33),Design!$B$32,Design!$B$33)*1000000)&lt;0,0,($B82-AG82*IF(ISBLANK(Design!$B$43),Constants!$C$6,Design!$B$43)/1000*(1+Constants!$C$36/100*(AR82-25))-Design!$C$29)/(IF(ISBLANK(Design!$B$42),Design!$B$40,Design!$B$42)/1000000)*AI82/100/(IF(ISBLANK(Design!$B$33),Design!$B$32,Design!$B$33)*1000000))</f>
        <v>0</v>
      </c>
      <c r="AK82" s="195">
        <f>$B82*Constants!$C$21/1000+IF(ISBLANK(Design!$B$33),Design!$B$32,Design!$B$33)*1000000*Constants!$D$25/1000000000*($B82-Constants!$C$24)</f>
        <v>1.0071874999999999E-2</v>
      </c>
      <c r="AL82" s="195">
        <f>$B82*AG82*($B82/(Constants!$C$26*1000000000)*IF(ISBLANK(Design!$B$33),Design!$B$32,Design!$B$33)*1000000/2+$B82/(Constants!$C$27*1000000000)*IF(ISBLANK(Design!$B$33),Design!$B$32,Design!$B$33)*1000000/2)</f>
        <v>1.1820681423611108E-2</v>
      </c>
      <c r="AM82" s="195">
        <f t="shared" ca="1" si="15"/>
        <v>0.17620939177660713</v>
      </c>
      <c r="AN82" s="195">
        <f>Constants!$D$25/1000000000*Constants!$C$24*IF(ISBLANK(Design!$B$33),Design!$B$32,Design!$B$33)*1000000</f>
        <v>1.0624999999999999E-2</v>
      </c>
      <c r="AO82" s="195">
        <f t="shared" ca="1" si="24"/>
        <v>0.20872694820021823</v>
      </c>
      <c r="AP82" s="195">
        <f t="shared" ca="1" si="21"/>
        <v>4.4471931137160681E-3</v>
      </c>
      <c r="AQ82" s="196">
        <f ca="1">$A82+AP82*Design!$B$19</f>
        <v>85.253490007481815</v>
      </c>
      <c r="AR82" s="196">
        <f ca="1">AO82*Design!$C$12+$A82</f>
        <v>92.096716238807417</v>
      </c>
      <c r="AS82" s="196">
        <f ca="1">Constants!$D$22+Constants!$D$22*Constants!$C$23/100*(AR82-25)</f>
        <v>178.67737299104593</v>
      </c>
      <c r="AT82" s="195">
        <f ca="1">IF(100*(Design!$C$29+AH82+AG82*IF(ISBLANK(Design!$B$43),Constants!$C$6,Design!$B$43)/1000*(1+Constants!$C$36/100*(AR82-25)))/($B82+AH82-AG82*AS82/1000)&gt;Design!$B$36,   (1-Constants!$D$20/1000000000*IF(ISBLANK(Design!$B$33),Design!$B$32/4,Design!$B$33/4)*1000000) * ($B82+AH82-AG82*AS82/1000) - (AH82+AG82*(1+($A82-25)*Constants!$C$36/100)*IF(ISBLANK(Design!$B$43),Constants!$C$6/1000,Design!$B$43/1000)),  (1-Constants!$D$20/1000000000*IF(ISBLANK(Design!$B$33),Design!$B$32,Design!$B$33)*1000000) * ($B82+AH82-AG82*AS82/1000) - (AH82+AG82*(1+($A82-25)*Constants!$C$36/100)*IF(ISBLANK(Design!$B$43),Constants!$C$6/1000,Design!$B$43/1000)))</f>
        <v>4.1831004776096767</v>
      </c>
      <c r="AU82" s="119">
        <f ca="1">IF(AT82&gt;Design!$C$29,Design!$C$29,AT82)</f>
        <v>4.1831004776096767</v>
      </c>
    </row>
    <row r="83" spans="1:47" ht="12.75" customHeight="1" x14ac:dyDescent="0.25">
      <c r="A83" s="112">
        <f>Design!$D$13</f>
        <v>85</v>
      </c>
      <c r="B83" s="113">
        <f t="shared" si="12"/>
        <v>4.26</v>
      </c>
      <c r="C83" s="114">
        <f>Design!$D$7</f>
        <v>3</v>
      </c>
      <c r="D83" s="114">
        <f ca="1">FORECAST(C83, OFFSET(Design!$C$15:$C$17,MATCH(C83,Design!$B$15:$B$17,1)-1,0,2), OFFSET(Design!$B$15:$B$17,MATCH(C83,Design!$B$15:$B$17,1)-1,0,2))+(M83-25)*Design!$B$18/1000</f>
        <v>0.42399854194383751</v>
      </c>
      <c r="E83" s="173">
        <f ca="1">IF(100*(Design!$C$29+D83+C83*IF(ISBLANK(Design!$B$43),Constants!$C$6,Design!$B$43)/1000*(1+Constants!$C$36/100*(N83-25)))/($B83+D83-C83*O83/1000)&gt;Design!$B$36,Design!$B$37,100*(Design!$C$29+D83+C83*IF(ISBLANK(Design!$B$43),Constants!$C$6,Design!$B$43)/1000*(1+Constants!$C$36/100*(N83-25)))/($B83+D83-C83*O83/1000))</f>
        <v>98.618750000000006</v>
      </c>
      <c r="F83" s="115">
        <f ca="1">IF(($B83-C83*IF(ISBLANK(Design!$B$43),Constants!$C$6,Design!$B$43)/1000*(1+Constants!$C$36/100*(N83-25))-Design!$C$29)/(IF(ISBLANK(Design!$B$42),Design!$B$40,Design!$B$42)/1000000)*E83/100/(IF(ISBLANK(Design!$B$33),Design!$B$32,Design!$B$33)*1000000)&lt;0,0,($B83-C83*IF(ISBLANK(Design!$B$43),Constants!$C$6,Design!$B$43)/1000*(1+Constants!$C$36/100*(N83-25))-Design!$C$29)/(IF(ISBLANK(Design!$B$42),Design!$B$40,Design!$B$42)/1000000)*E83/100/(IF(ISBLANK(Design!$B$33),Design!$B$32,Design!$B$33)*1000000))</f>
        <v>0</v>
      </c>
      <c r="G83" s="165">
        <f>B83*Constants!$C$21/1000+IF(ISBLANK(Design!$B$33),Design!$B$32,Design!$B$33)*1000000*Constants!$D$25/1000000000*(B83-Constants!$C$24)</f>
        <v>9.077499999999997E-3</v>
      </c>
      <c r="H83" s="165">
        <f>B83*C83*(B83/(Constants!$C$26*1000000000)*IF(ISBLANK(Design!$B$33),Design!$B$32,Design!$B$33)*1000000/2+B83/(Constants!$C$27*1000000000)*IF(ISBLANK(Design!$B$33),Design!$B$32,Design!$B$33)*1000000/2)</f>
        <v>3.2136374999999995E-2</v>
      </c>
      <c r="I83" s="165">
        <f t="shared" ca="1" si="13"/>
        <v>2.0406630262464454</v>
      </c>
      <c r="J83" s="165">
        <f>Constants!$D$25/1000000000*Constants!$C$24*IF(ISBLANK(Design!$B$33),Design!$B$32,Design!$B$33)*1000000</f>
        <v>1.0624999999999999E-2</v>
      </c>
      <c r="K83" s="165">
        <f ca="1">SUM(G83:J83)</f>
        <v>2.0925019012464454</v>
      </c>
      <c r="L83" s="165">
        <f t="shared" ca="1" si="17"/>
        <v>1.7569439581797634E-2</v>
      </c>
      <c r="M83" s="166">
        <f ca="1">$A83+L83*Design!$B$19</f>
        <v>86.001458056162463</v>
      </c>
      <c r="N83" s="166">
        <f ca="1">K83*Design!$C$12+A83</f>
        <v>156.14506464237914</v>
      </c>
      <c r="O83" s="166">
        <f ca="1">Constants!$D$22+Constants!$D$22*Constants!$C$23/100*(N83-25)</f>
        <v>229.9160517139033</v>
      </c>
      <c r="P83" s="165">
        <f ca="1">IF(100*(Design!$C$29+D83+C83*IF(ISBLANK(Design!$B$43),Constants!$C$6,Design!$B$43)/1000*(1+Constants!$C$36/100*(N83-25)))/($B83+D83-C83*O83/1000)&gt;Design!$B$36,   (1-Constants!$D$20/1000000000*IF(ISBLANK(Design!$B$33),Design!$B$32/4,Design!$B$33/4)*1000000) * ($B83+D83-C83*O83/1000) - (D83+C83*(1+($A83-25)*Constants!$C$36/100)*IF(ISBLANK(Design!$B$43),Constants!$C$6/1000,Design!$B$43/1000)),  (1-Constants!$D$20/1000000000*IF(ISBLANK(Design!$B$33),Design!$B$32,Design!$B$33)*1000000) * ($B83+D83-C83*O83/1000) - (D83+C83*(1+($A83-25)*Constants!$C$36/100)*IF(ISBLANK(Design!$B$43),Constants!$C$6/1000,Design!$B$43/1000)))</f>
        <v>3.3667852613905858</v>
      </c>
      <c r="Q83" s="115">
        <f ca="1">IF(P83&gt;Design!$C$29,Design!$C$29,P83)</f>
        <v>3.3667852613905858</v>
      </c>
      <c r="R83" s="116">
        <f>2*Design!$D$7/3</f>
        <v>2</v>
      </c>
      <c r="S83" s="116">
        <f ca="1">FORECAST(R83, OFFSET(Design!$C$15:$C$17,MATCH(R83,Design!$B$15:$B$17,1)-1,0,2), OFFSET(Design!$B$15:$B$17,MATCH(R83,Design!$B$15:$B$17,1)-1,0,2))+(AB83-25)*Design!$B$18/1000</f>
        <v>0.39937114021833375</v>
      </c>
      <c r="T83" s="182">
        <f ca="1">IF(100*(Design!$C$29+S83+R83*IF(ISBLANK(Design!$B$43),Constants!$C$6,Design!$B$43)/1000*(1+Constants!$C$36/100*(AC83-25)))/($B83+S83-R83*AD83/1000)&gt;Design!$B$36,Design!$B$37,100*(Design!$C$29+S83+R83*IF(ISBLANK(Design!$B$43),Constants!$C$6,Design!$B$43)/1000*(1+Constants!$C$36/100*(AC83-25)))/($B83+S83-R83*AD83/1000))</f>
        <v>98.618750000000006</v>
      </c>
      <c r="U83" s="117">
        <f ca="1">IF(($B83-R83*IF(ISBLANK(Design!$B$43),Constants!$C$6,Design!$B$43)/1000*(1+Constants!$C$36/100*(AC83-25))-Design!$C$29)/(IF(ISBLANK(Design!$B$42),Design!$B$40,Design!$B$42)/1000000)*T83/100/(IF(ISBLANK(Design!$B$33),Design!$B$32,Design!$B$33)*1000000)&lt;0,0,($B83-R83*IF(ISBLANK(Design!$B$43),Constants!$C$6,Design!$B$43)/1000*(1+Constants!$C$36/100*(AC83-25))-Design!$C$29)/(IF(ISBLANK(Design!$B$42),Design!$B$40,Design!$B$42)/1000000)*T83/100/(IF(ISBLANK(Design!$B$33),Design!$B$32,Design!$B$33)*1000000))</f>
        <v>0</v>
      </c>
      <c r="V83" s="183">
        <f>$B83*Constants!$C$21/1000+IF(ISBLANK(Design!$B$33),Design!$B$32,Design!$B$33)*1000000*Constants!$D$25/1000000000*($B83-Constants!$C$24)</f>
        <v>9.077499999999997E-3</v>
      </c>
      <c r="W83" s="183">
        <f>$B83*R83*($B83/(Constants!$C$26*1000000000)*IF(ISBLANK(Design!$B$33),Design!$B$32,Design!$B$33)*1000000/2+$B83/(Constants!$C$27*1000000000)*IF(ISBLANK(Design!$B$33),Design!$B$32,Design!$B$33)*1000000/2)</f>
        <v>2.1424249999999995E-2</v>
      </c>
      <c r="X83" s="183">
        <f t="shared" ca="1" si="14"/>
        <v>0.76941008263903732</v>
      </c>
      <c r="Y83" s="183">
        <f>Constants!$D$25/1000000000*Constants!$C$24*IF(ISBLANK(Design!$B$33),Design!$B$32,Design!$B$33)*1000000</f>
        <v>1.0624999999999999E-2</v>
      </c>
      <c r="Z83" s="183">
        <f t="shared" ca="1" si="23"/>
        <v>0.81053683263903731</v>
      </c>
      <c r="AA83" s="183">
        <f t="shared" ca="1" si="19"/>
        <v>1.1032627748531386E-2</v>
      </c>
      <c r="AB83" s="184">
        <f ca="1">$A83+AA83*Design!$B$19</f>
        <v>85.628859781666293</v>
      </c>
      <c r="AC83" s="184">
        <f ca="1">Z83*Design!$C$12+$A83</f>
        <v>112.55825230972727</v>
      </c>
      <c r="AD83" s="184">
        <f ca="1">Constants!$D$22+Constants!$D$22*Constants!$C$23/100*(AC83-25)</f>
        <v>195.0466018477818</v>
      </c>
      <c r="AE83" s="183">
        <f ca="1">IF(100*(Design!$C$29+S83+R83*IF(ISBLANK(Design!$B$43),Constants!$C$6,Design!$B$43)/1000*(1+Constants!$C$36/100*(AC83-25)))/($B83+S83-R83*AD83/1000)&gt;Design!$B$36,   (1-Constants!$D$20/1000000000*IF(ISBLANK(Design!$B$33),Design!$B$32/4,Design!$B$33/4)*1000000) * ($B83+S83-R83*AD83/1000) - (S83+R83*(1+($A83-25)*Constants!$C$36/100)*IF(ISBLANK(Design!$B$43),Constants!$C$6/1000,Design!$B$43/1000)),  (1-Constants!$D$20/1000000000*IF(ISBLANK(Design!$B$33),Design!$B$32,Design!$B$33)*1000000) * ($B83+S83-R83*AD83/1000) - (S83+R83*(1+($A83-25)*Constants!$C$36/100)*IF(ISBLANK(Design!$B$43),Constants!$C$6/1000,Design!$B$43/1000)))</f>
        <v>3.712073394806215</v>
      </c>
      <c r="AF83" s="117">
        <f ca="1">IF(AE83&gt;Design!$C$29,Design!$C$29,AE83)</f>
        <v>3.712073394806215</v>
      </c>
      <c r="AG83" s="118">
        <f>Design!$D$7/3</f>
        <v>1</v>
      </c>
      <c r="AH83" s="118">
        <f ca="1">FORECAST(AG83, OFFSET(Design!$C$15:$C$17,MATCH(AG83,Design!$B$15:$B$17,1)-1,0,2), OFFSET(Design!$B$15:$B$17,MATCH(AG83,Design!$B$15:$B$17,1)-1,0,2))+(AQ83-25)*Design!$B$18/1000</f>
        <v>0.32196873221474043</v>
      </c>
      <c r="AI83" s="194">
        <f ca="1">IF(100*(Design!$C$29+AH83+AG83*IF(ISBLANK(Design!$B$43),Constants!$C$6,Design!$B$43)/1000*(1+Constants!$C$36/100*(AR83-25)))/($B83+AH83-AG83*AS83/1000)&gt;Design!$B$36,Design!$B$37,100*(Design!$C$29+AH83+AG83*IF(ISBLANK(Design!$B$43),Constants!$C$6,Design!$B$43)/1000*(1+Constants!$C$36/100*(AR83-25)))/($B83+AH83-AG83*AS83/1000))</f>
        <v>98.618750000000006</v>
      </c>
      <c r="AJ83" s="119">
        <f ca="1">IF(($B83-AG83*IF(ISBLANK(Design!$B$43),Constants!$C$6,Design!$B$43)/1000*(1+Constants!$C$36/100*(AR83-25))-Design!$C$29)/(IF(ISBLANK(Design!$B$42),Design!$B$40,Design!$B$42)/1000000)*AI83/100/(IF(ISBLANK(Design!$B$33),Design!$B$32,Design!$B$33)*1000000)&lt;0,0,($B83-AG83*IF(ISBLANK(Design!$B$43),Constants!$C$6,Design!$B$43)/1000*(1+Constants!$C$36/100*(AR83-25))-Design!$C$29)/(IF(ISBLANK(Design!$B$42),Design!$B$40,Design!$B$42)/1000000)*AI83/100/(IF(ISBLANK(Design!$B$33),Design!$B$32,Design!$B$33)*1000000))</f>
        <v>0</v>
      </c>
      <c r="AK83" s="195">
        <f>$B83*Constants!$C$21/1000+IF(ISBLANK(Design!$B$33),Design!$B$32,Design!$B$33)*1000000*Constants!$D$25/1000000000*($B83-Constants!$C$24)</f>
        <v>9.077499999999997E-3</v>
      </c>
      <c r="AL83" s="195">
        <f>$B83*AG83*($B83/(Constants!$C$26*1000000000)*IF(ISBLANK(Design!$B$33),Design!$B$32,Design!$B$33)*1000000/2+$B83/(Constants!$C$27*1000000000)*IF(ISBLANK(Design!$B$33),Design!$B$32,Design!$B$33)*1000000/2)</f>
        <v>1.0712124999999998E-2</v>
      </c>
      <c r="AM83" s="195">
        <f t="shared" ca="1" si="15"/>
        <v>0.17615142725551772</v>
      </c>
      <c r="AN83" s="195">
        <f>Constants!$D$25/1000000000*Constants!$C$24*IF(ISBLANK(Design!$B$33),Design!$B$32,Design!$B$33)*1000000</f>
        <v>1.0624999999999999E-2</v>
      </c>
      <c r="AO83" s="195">
        <f t="shared" ca="1" si="24"/>
        <v>0.20656605225551772</v>
      </c>
      <c r="AP83" s="195">
        <f t="shared" ca="1" si="21"/>
        <v>4.4471931137160681E-3</v>
      </c>
      <c r="AQ83" s="196">
        <f ca="1">$A83+AP83*Design!$B$19</f>
        <v>85.253490007481815</v>
      </c>
      <c r="AR83" s="196">
        <f ca="1">AO83*Design!$C$12+$A83</f>
        <v>92.023245776687602</v>
      </c>
      <c r="AS83" s="196">
        <f ca="1">Constants!$D$22+Constants!$D$22*Constants!$C$23/100*(AR83-25)</f>
        <v>178.61859662135009</v>
      </c>
      <c r="AT83" s="195">
        <f ca="1">IF(100*(Design!$C$29+AH83+AG83*IF(ISBLANK(Design!$B$43),Constants!$C$6,Design!$B$43)/1000*(1+Constants!$C$36/100*(AR83-25)))/($B83+AH83-AG83*AS83/1000)&gt;Design!$B$36,   (1-Constants!$D$20/1000000000*IF(ISBLANK(Design!$B$33),Design!$B$32/4,Design!$B$33/4)*1000000) * ($B83+AH83-AG83*AS83/1000) - (AH83+AG83*(1+($A83-25)*Constants!$C$36/100)*IF(ISBLANK(Design!$B$43),Constants!$C$6/1000,Design!$B$43/1000)),  (1-Constants!$D$20/1000000000*IF(ISBLANK(Design!$B$33),Design!$B$32,Design!$B$33)*1000000) * ($B83+AH83-AG83*AS83/1000) - (AH83+AG83*(1+($A83-25)*Constants!$C$36/100)*IF(ISBLANK(Design!$B$43),Constants!$C$6/1000,Design!$B$43/1000)))</f>
        <v>3.9711281296307663</v>
      </c>
      <c r="AU83" s="119">
        <f ca="1">IF(AT83&gt;Design!$C$29,Design!$C$29,AT83)</f>
        <v>3.9711281296307663</v>
      </c>
    </row>
    <row r="84" spans="1:47" ht="12.75" customHeight="1" x14ac:dyDescent="0.25">
      <c r="A84" s="112">
        <f>Design!$D$13</f>
        <v>85</v>
      </c>
      <c r="B84" s="113">
        <f t="shared" si="12"/>
        <v>4.0449999999999999</v>
      </c>
      <c r="C84" s="114">
        <f>Design!$D$7</f>
        <v>3</v>
      </c>
      <c r="D84" s="114">
        <f ca="1">FORECAST(C84, OFFSET(Design!$C$15:$C$17,MATCH(C84,Design!$B$15:$B$17,1)-1,0,2), OFFSET(Design!$B$15:$B$17,MATCH(C84,Design!$B$15:$B$17,1)-1,0,2))+(M84-25)*Design!$B$18/1000</f>
        <v>0.42399854194383751</v>
      </c>
      <c r="E84" s="173">
        <f ca="1">IF(100*(Design!$C$29+D84+C84*IF(ISBLANK(Design!$B$43),Constants!$C$6,Design!$B$43)/1000*(1+Constants!$C$36/100*(N84-25)))/($B84+D84-C84*O84/1000)&gt;Design!$B$36,Design!$B$37,100*(Design!$C$29+D84+C84*IF(ISBLANK(Design!$B$43),Constants!$C$6,Design!$B$43)/1000*(1+Constants!$C$36/100*(N84-25)))/($B84+D84-C84*O84/1000))</f>
        <v>98.618750000000006</v>
      </c>
      <c r="F84" s="115">
        <f ca="1">IF(($B84-C84*IF(ISBLANK(Design!$B$43),Constants!$C$6,Design!$B$43)/1000*(1+Constants!$C$36/100*(N84-25))-Design!$C$29)/(IF(ISBLANK(Design!$B$42),Design!$B$40,Design!$B$42)/1000000)*E84/100/(IF(ISBLANK(Design!$B$33),Design!$B$32,Design!$B$33)*1000000)&lt;0,0,($B84-C84*IF(ISBLANK(Design!$B$43),Constants!$C$6,Design!$B$43)/1000*(1+Constants!$C$36/100*(N84-25))-Design!$C$29)/(IF(ISBLANK(Design!$B$42),Design!$B$40,Design!$B$42)/1000000)*E84/100/(IF(ISBLANK(Design!$B$33),Design!$B$32,Design!$B$33)*1000000))</f>
        <v>0</v>
      </c>
      <c r="G84" s="165">
        <f>B84*Constants!$C$21/1000+IF(ISBLANK(Design!$B$33),Design!$B$32,Design!$B$33)*1000000*Constants!$D$25/1000000000*(B84-Constants!$C$24)</f>
        <v>8.083125E-3</v>
      </c>
      <c r="H84" s="165">
        <f>B84*C84*(B84/(Constants!$C$26*1000000000)*IF(ISBLANK(Design!$B$33),Design!$B$32,Design!$B$33)*1000000/2+B84/(Constants!$C$27*1000000000)*IF(ISBLANK(Design!$B$33),Design!$B$32,Design!$B$33)*1000000/2)</f>
        <v>2.8974419270833336E-2</v>
      </c>
      <c r="I84" s="165">
        <f t="shared" ca="1" si="13"/>
        <v>2.0393402728890857</v>
      </c>
      <c r="J84" s="165">
        <f>Constants!$D$25/1000000000*Constants!$C$24*IF(ISBLANK(Design!$B$33),Design!$B$32,Design!$B$33)*1000000</f>
        <v>1.0624999999999999E-2</v>
      </c>
      <c r="K84" s="165">
        <f t="shared" ca="1" si="22"/>
        <v>2.087022817159919</v>
      </c>
      <c r="L84" s="165">
        <f t="shared" ca="1" si="17"/>
        <v>1.7569439581797634E-2</v>
      </c>
      <c r="M84" s="166">
        <f ca="1">$A84+L84*Design!$B$19</f>
        <v>86.001458056162463</v>
      </c>
      <c r="N84" s="166">
        <f ca="1">K84*Design!$C$12+A84</f>
        <v>155.95877578343726</v>
      </c>
      <c r="O84" s="166">
        <f ca="1">Constants!$D$22+Constants!$D$22*Constants!$C$23/100*(N84-25)</f>
        <v>229.7670206267498</v>
      </c>
      <c r="P84" s="165">
        <f ca="1">IF(100*(Design!$C$29+D84+C84*IF(ISBLANK(Design!$B$43),Constants!$C$6,Design!$B$43)/1000*(1+Constants!$C$36/100*(N84-25)))/($B84+D84-C84*O84/1000)&gt;Design!$B$36,   (1-Constants!$D$20/1000000000*IF(ISBLANK(Design!$B$33),Design!$B$32/4,Design!$B$33/4)*1000000) * ($B84+D84-C84*O84/1000) - (D84+C84*(1+($A84-25)*Constants!$C$36/100)*IF(ISBLANK(Design!$B$43),Constants!$C$6/1000,Design!$B$43/1000)),  (1-Constants!$D$20/1000000000*IF(ISBLANK(Design!$B$33),Design!$B$32,Design!$B$33)*1000000) * ($B84+D84-C84*O84/1000) - (D84+C84*(1+($A84-25)*Constants!$C$36/100)*IF(ISBLANK(Design!$B$43),Constants!$C$6/1000,Design!$B$43/1000)))</f>
        <v>3.1551958666763724</v>
      </c>
      <c r="Q84" s="115">
        <f ca="1">IF(P84&gt;Design!$C$29,Design!$C$29,P84)</f>
        <v>3.1551958666763724</v>
      </c>
      <c r="R84" s="116">
        <f>2*Design!$D$7/3</f>
        <v>2</v>
      </c>
      <c r="S84" s="116">
        <f ca="1">FORECAST(R84, OFFSET(Design!$C$15:$C$17,MATCH(R84,Design!$B$15:$B$17,1)-1,0,2), OFFSET(Design!$B$15:$B$17,MATCH(R84,Design!$B$15:$B$17,1)-1,0,2))+(AB84-25)*Design!$B$18/1000</f>
        <v>0.39937114021833375</v>
      </c>
      <c r="T84" s="182">
        <f ca="1">IF(100*(Design!$C$29+S84+R84*IF(ISBLANK(Design!$B$43),Constants!$C$6,Design!$B$43)/1000*(1+Constants!$C$36/100*(AC84-25)))/($B84+S84-R84*AD84/1000)&gt;Design!$B$36,Design!$B$37,100*(Design!$C$29+S84+R84*IF(ISBLANK(Design!$B$43),Constants!$C$6,Design!$B$43)/1000*(1+Constants!$C$36/100*(AC84-25)))/($B84+S84-R84*AD84/1000))</f>
        <v>98.618750000000006</v>
      </c>
      <c r="U84" s="117">
        <f ca="1">IF(($B84-R84*IF(ISBLANK(Design!$B$43),Constants!$C$6,Design!$B$43)/1000*(1+Constants!$C$36/100*(AC84-25))-Design!$C$29)/(IF(ISBLANK(Design!$B$42),Design!$B$40,Design!$B$42)/1000000)*T84/100/(IF(ISBLANK(Design!$B$33),Design!$B$32,Design!$B$33)*1000000)&lt;0,0,($B84-R84*IF(ISBLANK(Design!$B$43),Constants!$C$6,Design!$B$43)/1000*(1+Constants!$C$36/100*(AC84-25))-Design!$C$29)/(IF(ISBLANK(Design!$B$42),Design!$B$40,Design!$B$42)/1000000)*T84/100/(IF(ISBLANK(Design!$B$33),Design!$B$32,Design!$B$33)*1000000))</f>
        <v>0</v>
      </c>
      <c r="V84" s="183">
        <f>$B84*Constants!$C$21/1000+IF(ISBLANK(Design!$B$33),Design!$B$32,Design!$B$33)*1000000*Constants!$D$25/1000000000*($B84-Constants!$C$24)</f>
        <v>8.083125E-3</v>
      </c>
      <c r="W84" s="183">
        <f>$B84*R84*($B84/(Constants!$C$26*1000000000)*IF(ISBLANK(Design!$B$33),Design!$B$32,Design!$B$33)*1000000/2+$B84/(Constants!$C$27*1000000000)*IF(ISBLANK(Design!$B$33),Design!$B$32,Design!$B$33)*1000000/2)</f>
        <v>1.9316279513888888E-2</v>
      </c>
      <c r="X84" s="183">
        <f t="shared" ca="1" si="14"/>
        <v>0.7690372004389453</v>
      </c>
      <c r="Y84" s="183">
        <f>Constants!$D$25/1000000000*Constants!$C$24*IF(ISBLANK(Design!$B$33),Design!$B$32,Design!$B$33)*1000000</f>
        <v>1.0624999999999999E-2</v>
      </c>
      <c r="Z84" s="183">
        <f t="shared" ca="1" si="23"/>
        <v>0.80706160495283419</v>
      </c>
      <c r="AA84" s="183">
        <f t="shared" ca="1" si="19"/>
        <v>1.1032627748531386E-2</v>
      </c>
      <c r="AB84" s="184">
        <f ca="1">$A84+AA84*Design!$B$19</f>
        <v>85.628859781666293</v>
      </c>
      <c r="AC84" s="184">
        <f ca="1">Z84*Design!$C$12+$A84</f>
        <v>112.44009456839636</v>
      </c>
      <c r="AD84" s="184">
        <f ca="1">Constants!$D$22+Constants!$D$22*Constants!$C$23/100*(AC84-25)</f>
        <v>194.95207565471708</v>
      </c>
      <c r="AE84" s="183">
        <f ca="1">IF(100*(Design!$C$29+S84+R84*IF(ISBLANK(Design!$B$43),Constants!$C$6,Design!$B$43)/1000*(1+Constants!$C$36/100*(AC84-25)))/($B84+S84-R84*AD84/1000)&gt;Design!$B$36,   (1-Constants!$D$20/1000000000*IF(ISBLANK(Design!$B$33),Design!$B$32/4,Design!$B$33/4)*1000000) * ($B84+S84-R84*AD84/1000) - (S84+R84*(1+($A84-25)*Constants!$C$36/100)*IF(ISBLANK(Design!$B$43),Constants!$C$6/1000,Design!$B$43/1000)),  (1-Constants!$D$20/1000000000*IF(ISBLANK(Design!$B$33),Design!$B$32,Design!$B$33)*1000000) * ($B84+S84-R84*AD84/1000) - (S84+R84*(1+($A84-25)*Constants!$C$36/100)*IF(ISBLANK(Design!$B$43),Constants!$C$6/1000,Design!$B$43/1000)))</f>
        <v>3.5002295234062615</v>
      </c>
      <c r="AF84" s="117">
        <f ca="1">IF(AE84&gt;Design!$C$29,Design!$C$29,AE84)</f>
        <v>3.5002295234062615</v>
      </c>
      <c r="AG84" s="118">
        <f>Design!$D$7/3</f>
        <v>1</v>
      </c>
      <c r="AH84" s="118">
        <f ca="1">FORECAST(AG84, OFFSET(Design!$C$15:$C$17,MATCH(AG84,Design!$B$15:$B$17,1)-1,0,2), OFFSET(Design!$B$15:$B$17,MATCH(AG84,Design!$B$15:$B$17,1)-1,0,2))+(AQ84-25)*Design!$B$18/1000</f>
        <v>0.32196873221474043</v>
      </c>
      <c r="AI84" s="194">
        <f ca="1">IF(100*(Design!$C$29+AH84+AG84*IF(ISBLANK(Design!$B$43),Constants!$C$6,Design!$B$43)/1000*(1+Constants!$C$36/100*(AR84-25)))/($B84+AH84-AG84*AS84/1000)&gt;Design!$B$36,Design!$B$37,100*(Design!$C$29+AH84+AG84*IF(ISBLANK(Design!$B$43),Constants!$C$6,Design!$B$43)/1000*(1+Constants!$C$36/100*(AR84-25)))/($B84+AH84-AG84*AS84/1000))</f>
        <v>98.618750000000006</v>
      </c>
      <c r="AJ84" s="119">
        <f ca="1">IF(($B84-AG84*IF(ISBLANK(Design!$B$43),Constants!$C$6,Design!$B$43)/1000*(1+Constants!$C$36/100*(AR84-25))-Design!$C$29)/(IF(ISBLANK(Design!$B$42),Design!$B$40,Design!$B$42)/1000000)*AI84/100/(IF(ISBLANK(Design!$B$33),Design!$B$32,Design!$B$33)*1000000)&lt;0,0,($B84-AG84*IF(ISBLANK(Design!$B$43),Constants!$C$6,Design!$B$43)/1000*(1+Constants!$C$36/100*(AR84-25))-Design!$C$29)/(IF(ISBLANK(Design!$B$42),Design!$B$40,Design!$B$42)/1000000)*AI84/100/(IF(ISBLANK(Design!$B$33),Design!$B$32,Design!$B$33)*1000000))</f>
        <v>0</v>
      </c>
      <c r="AK84" s="195">
        <f>$B84*Constants!$C$21/1000+IF(ISBLANK(Design!$B$33),Design!$B$32,Design!$B$33)*1000000*Constants!$D$25/1000000000*($B84-Constants!$C$24)</f>
        <v>8.083125E-3</v>
      </c>
      <c r="AL84" s="195">
        <f>$B84*AG84*($B84/(Constants!$C$26*1000000000)*IF(ISBLANK(Design!$B$33),Design!$B$32,Design!$B$33)*1000000/2+$B84/(Constants!$C$27*1000000000)*IF(ISBLANK(Design!$B$33),Design!$B$32,Design!$B$33)*1000000/2)</f>
        <v>9.6581397569444442E-3</v>
      </c>
      <c r="AM84" s="195">
        <f t="shared" ca="1" si="15"/>
        <v>0.17609496691678567</v>
      </c>
      <c r="AN84" s="195">
        <f>Constants!$D$25/1000000000*Constants!$C$24*IF(ISBLANK(Design!$B$33),Design!$B$32,Design!$B$33)*1000000</f>
        <v>1.0624999999999999E-2</v>
      </c>
      <c r="AO84" s="195">
        <f t="shared" ca="1" si="24"/>
        <v>0.20446123167373009</v>
      </c>
      <c r="AP84" s="195">
        <f t="shared" ca="1" si="21"/>
        <v>4.4471931137160681E-3</v>
      </c>
      <c r="AQ84" s="196">
        <f ca="1">$A84+AP84*Design!$B$19</f>
        <v>85.253490007481815</v>
      </c>
      <c r="AR84" s="196">
        <f ca="1">AO84*Design!$C$12+$A84</f>
        <v>91.951681876906818</v>
      </c>
      <c r="AS84" s="196">
        <f ca="1">Constants!$D$22+Constants!$D$22*Constants!$C$23/100*(AR84-25)</f>
        <v>178.56134550152547</v>
      </c>
      <c r="AT84" s="195">
        <f ca="1">IF(100*(Design!$C$29+AH84+AG84*IF(ISBLANK(Design!$B$43),Constants!$C$6,Design!$B$43)/1000*(1+Constants!$C$36/100*(AR84-25)))/($B84+AH84-AG84*AS84/1000)&gt;Design!$B$36,   (1-Constants!$D$20/1000000000*IF(ISBLANK(Design!$B$33),Design!$B$32/4,Design!$B$33/4)*1000000) * ($B84+AH84-AG84*AS84/1000) - (AH84+AG84*(1+($A84-25)*Constants!$C$36/100)*IF(ISBLANK(Design!$B$43),Constants!$C$6/1000,Design!$B$43/1000)),  (1-Constants!$D$20/1000000000*IF(ISBLANK(Design!$B$33),Design!$B$32,Design!$B$33)*1000000) * ($B84+AH84-AG84*AS84/1000) - (AH84+AG84*(1+($A84-25)*Constants!$C$36/100)*IF(ISBLANK(Design!$B$43),Constants!$C$6/1000,Design!$B$43/1000)))</f>
        <v>3.7591542774694982</v>
      </c>
      <c r="AU84" s="119">
        <f ca="1">IF(AT84&gt;Design!$C$29,Design!$C$29,AT84)</f>
        <v>3.7591542774694982</v>
      </c>
    </row>
    <row r="85" spans="1:47" ht="12.75" customHeight="1" x14ac:dyDescent="0.25">
      <c r="A85" s="112">
        <f>Design!$D$13</f>
        <v>85</v>
      </c>
      <c r="B85" s="113">
        <f t="shared" si="12"/>
        <v>3.8299999999999996</v>
      </c>
      <c r="C85" s="114">
        <f>Design!$D$7</f>
        <v>3</v>
      </c>
      <c r="D85" s="114">
        <f ca="1">FORECAST(C85, OFFSET(Design!$C$15:$C$17,MATCH(C85,Design!$B$15:$B$17,1)-1,0,2), OFFSET(Design!$B$15:$B$17,MATCH(C85,Design!$B$15:$B$17,1)-1,0,2))+(M85-25)*Design!$B$18/1000</f>
        <v>0.42399854194383751</v>
      </c>
      <c r="E85" s="173">
        <f ca="1">IF(100*(Design!$C$29+D85+C85*IF(ISBLANK(Design!$B$43),Constants!$C$6,Design!$B$43)/1000*(1+Constants!$C$36/100*(N85-25)))/($B85+D85-C85*O85/1000)&gt;Design!$B$36,Design!$B$37,100*(Design!$C$29+D85+C85*IF(ISBLANK(Design!$B$43),Constants!$C$6,Design!$B$43)/1000*(1+Constants!$C$36/100*(N85-25)))/($B85+D85-C85*O85/1000))</f>
        <v>98.618750000000006</v>
      </c>
      <c r="F85" s="115">
        <f ca="1">IF(($B85-C85*IF(ISBLANK(Design!$B$43),Constants!$C$6,Design!$B$43)/1000*(1+Constants!$C$36/100*(N85-25))-Design!$C$29)/(IF(ISBLANK(Design!$B$42),Design!$B$40,Design!$B$42)/1000000)*E85/100/(IF(ISBLANK(Design!$B$33),Design!$B$32,Design!$B$33)*1000000)&lt;0,0,($B85-C85*IF(ISBLANK(Design!$B$43),Constants!$C$6,Design!$B$43)/1000*(1+Constants!$C$36/100*(N85-25))-Design!$C$29)/(IF(ISBLANK(Design!$B$42),Design!$B$40,Design!$B$42)/1000000)*E85/100/(IF(ISBLANK(Design!$B$33),Design!$B$32,Design!$B$33)*1000000))</f>
        <v>0</v>
      </c>
      <c r="G85" s="165">
        <f>B85*Constants!$C$21/1000+IF(ISBLANK(Design!$B$33),Design!$B$32,Design!$B$33)*1000000*Constants!$D$25/1000000000*(B85-Constants!$C$24)</f>
        <v>7.0887499999999978E-3</v>
      </c>
      <c r="H85" s="165">
        <f>B85*C85*(B85/(Constants!$C$26*1000000000)*IF(ISBLANK(Design!$B$33),Design!$B$32,Design!$B$33)*1000000/2+B85/(Constants!$C$27*1000000000)*IF(ISBLANK(Design!$B$33),Design!$B$32,Design!$B$33)*1000000/2)</f>
        <v>2.5976177083333326E-2</v>
      </c>
      <c r="I85" s="165">
        <f t="shared" ca="1" si="13"/>
        <v>2.0380696214097997</v>
      </c>
      <c r="J85" s="165">
        <f>Constants!$D$25/1000000000*Constants!$C$24*IF(ISBLANK(Design!$B$33),Design!$B$32,Design!$B$33)*1000000</f>
        <v>1.0624999999999999E-2</v>
      </c>
      <c r="K85" s="165">
        <f t="shared" ca="1" si="22"/>
        <v>2.081759548493133</v>
      </c>
      <c r="L85" s="165">
        <f t="shared" ca="1" si="17"/>
        <v>1.7569439581797634E-2</v>
      </c>
      <c r="M85" s="166">
        <f ca="1">$A85+L85*Design!$B$19</f>
        <v>86.001458056162463</v>
      </c>
      <c r="N85" s="166">
        <f ca="1">K85*Design!$C$12+A85</f>
        <v>155.77982464876652</v>
      </c>
      <c r="O85" s="166">
        <f ca="1">Constants!$D$22+Constants!$D$22*Constants!$C$23/100*(N85-25)</f>
        <v>229.62385971901324</v>
      </c>
      <c r="P85" s="165">
        <f ca="1">IF(100*(Design!$C$29+D85+C85*IF(ISBLANK(Design!$B$43),Constants!$C$6,Design!$B$43)/1000*(1+Constants!$C$36/100*(N85-25)))/($B85+D85-C85*O85/1000)&gt;Design!$B$36,   (1-Constants!$D$20/1000000000*IF(ISBLANK(Design!$B$33),Design!$B$32/4,Design!$B$33/4)*1000000) * ($B85+D85-C85*O85/1000) - (D85+C85*(1+($A85-25)*Constants!$C$36/100)*IF(ISBLANK(Design!$B$43),Constants!$C$6/1000,Design!$B$43/1000)),  (1-Constants!$D$20/1000000000*IF(ISBLANK(Design!$B$33),Design!$B$32,Design!$B$33)*1000000) * ($B85+D85-C85*O85/1000) - (D85+C85*(1+($A85-25)*Constants!$C$36/100)*IF(ISBLANK(Design!$B$43),Constants!$C$6/1000,Design!$B$43/1000)))</f>
        <v>2.943589104669468</v>
      </c>
      <c r="Q85" s="115">
        <f ca="1">IF(P85&gt;Design!$C$29,Design!$C$29,P85)</f>
        <v>2.943589104669468</v>
      </c>
      <c r="R85" s="116">
        <f>2*Design!$D$7/3</f>
        <v>2</v>
      </c>
      <c r="S85" s="116">
        <f ca="1">FORECAST(R85, OFFSET(Design!$C$15:$C$17,MATCH(R85,Design!$B$15:$B$17,1)-1,0,2), OFFSET(Design!$B$15:$B$17,MATCH(R85,Design!$B$15:$B$17,1)-1,0,2))+(AB85-25)*Design!$B$18/1000</f>
        <v>0.39937114021833375</v>
      </c>
      <c r="T85" s="182">
        <f ca="1">IF(100*(Design!$C$29+S85+R85*IF(ISBLANK(Design!$B$43),Constants!$C$6,Design!$B$43)/1000*(1+Constants!$C$36/100*(AC85-25)))/($B85+S85-R85*AD85/1000)&gt;Design!$B$36,Design!$B$37,100*(Design!$C$29+S85+R85*IF(ISBLANK(Design!$B$43),Constants!$C$6,Design!$B$43)/1000*(1+Constants!$C$36/100*(AC85-25)))/($B85+S85-R85*AD85/1000))</f>
        <v>98.618750000000006</v>
      </c>
      <c r="U85" s="117">
        <f ca="1">IF(($B85-R85*IF(ISBLANK(Design!$B$43),Constants!$C$6,Design!$B$43)/1000*(1+Constants!$C$36/100*(AC85-25))-Design!$C$29)/(IF(ISBLANK(Design!$B$42),Design!$B$40,Design!$B$42)/1000000)*T85/100/(IF(ISBLANK(Design!$B$33),Design!$B$32,Design!$B$33)*1000000)&lt;0,0,($B85-R85*IF(ISBLANK(Design!$B$43),Constants!$C$6,Design!$B$43)/1000*(1+Constants!$C$36/100*(AC85-25))-Design!$C$29)/(IF(ISBLANK(Design!$B$42),Design!$B$40,Design!$B$42)/1000000)*T85/100/(IF(ISBLANK(Design!$B$33),Design!$B$32,Design!$B$33)*1000000))</f>
        <v>0</v>
      </c>
      <c r="V85" s="183">
        <f>$B85*Constants!$C$21/1000+IF(ISBLANK(Design!$B$33),Design!$B$32,Design!$B$33)*1000000*Constants!$D$25/1000000000*($B85-Constants!$C$24)</f>
        <v>7.0887499999999978E-3</v>
      </c>
      <c r="W85" s="183">
        <f>$B85*R85*($B85/(Constants!$C$26*1000000000)*IF(ISBLANK(Design!$B$33),Design!$B$32,Design!$B$33)*1000000/2+$B85/(Constants!$C$27*1000000000)*IF(ISBLANK(Design!$B$33),Design!$B$32,Design!$B$33)*1000000/2)</f>
        <v>1.7317451388888884E-2</v>
      </c>
      <c r="X85" s="183">
        <f t="shared" ca="1" si="14"/>
        <v>0.76867743645663922</v>
      </c>
      <c r="Y85" s="183">
        <f>Constants!$D$25/1000000000*Constants!$C$24*IF(ISBLANK(Design!$B$33),Design!$B$32,Design!$B$33)*1000000</f>
        <v>1.0624999999999999E-2</v>
      </c>
      <c r="Z85" s="183">
        <f t="shared" ca="1" si="23"/>
        <v>0.80370863784552815</v>
      </c>
      <c r="AA85" s="183">
        <f t="shared" ca="1" si="19"/>
        <v>1.1032627748531386E-2</v>
      </c>
      <c r="AB85" s="184">
        <f ca="1">$A85+AA85*Design!$B$19</f>
        <v>85.628859781666293</v>
      </c>
      <c r="AC85" s="184">
        <f ca="1">Z85*Design!$C$12+$A85</f>
        <v>112.32609368674795</v>
      </c>
      <c r="AD85" s="184">
        <f ca="1">Constants!$D$22+Constants!$D$22*Constants!$C$23/100*(AC85-25)</f>
        <v>194.86087494939835</v>
      </c>
      <c r="AE85" s="183">
        <f ca="1">IF(100*(Design!$C$29+S85+R85*IF(ISBLANK(Design!$B$43),Constants!$C$6,Design!$B$43)/1000*(1+Constants!$C$36/100*(AC85-25)))/($B85+S85-R85*AD85/1000)&gt;Design!$B$36,   (1-Constants!$D$20/1000000000*IF(ISBLANK(Design!$B$33),Design!$B$32/4,Design!$B$33/4)*1000000) * ($B85+S85-R85*AD85/1000) - (S85+R85*(1+($A85-25)*Constants!$C$36/100)*IF(ISBLANK(Design!$B$43),Constants!$C$6/1000,Design!$B$43/1000)),  (1-Constants!$D$20/1000000000*IF(ISBLANK(Design!$B$33),Design!$B$32,Design!$B$33)*1000000) * ($B85+S85-R85*AD85/1000) - (S85+R85*(1+($A85-25)*Constants!$C$36/100)*IF(ISBLANK(Design!$B$43),Constants!$C$6/1000,Design!$B$43/1000)))</f>
        <v>3.2883790928974146</v>
      </c>
      <c r="AF85" s="117">
        <f ca="1">IF(AE85&gt;Design!$C$29,Design!$C$29,AE85)</f>
        <v>3.2883790928974146</v>
      </c>
      <c r="AG85" s="118">
        <f>Design!$D$7/3</f>
        <v>1</v>
      </c>
      <c r="AH85" s="118">
        <f ca="1">FORECAST(AG85, OFFSET(Design!$C$15:$C$17,MATCH(AG85,Design!$B$15:$B$17,1)-1,0,2), OFFSET(Design!$B$15:$B$17,MATCH(AG85,Design!$B$15:$B$17,1)-1,0,2))+(AQ85-25)*Design!$B$18/1000</f>
        <v>0.32196873221474043</v>
      </c>
      <c r="AI85" s="194">
        <f ca="1">IF(100*(Design!$C$29+AH85+AG85*IF(ISBLANK(Design!$B$43),Constants!$C$6,Design!$B$43)/1000*(1+Constants!$C$36/100*(AR85-25)))/($B85+AH85-AG85*AS85/1000)&gt;Design!$B$36,Design!$B$37,100*(Design!$C$29+AH85+AG85*IF(ISBLANK(Design!$B$43),Constants!$C$6,Design!$B$43)/1000*(1+Constants!$C$36/100*(AR85-25)))/($B85+AH85-AG85*AS85/1000))</f>
        <v>98.618750000000006</v>
      </c>
      <c r="AJ85" s="119">
        <f ca="1">IF(($B85-AG85*IF(ISBLANK(Design!$B$43),Constants!$C$6,Design!$B$43)/1000*(1+Constants!$C$36/100*(AR85-25))-Design!$C$29)/(IF(ISBLANK(Design!$B$42),Design!$B$40,Design!$B$42)/1000000)*AI85/100/(IF(ISBLANK(Design!$B$33),Design!$B$32,Design!$B$33)*1000000)&lt;0,0,($B85-AG85*IF(ISBLANK(Design!$B$43),Constants!$C$6,Design!$B$43)/1000*(1+Constants!$C$36/100*(AR85-25))-Design!$C$29)/(IF(ISBLANK(Design!$B$42),Design!$B$40,Design!$B$42)/1000000)*AI85/100/(IF(ISBLANK(Design!$B$33),Design!$B$32,Design!$B$33)*1000000))</f>
        <v>0</v>
      </c>
      <c r="AK85" s="195">
        <f>$B85*Constants!$C$21/1000+IF(ISBLANK(Design!$B$33),Design!$B$32,Design!$B$33)*1000000*Constants!$D$25/1000000000*($B85-Constants!$C$24)</f>
        <v>7.0887499999999978E-3</v>
      </c>
      <c r="AL85" s="195">
        <f>$B85*AG85*($B85/(Constants!$C$26*1000000000)*IF(ISBLANK(Design!$B$33),Design!$B$32,Design!$B$33)*1000000/2+$B85/(Constants!$C$27*1000000000)*IF(ISBLANK(Design!$B$33),Design!$B$32,Design!$B$33)*1000000/2)</f>
        <v>8.658725694444442E-3</v>
      </c>
      <c r="AM85" s="195">
        <f t="shared" ca="1" si="15"/>
        <v>0.17604001076041101</v>
      </c>
      <c r="AN85" s="195">
        <f>Constants!$D$25/1000000000*Constants!$C$24*IF(ISBLANK(Design!$B$33),Design!$B$32,Design!$B$33)*1000000</f>
        <v>1.0624999999999999E-2</v>
      </c>
      <c r="AO85" s="195">
        <f t="shared" ca="1" si="24"/>
        <v>0.20241248645485543</v>
      </c>
      <c r="AP85" s="195">
        <f t="shared" ca="1" si="21"/>
        <v>4.4471931137160681E-3</v>
      </c>
      <c r="AQ85" s="196">
        <f ca="1">$A85+AP85*Design!$B$19</f>
        <v>85.253490007481815</v>
      </c>
      <c r="AR85" s="196">
        <f ca="1">AO85*Design!$C$12+$A85</f>
        <v>91.882024539465078</v>
      </c>
      <c r="AS85" s="196">
        <f ca="1">Constants!$D$22+Constants!$D$22*Constants!$C$23/100*(AR85-25)</f>
        <v>178.50561963157207</v>
      </c>
      <c r="AT85" s="195">
        <f ca="1">IF(100*(Design!$C$29+AH85+AG85*IF(ISBLANK(Design!$B$43),Constants!$C$6,Design!$B$43)/1000*(1+Constants!$C$36/100*(AR85-25)))/($B85+AH85-AG85*AS85/1000)&gt;Design!$B$36,   (1-Constants!$D$20/1000000000*IF(ISBLANK(Design!$B$33),Design!$B$32/4,Design!$B$33/4)*1000000) * ($B85+AH85-AG85*AS85/1000) - (AH85+AG85*(1+($A85-25)*Constants!$C$36/100)*IF(ISBLANK(Design!$B$43),Constants!$C$6/1000,Design!$B$43/1000)),  (1-Constants!$D$20/1000000000*IF(ISBLANK(Design!$B$33),Design!$B$32,Design!$B$33)*1000000) * ($B85+AH85-AG85*AS85/1000) - (AH85+AG85*(1+($A85-25)*Constants!$C$36/100)*IF(ISBLANK(Design!$B$43),Constants!$C$6/1000,Design!$B$43/1000)))</f>
        <v>3.5471789211258731</v>
      </c>
      <c r="AU85" s="119">
        <f ca="1">IF(AT85&gt;Design!$C$29,Design!$C$29,AT85)</f>
        <v>3.5471789211258731</v>
      </c>
    </row>
    <row r="86" spans="1:47" ht="12.75" customHeight="1" x14ac:dyDescent="0.25">
      <c r="A86" s="112">
        <f>Design!$D$13</f>
        <v>85</v>
      </c>
      <c r="B86" s="113">
        <f t="shared" si="12"/>
        <v>3.6149999999999998</v>
      </c>
      <c r="C86" s="114">
        <f>Design!$D$7</f>
        <v>3</v>
      </c>
      <c r="D86" s="114">
        <f ca="1">FORECAST(C86, OFFSET(Design!$C$15:$C$17,MATCH(C86,Design!$B$15:$B$17,1)-1,0,2), OFFSET(Design!$B$15:$B$17,MATCH(C86,Design!$B$15:$B$17,1)-1,0,2))+(M86-25)*Design!$B$18/1000</f>
        <v>0.42399854194383751</v>
      </c>
      <c r="E86" s="173">
        <f ca="1">IF(100*(Design!$C$29+D86+C86*IF(ISBLANK(Design!$B$43),Constants!$C$6,Design!$B$43)/1000*(1+Constants!$C$36/100*(N86-25)))/($B86+D86-C86*O86/1000)&gt;Design!$B$36,Design!$B$37,100*(Design!$C$29+D86+C86*IF(ISBLANK(Design!$B$43),Constants!$C$6,Design!$B$43)/1000*(1+Constants!$C$36/100*(N86-25)))/($B86+D86-C86*O86/1000))</f>
        <v>98.618750000000006</v>
      </c>
      <c r="F86" s="115">
        <f ca="1">IF(($B86-C86*IF(ISBLANK(Design!$B$43),Constants!$C$6,Design!$B$43)/1000*(1+Constants!$C$36/100*(N86-25))-Design!$C$29)/(IF(ISBLANK(Design!$B$42),Design!$B$40,Design!$B$42)/1000000)*E86/100/(IF(ISBLANK(Design!$B$33),Design!$B$32,Design!$B$33)*1000000)&lt;0,0,($B86-C86*IF(ISBLANK(Design!$B$43),Constants!$C$6,Design!$B$43)/1000*(1+Constants!$C$36/100*(N86-25))-Design!$C$29)/(IF(ISBLANK(Design!$B$42),Design!$B$40,Design!$B$42)/1000000)*E86/100/(IF(ISBLANK(Design!$B$33),Design!$B$32,Design!$B$33)*1000000))</f>
        <v>0</v>
      </c>
      <c r="G86" s="165">
        <f>B86*Constants!$C$21/1000+IF(ISBLANK(Design!$B$33),Design!$B$32,Design!$B$33)*1000000*Constants!$D$25/1000000000*(B86-Constants!$C$24)</f>
        <v>6.0943749999999991E-3</v>
      </c>
      <c r="H86" s="165">
        <f>B86*C86*(B86/(Constants!$C$26*1000000000)*IF(ISBLANK(Design!$B$33),Design!$B$32,Design!$B$33)*1000000/2+B86/(Constants!$C$27*1000000000)*IF(ISBLANK(Design!$B$33),Design!$B$32,Design!$B$33)*1000000/2)</f>
        <v>2.3141648437499992E-2</v>
      </c>
      <c r="I86" s="165">
        <f t="shared" ca="1" si="13"/>
        <v>2.036851071808587</v>
      </c>
      <c r="J86" s="165">
        <f>Constants!$D$25/1000000000*Constants!$C$24*IF(ISBLANK(Design!$B$33),Design!$B$32,Design!$B$33)*1000000</f>
        <v>1.0624999999999999E-2</v>
      </c>
      <c r="K86" s="165">
        <f t="shared" ca="1" si="22"/>
        <v>2.0767120952460871</v>
      </c>
      <c r="L86" s="165">
        <f t="shared" ca="1" si="17"/>
        <v>1.7569439581797634E-2</v>
      </c>
      <c r="M86" s="166">
        <f ca="1">$A86+L86*Design!$B$19</f>
        <v>86.001458056162463</v>
      </c>
      <c r="N86" s="166">
        <f ca="1">K86*Design!$C$12+A86</f>
        <v>155.60821123836695</v>
      </c>
      <c r="O86" s="166">
        <f ca="1">Constants!$D$22+Constants!$D$22*Constants!$C$23/100*(N86-25)</f>
        <v>229.48656899069357</v>
      </c>
      <c r="P86" s="165">
        <f ca="1">IF(100*(Design!$C$29+D86+C86*IF(ISBLANK(Design!$B$43),Constants!$C$6,Design!$B$43)/1000*(1+Constants!$C$36/100*(N86-25)))/($B86+D86-C86*O86/1000)&gt;Design!$B$36,   (1-Constants!$D$20/1000000000*IF(ISBLANK(Design!$B$33),Design!$B$32/4,Design!$B$33/4)*1000000) * ($B86+D86-C86*O86/1000) - (D86+C86*(1+($A86-25)*Constants!$C$36/100)*IF(ISBLANK(Design!$B$43),Constants!$C$6/1000,Design!$B$43/1000)),  (1-Constants!$D$20/1000000000*IF(ISBLANK(Design!$B$33),Design!$B$32,Design!$B$33)*1000000) * ($B86+D86-C86*O86/1000) - (D86+C86*(1+($A86-25)*Constants!$C$36/100)*IF(ISBLANK(Design!$B$43),Constants!$C$6/1000,Design!$B$43/1000)))</f>
        <v>2.7319649753698716</v>
      </c>
      <c r="Q86" s="115">
        <f ca="1">IF(P86&gt;Design!$C$29,Design!$C$29,P86)</f>
        <v>2.7319649753698716</v>
      </c>
      <c r="R86" s="116">
        <f>2*Design!$D$7/3</f>
        <v>2</v>
      </c>
      <c r="S86" s="116">
        <f ca="1">FORECAST(R86, OFFSET(Design!$C$15:$C$17,MATCH(R86,Design!$B$15:$B$17,1)-1,0,2), OFFSET(Design!$B$15:$B$17,MATCH(R86,Design!$B$15:$B$17,1)-1,0,2))+(AB86-25)*Design!$B$18/1000</f>
        <v>0.39937114021833375</v>
      </c>
      <c r="T86" s="182">
        <f ca="1">IF(100*(Design!$C$29+S86+R86*IF(ISBLANK(Design!$B$43),Constants!$C$6,Design!$B$43)/1000*(1+Constants!$C$36/100*(AC86-25)))/($B86+S86-R86*AD86/1000)&gt;Design!$B$36,Design!$B$37,100*(Design!$C$29+S86+R86*IF(ISBLANK(Design!$B$43),Constants!$C$6,Design!$B$43)/1000*(1+Constants!$C$36/100*(AC86-25)))/($B86+S86-R86*AD86/1000))</f>
        <v>98.618750000000006</v>
      </c>
      <c r="U86" s="117">
        <f ca="1">IF(($B86-R86*IF(ISBLANK(Design!$B$43),Constants!$C$6,Design!$B$43)/1000*(1+Constants!$C$36/100*(AC86-25))-Design!$C$29)/(IF(ISBLANK(Design!$B$42),Design!$B$40,Design!$B$42)/1000000)*T86/100/(IF(ISBLANK(Design!$B$33),Design!$B$32,Design!$B$33)*1000000)&lt;0,0,($B86-R86*IF(ISBLANK(Design!$B$43),Constants!$C$6,Design!$B$43)/1000*(1+Constants!$C$36/100*(AC86-25))-Design!$C$29)/(IF(ISBLANK(Design!$B$42),Design!$B$40,Design!$B$42)/1000000)*T86/100/(IF(ISBLANK(Design!$B$33),Design!$B$32,Design!$B$33)*1000000))</f>
        <v>0</v>
      </c>
      <c r="V86" s="183">
        <f>$B86*Constants!$C$21/1000+IF(ISBLANK(Design!$B$33),Design!$B$32,Design!$B$33)*1000000*Constants!$D$25/1000000000*($B86-Constants!$C$24)</f>
        <v>6.0943749999999991E-3</v>
      </c>
      <c r="W86" s="183">
        <f>$B86*R86*($B86/(Constants!$C$26*1000000000)*IF(ISBLANK(Design!$B$33),Design!$B$32,Design!$B$33)*1000000/2+$B86/(Constants!$C$27*1000000000)*IF(ISBLANK(Design!$B$33),Design!$B$32,Design!$B$33)*1000000/2)</f>
        <v>1.5427765624999996E-2</v>
      </c>
      <c r="X86" s="183">
        <f t="shared" ca="1" si="14"/>
        <v>0.76833079069211929</v>
      </c>
      <c r="Y86" s="183">
        <f>Constants!$D$25/1000000000*Constants!$C$24*IF(ISBLANK(Design!$B$33),Design!$B$32,Design!$B$33)*1000000</f>
        <v>1.0624999999999999E-2</v>
      </c>
      <c r="Z86" s="183">
        <f t="shared" ca="1" si="23"/>
        <v>0.80047793131711931</v>
      </c>
      <c r="AA86" s="183">
        <f t="shared" ca="1" si="19"/>
        <v>1.1032627748531386E-2</v>
      </c>
      <c r="AB86" s="184">
        <f ca="1">$A86+AA86*Design!$B$19</f>
        <v>85.628859781666293</v>
      </c>
      <c r="AC86" s="184">
        <f ca="1">Z86*Design!$C$12+$A86</f>
        <v>112.21624966478205</v>
      </c>
      <c r="AD86" s="184">
        <f ca="1">Constants!$D$22+Constants!$D$22*Constants!$C$23/100*(AC86-25)</f>
        <v>194.77299973182565</v>
      </c>
      <c r="AE86" s="183">
        <f ca="1">IF(100*(Design!$C$29+S86+R86*IF(ISBLANK(Design!$B$43),Constants!$C$6,Design!$B$43)/1000*(1+Constants!$C$36/100*(AC86-25)))/($B86+S86-R86*AD86/1000)&gt;Design!$B$36,   (1-Constants!$D$20/1000000000*IF(ISBLANK(Design!$B$33),Design!$B$32/4,Design!$B$33/4)*1000000) * ($B86+S86-R86*AD86/1000) - (S86+R86*(1+($A86-25)*Constants!$C$36/100)*IF(ISBLANK(Design!$B$43),Constants!$C$6/1000,Design!$B$43/1000)),  (1-Constants!$D$20/1000000000*IF(ISBLANK(Design!$B$33),Design!$B$32,Design!$B$33)*1000000) * ($B86+S86-R86*AD86/1000) - (S86+R86*(1+($A86-25)*Constants!$C$36/100)*IF(ISBLANK(Design!$B$43),Constants!$C$6/1000,Design!$B$43/1000)))</f>
        <v>3.0765221032796743</v>
      </c>
      <c r="AF86" s="117">
        <f ca="1">IF(AE86&gt;Design!$C$29,Design!$C$29,AE86)</f>
        <v>3.0765221032796743</v>
      </c>
      <c r="AG86" s="118">
        <f>Design!$D$7/3</f>
        <v>1</v>
      </c>
      <c r="AH86" s="118">
        <f ca="1">FORECAST(AG86, OFFSET(Design!$C$15:$C$17,MATCH(AG86,Design!$B$15:$B$17,1)-1,0,2), OFFSET(Design!$B$15:$B$17,MATCH(AG86,Design!$B$15:$B$17,1)-1,0,2))+(AQ86-25)*Design!$B$18/1000</f>
        <v>0.32196873221474043</v>
      </c>
      <c r="AI86" s="194">
        <f ca="1">IF(100*(Design!$C$29+AH86+AG86*IF(ISBLANK(Design!$B$43),Constants!$C$6,Design!$B$43)/1000*(1+Constants!$C$36/100*(AR86-25)))/($B86+AH86-AG86*AS86/1000)&gt;Design!$B$36,Design!$B$37,100*(Design!$C$29+AH86+AG86*IF(ISBLANK(Design!$B$43),Constants!$C$6,Design!$B$43)/1000*(1+Constants!$C$36/100*(AR86-25)))/($B86+AH86-AG86*AS86/1000))</f>
        <v>98.618750000000006</v>
      </c>
      <c r="AJ86" s="119">
        <f ca="1">IF(($B86-AG86*IF(ISBLANK(Design!$B$43),Constants!$C$6,Design!$B$43)/1000*(1+Constants!$C$36/100*(AR86-25))-Design!$C$29)/(IF(ISBLANK(Design!$B$42),Design!$B$40,Design!$B$42)/1000000)*AI86/100/(IF(ISBLANK(Design!$B$33),Design!$B$32,Design!$B$33)*1000000)&lt;0,0,($B86-AG86*IF(ISBLANK(Design!$B$43),Constants!$C$6,Design!$B$43)/1000*(1+Constants!$C$36/100*(AR86-25))-Design!$C$29)/(IF(ISBLANK(Design!$B$42),Design!$B$40,Design!$B$42)/1000000)*AI86/100/(IF(ISBLANK(Design!$B$33),Design!$B$32,Design!$B$33)*1000000))</f>
        <v>0</v>
      </c>
      <c r="AK86" s="195">
        <f>$B86*Constants!$C$21/1000+IF(ISBLANK(Design!$B$33),Design!$B$32,Design!$B$33)*1000000*Constants!$D$25/1000000000*($B86-Constants!$C$24)</f>
        <v>6.0943749999999991E-3</v>
      </c>
      <c r="AL86" s="195">
        <f>$B86*AG86*($B86/(Constants!$C$26*1000000000)*IF(ISBLANK(Design!$B$33),Design!$B$32,Design!$B$33)*1000000/2+$B86/(Constants!$C$27*1000000000)*IF(ISBLANK(Design!$B$33),Design!$B$32,Design!$B$33)*1000000/2)</f>
        <v>7.7138828124999979E-3</v>
      </c>
      <c r="AM86" s="195">
        <f t="shared" ca="1" si="15"/>
        <v>0.17598655878639374</v>
      </c>
      <c r="AN86" s="195">
        <f>Constants!$D$25/1000000000*Constants!$C$24*IF(ISBLANK(Design!$B$33),Design!$B$32,Design!$B$33)*1000000</f>
        <v>1.0624999999999999E-2</v>
      </c>
      <c r="AO86" s="195">
        <f t="shared" ca="1" si="24"/>
        <v>0.20041981659889374</v>
      </c>
      <c r="AP86" s="195">
        <f t="shared" ca="1" si="21"/>
        <v>4.4471931137160681E-3</v>
      </c>
      <c r="AQ86" s="196">
        <f ca="1">$A86+AP86*Design!$B$19</f>
        <v>85.253490007481815</v>
      </c>
      <c r="AR86" s="196">
        <f ca="1">AO86*Design!$C$12+$A86</f>
        <v>91.814273764362383</v>
      </c>
      <c r="AS86" s="196">
        <f ca="1">Constants!$D$22+Constants!$D$22*Constants!$C$23/100*(AR86-25)</f>
        <v>178.45141901148992</v>
      </c>
      <c r="AT86" s="195">
        <f ca="1">IF(100*(Design!$C$29+AH86+AG86*IF(ISBLANK(Design!$B$43),Constants!$C$6,Design!$B$43)/1000*(1+Constants!$C$36/100*(AR86-25)))/($B86+AH86-AG86*AS86/1000)&gt;Design!$B$36,   (1-Constants!$D$20/1000000000*IF(ISBLANK(Design!$B$33),Design!$B$32/4,Design!$B$33/4)*1000000) * ($B86+AH86-AG86*AS86/1000) - (AH86+AG86*(1+($A86-25)*Constants!$C$36/100)*IF(ISBLANK(Design!$B$43),Constants!$C$6/1000,Design!$B$43/1000)),  (1-Constants!$D$20/1000000000*IF(ISBLANK(Design!$B$33),Design!$B$32,Design!$B$33)*1000000) * ($B86+AH86-AG86*AS86/1000) - (AH86+AG86*(1+($A86-25)*Constants!$C$36/100)*IF(ISBLANK(Design!$B$43),Constants!$C$6/1000,Design!$B$43/1000)))</f>
        <v>3.3352020605998902</v>
      </c>
      <c r="AU86" s="119">
        <f ca="1">IF(AT86&gt;Design!$C$29,Design!$C$29,AT86)</f>
        <v>3.3352020605998902</v>
      </c>
    </row>
    <row r="87" spans="1:47" ht="12.75" customHeight="1" thickBot="1" x14ac:dyDescent="0.3">
      <c r="A87" s="121">
        <f>Design!$D$13</f>
        <v>85</v>
      </c>
      <c r="B87" s="122">
        <f>Constants!$C$7</f>
        <v>3.4</v>
      </c>
      <c r="C87" s="123">
        <f>Design!$D$7</f>
        <v>3</v>
      </c>
      <c r="D87" s="123">
        <f ca="1">FORECAST(C87, OFFSET(Design!$C$15:$C$17,MATCH(C87,Design!$B$15:$B$17,1)-1,0,2), OFFSET(Design!$B$15:$B$17,MATCH(C87,Design!$B$15:$B$17,1)-1,0,2))+(M87-25)*Design!$B$18/1000</f>
        <v>0.42399854194383751</v>
      </c>
      <c r="E87" s="174">
        <f ca="1">IF(100*(Design!$C$29+D87+C87*IF(ISBLANK(Design!$B$43),Constants!$C$6,Design!$B$43)/1000*(1+Constants!$C$36/100*(N87-25)))/($B87+D87-C87*O87/1000)&gt;Design!$B$36,Design!$B$37,100*(Design!$C$29+D87+C87*IF(ISBLANK(Design!$B$43),Constants!$C$6,Design!$B$43)/1000*(1+Constants!$C$36/100*(N87-25)))/($B87+D87-C87*O87/1000))</f>
        <v>98.618750000000006</v>
      </c>
      <c r="F87" s="124">
        <f ca="1">IF(($B87-C87*IF(ISBLANK(Design!$B$43),Constants!$C$6,Design!$B$43)/1000*(1+Constants!$C$36/100*(N87-25))-Design!$C$29)/(IF(ISBLANK(Design!$B$42),Design!$B$40,Design!$B$42)/1000000)*E87/100/(IF(ISBLANK(Design!$B$33),Design!$B$32,Design!$B$33)*1000000)&lt;0,0,($B87-C87*IF(ISBLANK(Design!$B$43),Constants!$C$6,Design!$B$43)/1000*(1+Constants!$C$36/100*(N87-25))-Design!$C$29)/(IF(ISBLANK(Design!$B$42),Design!$B$40,Design!$B$42)/1000000)*E87/100/(IF(ISBLANK(Design!$B$33),Design!$B$32,Design!$B$33)*1000000))</f>
        <v>0</v>
      </c>
      <c r="G87" s="167">
        <f>B87*Constants!$C$21/1000+IF(ISBLANK(Design!$B$33),Design!$B$32,Design!$B$33)*1000000*Constants!$D$25/1000000000*(B87-Constants!$C$24)</f>
        <v>5.1000000000000004E-3</v>
      </c>
      <c r="H87" s="167">
        <f>B87*C87*(B87/(Constants!$C$26*1000000000)*IF(ISBLANK(Design!$B$33),Design!$B$32,Design!$B$33)*1000000/2+B87/(Constants!$C$27*1000000000)*IF(ISBLANK(Design!$B$33),Design!$B$32,Design!$B$33)*1000000/2)</f>
        <v>2.047083333333333E-2</v>
      </c>
      <c r="I87" s="167">
        <f t="shared" ca="1" si="13"/>
        <v>2.035684624085448</v>
      </c>
      <c r="J87" s="167">
        <f>Constants!$D$25/1000000000*Constants!$C$24*IF(ISBLANK(Design!$B$33),Design!$B$32,Design!$B$33)*1000000</f>
        <v>1.0624999999999999E-2</v>
      </c>
      <c r="K87" s="167">
        <f t="shared" ca="1" si="22"/>
        <v>2.0718804574187817</v>
      </c>
      <c r="L87" s="167">
        <f t="shared" ca="1" si="17"/>
        <v>1.7569439581797634E-2</v>
      </c>
      <c r="M87" s="168">
        <f ca="1">$A87+L87*Design!$B$19</f>
        <v>86.001458056162463</v>
      </c>
      <c r="N87" s="168">
        <f ca="1">K87*Design!$C$12+A87</f>
        <v>155.44393555223857</v>
      </c>
      <c r="O87" s="168">
        <f ca="1">Constants!$D$22+Constants!$D$22*Constants!$C$23/100*(N87-25)</f>
        <v>229.35514844179085</v>
      </c>
      <c r="P87" s="167">
        <f ca="1">IF(100*(Design!$C$29+D87+C87*IF(ISBLANK(Design!$B$43),Constants!$C$6,Design!$B$43)/1000*(1+Constants!$C$36/100*(N87-25)))/($B87+D87-C87*O87/1000)&gt;Design!$B$36,   (1-Constants!$D$20/1000000000*IF(ISBLANK(Design!$B$33),Design!$B$32/4,Design!$B$33/4)*1000000) * ($B87+D87-C87*O87/1000) - (D87+C87*(1+($A87-25)*Constants!$C$36/100)*IF(ISBLANK(Design!$B$43),Constants!$C$6/1000,Design!$B$43/1000)),  (1-Constants!$D$20/1000000000*IF(ISBLANK(Design!$B$33),Design!$B$32,Design!$B$33)*1000000) * ($B87+D87-C87*O87/1000) - (D87+C87*(1+($A87-25)*Constants!$C$36/100)*IF(ISBLANK(Design!$B$43),Constants!$C$6/1000,Design!$B$43/1000)))</f>
        <v>2.520323478777585</v>
      </c>
      <c r="Q87" s="124">
        <f ca="1">IF(P87&gt;Design!$C$29,Design!$C$29,P87)</f>
        <v>2.520323478777585</v>
      </c>
      <c r="R87" s="125">
        <f>2*Design!$D$7/3</f>
        <v>2</v>
      </c>
      <c r="S87" s="125">
        <f ca="1">FORECAST(R87, OFFSET(Design!$C$15:$C$17,MATCH(R87,Design!$B$15:$B$17,1)-1,0,2), OFFSET(Design!$B$15:$B$17,MATCH(R87,Design!$B$15:$B$17,1)-1,0,2))+(AB87-25)*Design!$B$18/1000</f>
        <v>0.39937114021833375</v>
      </c>
      <c r="T87" s="186">
        <f ca="1">IF(100*(Design!$C$29+S87+R87*IF(ISBLANK(Design!$B$43),Constants!$C$6,Design!$B$43)/1000*(1+Constants!$C$36/100*(AC87-25)))/($B87+S87-R87*AD87/1000)&gt;Design!$B$36,Design!$B$37,100*(Design!$C$29+S87+R87*IF(ISBLANK(Design!$B$43),Constants!$C$6,Design!$B$43)/1000*(1+Constants!$C$36/100*(AC87-25)))/($B87+S87-R87*AD87/1000))</f>
        <v>98.618750000000006</v>
      </c>
      <c r="U87" s="126">
        <f ca="1">IF(($B87-R87*IF(ISBLANK(Design!$B$43),Constants!$C$6,Design!$B$43)/1000*(1+Constants!$C$36/100*(AC87-25))-Design!$C$29)/(IF(ISBLANK(Design!$B$42),Design!$B$40,Design!$B$42)/1000000)*T87/100/(IF(ISBLANK(Design!$B$33),Design!$B$32,Design!$B$33)*1000000)&lt;0,0,($B87-R87*IF(ISBLANK(Design!$B$43),Constants!$C$6,Design!$B$43)/1000*(1+Constants!$C$36/100*(AC87-25))-Design!$C$29)/(IF(ISBLANK(Design!$B$42),Design!$B$40,Design!$B$42)/1000000)*T87/100/(IF(ISBLANK(Design!$B$33),Design!$B$32,Design!$B$33)*1000000))</f>
        <v>0</v>
      </c>
      <c r="V87" s="187">
        <f>$B87*Constants!$C$21/1000+IF(ISBLANK(Design!$B$33),Design!$B$32,Design!$B$33)*1000000*Constants!$D$25/1000000000*($B87-Constants!$C$24)</f>
        <v>5.1000000000000004E-3</v>
      </c>
      <c r="W87" s="187">
        <f>$B87*R87*($B87/(Constants!$C$26*1000000000)*IF(ISBLANK(Design!$B$33),Design!$B$32,Design!$B$33)*1000000/2+$B87/(Constants!$C$27*1000000000)*IF(ISBLANK(Design!$B$33),Design!$B$32,Design!$B$33)*1000000/2)</f>
        <v>1.3647222222222222E-2</v>
      </c>
      <c r="X87" s="187">
        <f t="shared" ca="1" si="14"/>
        <v>0.76799726314538541</v>
      </c>
      <c r="Y87" s="187">
        <f>Constants!$D$25/1000000000*Constants!$C$24*IF(ISBLANK(Design!$B$33),Design!$B$32,Design!$B$33)*1000000</f>
        <v>1.0624999999999999E-2</v>
      </c>
      <c r="Z87" s="187">
        <f t="shared" ca="1" si="23"/>
        <v>0.79736948536760766</v>
      </c>
      <c r="AA87" s="187">
        <f t="shared" ca="1" si="19"/>
        <v>1.1032627748531386E-2</v>
      </c>
      <c r="AB87" s="188">
        <f ca="1">$A87+AA87*Design!$B$19</f>
        <v>85.628859781666293</v>
      </c>
      <c r="AC87" s="188">
        <f ca="1">Z87*Design!$C$12+$A87</f>
        <v>112.11056250249865</v>
      </c>
      <c r="AD87" s="188">
        <f ca="1">Constants!$D$22+Constants!$D$22*Constants!$C$23/100*(AC87-25)</f>
        <v>194.68845000199894</v>
      </c>
      <c r="AE87" s="187">
        <f ca="1">IF(100*(Design!$C$29+S87+R87*IF(ISBLANK(Design!$B$43),Constants!$C$6,Design!$B$43)/1000*(1+Constants!$C$36/100*(AC87-25)))/($B87+S87-R87*AD87/1000)&gt;Design!$B$36,   (1-Constants!$D$20/1000000000*IF(ISBLANK(Design!$B$33),Design!$B$32/4,Design!$B$33/4)*1000000) * ($B87+S87-R87*AD87/1000) - (S87+R87*(1+($A87-25)*Constants!$C$36/100)*IF(ISBLANK(Design!$B$43),Constants!$C$6/1000,Design!$B$43/1000)),  (1-Constants!$D$20/1000000000*IF(ISBLANK(Design!$B$33),Design!$B$32,Design!$B$33)*1000000) * ($B87+S87-R87*AD87/1000) - (S87+R87*(1+($A87-25)*Constants!$C$36/100)*IF(ISBLANK(Design!$B$43),Constants!$C$6/1000,Design!$B$43/1000)))</f>
        <v>2.8646585545530416</v>
      </c>
      <c r="AF87" s="126">
        <f ca="1">IF(AE87&gt;Design!$C$29,Design!$C$29,AE87)</f>
        <v>2.8646585545530416</v>
      </c>
      <c r="AG87" s="127">
        <f>Design!$D$7/3</f>
        <v>1</v>
      </c>
      <c r="AH87" s="127">
        <f ca="1">FORECAST(AG87, OFFSET(Design!$C$15:$C$17,MATCH(AG87,Design!$B$15:$B$17,1)-1,0,2), OFFSET(Design!$B$15:$B$17,MATCH(AG87,Design!$B$15:$B$17,1)-1,0,2))+(AQ87-25)*Design!$B$18/1000</f>
        <v>0.32196873221474043</v>
      </c>
      <c r="AI87" s="197">
        <f ca="1">IF(100*(Design!$C$29+AH87+AG87*IF(ISBLANK(Design!$B$43),Constants!$C$6,Design!$B$43)/1000*(1+Constants!$C$36/100*(AR87-25)))/($B87+AH87-AG87*AS87/1000)&gt;Design!$B$36,Design!$B$37,100*(Design!$C$29+AH87+AG87*IF(ISBLANK(Design!$B$43),Constants!$C$6,Design!$B$43)/1000*(1+Constants!$C$36/100*(AR87-25)))/($B87+AH87-AG87*AS87/1000))</f>
        <v>98.618750000000006</v>
      </c>
      <c r="AJ87" s="128">
        <f ca="1">IF(($B87-AG87*IF(ISBLANK(Design!$B$43),Constants!$C$6,Design!$B$43)/1000*(1+Constants!$C$36/100*(AR87-25))-Design!$C$29)/(IF(ISBLANK(Design!$B$42),Design!$B$40,Design!$B$42)/1000000)*AI87/100/(IF(ISBLANK(Design!$B$33),Design!$B$32,Design!$B$33)*1000000)&lt;0,0,($B87-AG87*IF(ISBLANK(Design!$B$43),Constants!$C$6,Design!$B$43)/1000*(1+Constants!$C$36/100*(AR87-25))-Design!$C$29)/(IF(ISBLANK(Design!$B$42),Design!$B$40,Design!$B$42)/1000000)*AI87/100/(IF(ISBLANK(Design!$B$33),Design!$B$32,Design!$B$33)*1000000))</f>
        <v>0</v>
      </c>
      <c r="AK87" s="198">
        <f>$B87*Constants!$C$21/1000+IF(ISBLANK(Design!$B$33),Design!$B$32,Design!$B$33)*1000000*Constants!$D$25/1000000000*($B87-Constants!$C$24)</f>
        <v>5.1000000000000004E-3</v>
      </c>
      <c r="AL87" s="198">
        <f>$B87*AG87*($B87/(Constants!$C$26*1000000000)*IF(ISBLANK(Design!$B$33),Design!$B$32,Design!$B$33)*1000000/2+$B87/(Constants!$C$27*1000000000)*IF(ISBLANK(Design!$B$33),Design!$B$32,Design!$B$33)*1000000/2)</f>
        <v>6.823611111111111E-3</v>
      </c>
      <c r="AM87" s="198">
        <f t="shared" ca="1" si="15"/>
        <v>0.17593461099473384</v>
      </c>
      <c r="AN87" s="198">
        <f>Constants!$D$25/1000000000*Constants!$C$24*IF(ISBLANK(Design!$B$33),Design!$B$32,Design!$B$33)*1000000</f>
        <v>1.0624999999999999E-2</v>
      </c>
      <c r="AO87" s="198">
        <f t="shared" ca="1" si="24"/>
        <v>0.19848322210584496</v>
      </c>
      <c r="AP87" s="198">
        <f t="shared" ca="1" si="21"/>
        <v>4.4471931137160681E-3</v>
      </c>
      <c r="AQ87" s="199">
        <f ca="1">$A87+AP87*Design!$B$19</f>
        <v>85.253490007481815</v>
      </c>
      <c r="AR87" s="199">
        <f ca="1">AO87*Design!$C$12+$A87</f>
        <v>91.748429551598733</v>
      </c>
      <c r="AS87" s="199">
        <f ca="1">Constants!$D$22+Constants!$D$22*Constants!$C$23/100*(AR87-25)</f>
        <v>178.398743641279</v>
      </c>
      <c r="AT87" s="198">
        <f ca="1">IF(100*(Design!$C$29+AH87+AG87*IF(ISBLANK(Design!$B$43),Constants!$C$6,Design!$B$43)/1000*(1+Constants!$C$36/100*(AR87-25)))/($B87+AH87-AG87*AS87/1000)&gt;Design!$B$36,   (1-Constants!$D$20/1000000000*IF(ISBLANK(Design!$B$33),Design!$B$32/4,Design!$B$33/4)*1000000) * ($B87+AH87-AG87*AS87/1000) - (AH87+AG87*(1+($A87-25)*Constants!$C$36/100)*IF(ISBLANK(Design!$B$43),Constants!$C$6/1000,Design!$B$43/1000)),  (1-Constants!$D$20/1000000000*IF(ISBLANK(Design!$B$33),Design!$B$32,Design!$B$33)*1000000) * ($B87+AH87-AG87*AS87/1000) - (AH87+AG87*(1+($A87-25)*Constants!$C$36/100)*IF(ISBLANK(Design!$B$43),Constants!$C$6/1000,Design!$B$43/1000)))</f>
        <v>3.12322369589155</v>
      </c>
      <c r="AU87" s="128">
        <f ca="1">IF(AT87&gt;Design!$C$29,Design!$C$29,AT87)</f>
        <v>3.12322369589155</v>
      </c>
    </row>
    <row r="88" spans="1:47" x14ac:dyDescent="0.25">
      <c r="AT88" s="130" t="s">
        <v>193</v>
      </c>
      <c r="AU88" s="130">
        <f>(Design!C4-Constants!C7)/40</f>
        <v>0.215</v>
      </c>
    </row>
    <row r="112" ht="15.75" thickBot="1" x14ac:dyDescent="0.3"/>
    <row r="113" spans="2:9" x14ac:dyDescent="0.25">
      <c r="B113" s="203" t="s">
        <v>195</v>
      </c>
      <c r="C113" s="153"/>
      <c r="D113" s="153"/>
      <c r="E113" s="148"/>
      <c r="F113" s="148"/>
      <c r="H113" s="239">
        <f>Design!B4</f>
        <v>8</v>
      </c>
      <c r="I113" s="240">
        <v>1</v>
      </c>
    </row>
    <row r="114" spans="2:9" ht="15.75" thickBot="1" x14ac:dyDescent="0.3">
      <c r="B114" s="201" t="s">
        <v>220</v>
      </c>
      <c r="C114" s="154"/>
      <c r="D114" s="154"/>
      <c r="E114" s="149"/>
      <c r="F114" s="152"/>
      <c r="H114" s="241">
        <f>Design!B4</f>
        <v>8</v>
      </c>
      <c r="I114" s="242">
        <v>8</v>
      </c>
    </row>
    <row r="115" spans="2:9" x14ac:dyDescent="0.25">
      <c r="B115" s="451" t="s">
        <v>196</v>
      </c>
      <c r="C115" s="451"/>
      <c r="D115" s="129">
        <v>0</v>
      </c>
      <c r="F115" s="11"/>
    </row>
  </sheetData>
  <sheetProtection password="83AF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8"/>
  <sheetViews>
    <sheetView showGridLines="0" zoomScaleNormal="100" workbookViewId="0">
      <selection activeCell="B41" sqref="B41"/>
    </sheetView>
  </sheetViews>
  <sheetFormatPr defaultRowHeight="15" x14ac:dyDescent="0.25"/>
  <cols>
    <col min="1" max="1" width="20.7109375" style="1" customWidth="1"/>
    <col min="2" max="5" width="9.140625" style="1"/>
    <col min="6" max="6" width="18.7109375" customWidth="1"/>
  </cols>
  <sheetData>
    <row r="1" spans="1:9" ht="24" customHeight="1" thickBot="1" x14ac:dyDescent="0.3">
      <c r="A1" s="450" t="s">
        <v>169</v>
      </c>
      <c r="B1" s="450"/>
      <c r="C1" s="450"/>
      <c r="D1" s="450"/>
      <c r="E1" s="450"/>
      <c r="F1" s="450"/>
      <c r="G1" s="450"/>
      <c r="H1" s="450"/>
      <c r="I1" s="450"/>
    </row>
    <row r="2" spans="1:9" s="2" customFormat="1" ht="18" customHeight="1" x14ac:dyDescent="0.3">
      <c r="A2" s="25" t="s">
        <v>1</v>
      </c>
      <c r="B2" s="26" t="s">
        <v>30</v>
      </c>
      <c r="C2" s="26" t="s">
        <v>31</v>
      </c>
      <c r="D2" s="26" t="s">
        <v>32</v>
      </c>
      <c r="E2" s="26" t="s">
        <v>33</v>
      </c>
      <c r="F2" s="453" t="s">
        <v>35</v>
      </c>
      <c r="G2" s="453"/>
      <c r="H2" s="453"/>
      <c r="I2" s="454"/>
    </row>
    <row r="3" spans="1:9" ht="18" customHeight="1" x14ac:dyDescent="0.25">
      <c r="A3" s="267" t="s">
        <v>19</v>
      </c>
      <c r="B3" s="268">
        <v>0.79200000000000004</v>
      </c>
      <c r="C3" s="268">
        <v>0.8</v>
      </c>
      <c r="D3" s="268">
        <v>0.80800000000000005</v>
      </c>
      <c r="E3" s="269" t="s">
        <v>2</v>
      </c>
      <c r="F3" s="277" t="s">
        <v>276</v>
      </c>
      <c r="G3" s="28"/>
      <c r="H3" s="28"/>
      <c r="I3" s="29"/>
    </row>
    <row r="4" spans="1:9" ht="18" customHeight="1" x14ac:dyDescent="0.25">
      <c r="A4" s="267" t="s">
        <v>24</v>
      </c>
      <c r="B4" s="270">
        <f>100*(B3-C3)/C3</f>
        <v>-1.0000000000000009</v>
      </c>
      <c r="C4" s="65" t="s">
        <v>21</v>
      </c>
      <c r="D4" s="270">
        <f>100*(D3-C3)/C3</f>
        <v>1.0000000000000009</v>
      </c>
      <c r="E4" s="271" t="s">
        <v>23</v>
      </c>
      <c r="F4" s="277" t="s">
        <v>47</v>
      </c>
      <c r="G4" s="28"/>
      <c r="H4" s="28"/>
      <c r="I4" s="29"/>
    </row>
    <row r="5" spans="1:9" ht="18" customHeight="1" x14ac:dyDescent="0.25">
      <c r="A5" s="267" t="s">
        <v>75</v>
      </c>
      <c r="B5" s="65" t="s">
        <v>21</v>
      </c>
      <c r="C5" s="65">
        <v>35.6</v>
      </c>
      <c r="D5" s="65" t="s">
        <v>21</v>
      </c>
      <c r="E5" s="271" t="s">
        <v>64</v>
      </c>
      <c r="F5" s="277" t="s">
        <v>97</v>
      </c>
      <c r="G5" s="28"/>
      <c r="H5" s="28"/>
      <c r="I5" s="29"/>
    </row>
    <row r="6" spans="1:9" ht="18" customHeight="1" x14ac:dyDescent="0.25">
      <c r="A6" s="267" t="s">
        <v>191</v>
      </c>
      <c r="B6" s="65" t="s">
        <v>21</v>
      </c>
      <c r="C6" s="65">
        <v>35</v>
      </c>
      <c r="D6" s="65" t="s">
        <v>21</v>
      </c>
      <c r="E6" s="271" t="s">
        <v>115</v>
      </c>
      <c r="F6" s="277" t="s">
        <v>192</v>
      </c>
      <c r="G6" s="28"/>
      <c r="H6" s="28"/>
      <c r="I6" s="29"/>
    </row>
    <row r="7" spans="1:9" ht="18" customHeight="1" x14ac:dyDescent="0.25">
      <c r="A7" s="267" t="s">
        <v>186</v>
      </c>
      <c r="B7" s="65" t="s">
        <v>21</v>
      </c>
      <c r="C7" s="65">
        <v>3.4</v>
      </c>
      <c r="D7" s="272">
        <v>3.6</v>
      </c>
      <c r="E7" s="271" t="s">
        <v>2</v>
      </c>
      <c r="F7" s="277" t="s">
        <v>55</v>
      </c>
      <c r="G7" s="28"/>
      <c r="H7" s="28"/>
      <c r="I7" s="29"/>
    </row>
    <row r="8" spans="1:9" ht="18" customHeight="1" x14ac:dyDescent="0.25">
      <c r="A8" s="267" t="s">
        <v>34</v>
      </c>
      <c r="B8" s="273">
        <v>400</v>
      </c>
      <c r="C8" s="65" t="s">
        <v>21</v>
      </c>
      <c r="D8" s="65" t="s">
        <v>21</v>
      </c>
      <c r="E8" s="271" t="s">
        <v>18</v>
      </c>
      <c r="F8" s="277" t="s">
        <v>55</v>
      </c>
      <c r="G8" s="28"/>
      <c r="H8" s="28"/>
      <c r="I8" s="29"/>
    </row>
    <row r="9" spans="1:9" ht="18" customHeight="1" x14ac:dyDescent="0.25">
      <c r="A9" s="267" t="s">
        <v>150</v>
      </c>
      <c r="B9" s="65" t="s">
        <v>21</v>
      </c>
      <c r="C9" s="65">
        <v>0.5</v>
      </c>
      <c r="D9" s="65" t="s">
        <v>21</v>
      </c>
      <c r="E9" s="65" t="s">
        <v>21</v>
      </c>
      <c r="F9" s="277" t="s">
        <v>151</v>
      </c>
      <c r="G9" s="28"/>
      <c r="H9" s="28"/>
      <c r="I9" s="29"/>
    </row>
    <row r="10" spans="1:9" ht="18" customHeight="1" x14ac:dyDescent="0.25">
      <c r="A10" s="267" t="s">
        <v>8</v>
      </c>
      <c r="B10" s="65" t="s">
        <v>21</v>
      </c>
      <c r="C10" s="269">
        <v>65</v>
      </c>
      <c r="D10" s="65" t="s">
        <v>21</v>
      </c>
      <c r="E10" s="271" t="s">
        <v>9</v>
      </c>
      <c r="F10" s="277" t="s">
        <v>55</v>
      </c>
      <c r="G10" s="28"/>
      <c r="H10" s="28"/>
      <c r="I10" s="29"/>
    </row>
    <row r="11" spans="1:9" ht="18" customHeight="1" x14ac:dyDescent="0.25">
      <c r="A11" s="267" t="s">
        <v>10</v>
      </c>
      <c r="B11" s="269">
        <v>550</v>
      </c>
      <c r="C11" s="269">
        <v>750</v>
      </c>
      <c r="D11" s="269">
        <v>1000</v>
      </c>
      <c r="E11" s="271" t="s">
        <v>109</v>
      </c>
      <c r="F11" s="277" t="s">
        <v>55</v>
      </c>
      <c r="G11" s="28"/>
      <c r="H11" s="28"/>
      <c r="I11" s="29"/>
    </row>
    <row r="12" spans="1:9" ht="18" customHeight="1" x14ac:dyDescent="0.25">
      <c r="A12" s="267" t="s">
        <v>81</v>
      </c>
      <c r="B12" s="270">
        <f>POWER(10,$C$10/20)/(D11/1000000)/1000000</f>
        <v>1.7782794100389243</v>
      </c>
      <c r="C12" s="270">
        <f>POWER(10,$C$10/20)/(C11/1000000)/1000000</f>
        <v>2.3710392133852327</v>
      </c>
      <c r="D12" s="270">
        <f>POWER(10,$C$10/20)/(B11/1000000)/1000000</f>
        <v>3.2332352909798621</v>
      </c>
      <c r="E12" s="271" t="s">
        <v>82</v>
      </c>
      <c r="F12" s="277" t="s">
        <v>47</v>
      </c>
      <c r="G12" s="28"/>
      <c r="H12" s="28"/>
      <c r="I12" s="29"/>
    </row>
    <row r="13" spans="1:9" ht="18" customHeight="1" x14ac:dyDescent="0.25">
      <c r="A13" s="267" t="s">
        <v>0</v>
      </c>
      <c r="B13" s="270" t="s">
        <v>21</v>
      </c>
      <c r="C13" s="270">
        <v>4</v>
      </c>
      <c r="D13" s="270" t="s">
        <v>21</v>
      </c>
      <c r="E13" s="271" t="s">
        <v>3</v>
      </c>
      <c r="F13" s="277" t="s">
        <v>55</v>
      </c>
      <c r="G13" s="28"/>
      <c r="H13" s="28"/>
      <c r="I13" s="29"/>
    </row>
    <row r="14" spans="1:9" ht="18" customHeight="1" x14ac:dyDescent="0.25">
      <c r="A14" s="459" t="s">
        <v>297</v>
      </c>
      <c r="B14" s="270">
        <v>0.15</v>
      </c>
      <c r="C14" s="270">
        <v>0.22</v>
      </c>
      <c r="D14" s="270">
        <v>0.28999999999999998</v>
      </c>
      <c r="E14" s="461" t="s">
        <v>330</v>
      </c>
      <c r="F14" s="277" t="s">
        <v>298</v>
      </c>
      <c r="G14" s="28">
        <v>0.252</v>
      </c>
      <c r="H14" s="28" t="s">
        <v>14</v>
      </c>
      <c r="I14" s="29"/>
    </row>
    <row r="15" spans="1:9" ht="18" customHeight="1" x14ac:dyDescent="0.25">
      <c r="A15" s="464"/>
      <c r="B15" s="270">
        <v>0.66</v>
      </c>
      <c r="C15" s="270">
        <v>1</v>
      </c>
      <c r="D15" s="270">
        <v>1.32</v>
      </c>
      <c r="E15" s="462"/>
      <c r="F15" s="277" t="s">
        <v>298</v>
      </c>
      <c r="G15" s="28">
        <v>1</v>
      </c>
      <c r="H15" s="28" t="s">
        <v>14</v>
      </c>
      <c r="I15" s="29"/>
    </row>
    <row r="16" spans="1:9" ht="18" customHeight="1" x14ac:dyDescent="0.25">
      <c r="A16" s="460"/>
      <c r="B16" s="270">
        <v>2.31</v>
      </c>
      <c r="C16" s="270">
        <v>3.3</v>
      </c>
      <c r="D16" s="270">
        <v>4.3</v>
      </c>
      <c r="E16" s="463"/>
      <c r="F16" s="277" t="s">
        <v>298</v>
      </c>
      <c r="G16" s="28">
        <v>2.44</v>
      </c>
      <c r="H16" s="28" t="s">
        <v>14</v>
      </c>
      <c r="I16" s="29"/>
    </row>
    <row r="17" spans="1:9" ht="18" customHeight="1" x14ac:dyDescent="0.25">
      <c r="A17" s="267" t="s">
        <v>184</v>
      </c>
      <c r="B17" s="274">
        <v>0.25</v>
      </c>
      <c r="C17" s="65" t="s">
        <v>21</v>
      </c>
      <c r="D17" s="274">
        <v>2.4500000000000002</v>
      </c>
      <c r="E17" s="271" t="s">
        <v>14</v>
      </c>
      <c r="F17" s="277" t="s">
        <v>53</v>
      </c>
      <c r="G17" s="28"/>
      <c r="H17" s="28"/>
      <c r="I17" s="29"/>
    </row>
    <row r="18" spans="1:9" ht="18" customHeight="1" x14ac:dyDescent="0.25">
      <c r="A18" s="267" t="s">
        <v>38</v>
      </c>
      <c r="B18" s="65">
        <v>-10</v>
      </c>
      <c r="C18" s="65" t="s">
        <v>21</v>
      </c>
      <c r="D18" s="65">
        <v>10</v>
      </c>
      <c r="E18" s="271" t="s">
        <v>23</v>
      </c>
      <c r="F18" s="277" t="s">
        <v>53</v>
      </c>
      <c r="G18" s="28"/>
      <c r="H18" s="28"/>
      <c r="I18" s="29"/>
    </row>
    <row r="19" spans="1:9" ht="18" customHeight="1" x14ac:dyDescent="0.25">
      <c r="A19" s="368" t="s">
        <v>104</v>
      </c>
      <c r="B19" s="65" t="s">
        <v>21</v>
      </c>
      <c r="C19" s="271">
        <v>95</v>
      </c>
      <c r="D19" s="65">
        <v>135</v>
      </c>
      <c r="E19" s="65" t="s">
        <v>4</v>
      </c>
      <c r="F19" s="277" t="s">
        <v>102</v>
      </c>
      <c r="G19" s="28"/>
      <c r="H19" s="28"/>
      <c r="I19" s="29"/>
    </row>
    <row r="20" spans="1:9" ht="18" customHeight="1" x14ac:dyDescent="0.25">
      <c r="A20" s="368" t="s">
        <v>105</v>
      </c>
      <c r="B20" s="65" t="s">
        <v>21</v>
      </c>
      <c r="C20" s="271">
        <v>95</v>
      </c>
      <c r="D20" s="65">
        <v>130</v>
      </c>
      <c r="E20" s="65" t="s">
        <v>4</v>
      </c>
      <c r="F20" s="277" t="s">
        <v>103</v>
      </c>
      <c r="G20" s="28"/>
      <c r="H20" s="28"/>
      <c r="I20" s="29"/>
    </row>
    <row r="21" spans="1:9" ht="18" customHeight="1" x14ac:dyDescent="0.25">
      <c r="A21" s="368" t="s">
        <v>347</v>
      </c>
      <c r="B21" s="65" t="s">
        <v>21</v>
      </c>
      <c r="C21" s="271">
        <v>2.5</v>
      </c>
      <c r="D21" s="65" t="s">
        <v>21</v>
      </c>
      <c r="E21" s="65" t="s">
        <v>5</v>
      </c>
      <c r="F21" s="277" t="s">
        <v>55</v>
      </c>
      <c r="G21" s="28"/>
      <c r="H21" s="28"/>
      <c r="I21" s="29"/>
    </row>
    <row r="22" spans="1:9" ht="18" customHeight="1" x14ac:dyDescent="0.25">
      <c r="A22" s="368" t="s">
        <v>99</v>
      </c>
      <c r="B22" s="65" t="s">
        <v>21</v>
      </c>
      <c r="C22" s="271" t="s">
        <v>21</v>
      </c>
      <c r="D22" s="65">
        <v>125</v>
      </c>
      <c r="E22" s="65" t="s">
        <v>98</v>
      </c>
      <c r="F22" s="277" t="s">
        <v>54</v>
      </c>
      <c r="G22" s="28"/>
      <c r="H22" s="28"/>
      <c r="I22" s="29"/>
    </row>
    <row r="23" spans="1:9" ht="18" customHeight="1" x14ac:dyDescent="0.25">
      <c r="A23" s="368" t="s">
        <v>107</v>
      </c>
      <c r="B23" s="65" t="s">
        <v>21</v>
      </c>
      <c r="C23" s="271">
        <v>0.64</v>
      </c>
      <c r="D23" s="65" t="s">
        <v>21</v>
      </c>
      <c r="E23" s="65" t="s">
        <v>108</v>
      </c>
      <c r="F23" s="277" t="s">
        <v>54</v>
      </c>
      <c r="G23" s="28"/>
      <c r="H23" s="28"/>
      <c r="I23" s="29"/>
    </row>
    <row r="24" spans="1:9" ht="18" customHeight="1" x14ac:dyDescent="0.25">
      <c r="A24" s="368" t="s">
        <v>170</v>
      </c>
      <c r="B24" s="65" t="s">
        <v>21</v>
      </c>
      <c r="C24" s="271">
        <v>5</v>
      </c>
      <c r="D24" s="65" t="s">
        <v>21</v>
      </c>
      <c r="E24" s="65" t="s">
        <v>2</v>
      </c>
      <c r="F24" s="277" t="s">
        <v>54</v>
      </c>
      <c r="G24" s="28"/>
      <c r="H24" s="28"/>
      <c r="I24" s="29"/>
    </row>
    <row r="25" spans="1:9" ht="18" customHeight="1" x14ac:dyDescent="0.25">
      <c r="A25" s="368" t="s">
        <v>20</v>
      </c>
      <c r="B25" s="65" t="s">
        <v>21</v>
      </c>
      <c r="C25" s="271" t="s">
        <v>21</v>
      </c>
      <c r="D25" s="65">
        <v>5</v>
      </c>
      <c r="E25" s="65" t="s">
        <v>7</v>
      </c>
      <c r="F25" s="277" t="s">
        <v>54</v>
      </c>
      <c r="G25" s="28"/>
      <c r="H25" s="28"/>
      <c r="I25" s="29"/>
    </row>
    <row r="26" spans="1:9" ht="18" customHeight="1" x14ac:dyDescent="0.25">
      <c r="A26" s="368" t="s">
        <v>348</v>
      </c>
      <c r="B26" s="65" t="s">
        <v>21</v>
      </c>
      <c r="C26" s="271">
        <v>0.72</v>
      </c>
      <c r="D26" s="65" t="s">
        <v>21</v>
      </c>
      <c r="E26" s="65" t="s">
        <v>6</v>
      </c>
      <c r="F26" s="277" t="s">
        <v>350</v>
      </c>
      <c r="G26" s="28"/>
      <c r="H26" s="28"/>
      <c r="I26" s="29"/>
    </row>
    <row r="27" spans="1:9" ht="18" customHeight="1" x14ac:dyDescent="0.25">
      <c r="A27" s="368" t="s">
        <v>349</v>
      </c>
      <c r="B27" s="65" t="s">
        <v>21</v>
      </c>
      <c r="C27" s="271">
        <v>0.72</v>
      </c>
      <c r="D27" s="65" t="s">
        <v>21</v>
      </c>
      <c r="E27" s="65" t="s">
        <v>6</v>
      </c>
      <c r="F27" s="277" t="s">
        <v>350</v>
      </c>
      <c r="G27" s="28"/>
      <c r="H27" s="28"/>
      <c r="I27" s="29"/>
    </row>
    <row r="28" spans="1:9" ht="18" customHeight="1" x14ac:dyDescent="0.25">
      <c r="A28" s="267" t="s">
        <v>37</v>
      </c>
      <c r="B28" s="65" t="s">
        <v>21</v>
      </c>
      <c r="C28" s="271">
        <v>20</v>
      </c>
      <c r="D28" s="65" t="s">
        <v>21</v>
      </c>
      <c r="E28" s="271" t="s">
        <v>110</v>
      </c>
      <c r="F28" s="277" t="s">
        <v>55</v>
      </c>
      <c r="G28" s="28"/>
      <c r="H28" s="28"/>
      <c r="I28" s="29"/>
    </row>
    <row r="29" spans="1:9" ht="18" customHeight="1" x14ac:dyDescent="0.25">
      <c r="A29" s="267" t="s">
        <v>58</v>
      </c>
      <c r="B29" s="65" t="s">
        <v>21</v>
      </c>
      <c r="C29" s="271">
        <v>330</v>
      </c>
      <c r="D29" s="65" t="s">
        <v>21</v>
      </c>
      <c r="E29" s="271" t="s">
        <v>18</v>
      </c>
      <c r="F29" s="277" t="s">
        <v>55</v>
      </c>
      <c r="G29" s="28"/>
      <c r="H29" s="28"/>
      <c r="I29" s="29"/>
    </row>
    <row r="30" spans="1:9" ht="18" customHeight="1" x14ac:dyDescent="0.25">
      <c r="A30" s="459" t="s">
        <v>282</v>
      </c>
      <c r="B30" s="65" t="s">
        <v>21</v>
      </c>
      <c r="C30" s="271">
        <v>750</v>
      </c>
      <c r="D30" s="65">
        <v>850</v>
      </c>
      <c r="E30" s="271" t="s">
        <v>5</v>
      </c>
      <c r="F30" s="277" t="s">
        <v>326</v>
      </c>
      <c r="G30" s="28"/>
      <c r="H30" s="28"/>
      <c r="I30" s="29"/>
    </row>
    <row r="31" spans="1:9" ht="18" customHeight="1" x14ac:dyDescent="0.25">
      <c r="A31" s="460"/>
      <c r="B31" s="65" t="s">
        <v>21</v>
      </c>
      <c r="C31" s="271">
        <v>850</v>
      </c>
      <c r="D31" s="65">
        <v>950</v>
      </c>
      <c r="E31" s="271" t="s">
        <v>5</v>
      </c>
      <c r="F31" s="277" t="s">
        <v>327</v>
      </c>
      <c r="G31" s="28"/>
      <c r="H31" s="28"/>
      <c r="I31" s="29"/>
    </row>
    <row r="32" spans="1:9" ht="18" customHeight="1" x14ac:dyDescent="0.25">
      <c r="A32" s="326" t="s">
        <v>325</v>
      </c>
      <c r="B32" s="65" t="s">
        <v>21</v>
      </c>
      <c r="C32" s="271">
        <v>750</v>
      </c>
      <c r="D32" s="65" t="s">
        <v>21</v>
      </c>
      <c r="E32" s="271" t="s">
        <v>17</v>
      </c>
      <c r="F32" s="277" t="s">
        <v>54</v>
      </c>
      <c r="G32" s="28"/>
      <c r="H32" s="28"/>
      <c r="I32" s="29"/>
    </row>
    <row r="33" spans="1:17" ht="18" customHeight="1" x14ac:dyDescent="0.25">
      <c r="A33" s="279" t="s">
        <v>283</v>
      </c>
      <c r="B33" s="65" t="s">
        <v>21</v>
      </c>
      <c r="C33" s="271">
        <v>4.0999999999999996</v>
      </c>
      <c r="D33" s="65" t="s">
        <v>21</v>
      </c>
      <c r="E33" s="65" t="s">
        <v>284</v>
      </c>
      <c r="F33" s="277" t="s">
        <v>54</v>
      </c>
      <c r="G33" s="28"/>
      <c r="H33" s="28"/>
      <c r="I33" s="29"/>
    </row>
    <row r="34" spans="1:17" ht="18" customHeight="1" x14ac:dyDescent="0.25">
      <c r="A34" s="368">
        <v>5</v>
      </c>
      <c r="B34" s="65">
        <v>4.8</v>
      </c>
      <c r="C34" s="271" t="s">
        <v>21</v>
      </c>
      <c r="D34" s="65" t="s">
        <v>21</v>
      </c>
      <c r="E34" s="65" t="s">
        <v>11</v>
      </c>
      <c r="F34" s="277" t="s">
        <v>336</v>
      </c>
      <c r="G34" s="28"/>
      <c r="H34" s="28"/>
      <c r="I34" s="29"/>
    </row>
    <row r="35" spans="1:17" ht="18" customHeight="1" x14ac:dyDescent="0.25">
      <c r="A35" s="368">
        <v>99</v>
      </c>
      <c r="B35" s="65">
        <v>3</v>
      </c>
      <c r="C35" s="271">
        <v>4.0999999999999996</v>
      </c>
      <c r="D35" s="65">
        <v>5.0999999999999996</v>
      </c>
      <c r="E35" s="65" t="s">
        <v>11</v>
      </c>
      <c r="F35" s="277" t="s">
        <v>351</v>
      </c>
      <c r="G35" s="28"/>
      <c r="H35" s="28"/>
      <c r="I35" s="29"/>
    </row>
    <row r="36" spans="1:17" ht="18" customHeight="1" thickBot="1" x14ac:dyDescent="0.3">
      <c r="A36" s="70" t="s">
        <v>215</v>
      </c>
      <c r="B36" s="71"/>
      <c r="C36" s="275">
        <v>0.39300000000000002</v>
      </c>
      <c r="D36" s="71" t="s">
        <v>21</v>
      </c>
      <c r="E36" s="276" t="s">
        <v>216</v>
      </c>
      <c r="F36" s="278" t="s">
        <v>223</v>
      </c>
      <c r="G36" s="34"/>
      <c r="H36" s="34"/>
      <c r="I36" s="35"/>
    </row>
    <row r="37" spans="1:17" ht="15.75" thickBot="1" x14ac:dyDescent="0.3"/>
    <row r="38" spans="1:17" s="12" customFormat="1" ht="18" customHeight="1" x14ac:dyDescent="0.25">
      <c r="A38" s="456" t="s">
        <v>125</v>
      </c>
      <c r="B38" s="457"/>
      <c r="C38" s="457"/>
      <c r="D38" s="457"/>
      <c r="E38" s="457"/>
      <c r="F38" s="457"/>
      <c r="G38" s="458"/>
    </row>
    <row r="39" spans="1:17" x14ac:dyDescent="0.25">
      <c r="A39" s="27" t="s">
        <v>112</v>
      </c>
      <c r="B39" s="31">
        <v>3.3</v>
      </c>
      <c r="C39" s="31" t="s">
        <v>2</v>
      </c>
      <c r="D39" s="36" t="s">
        <v>126</v>
      </c>
      <c r="E39" s="31"/>
      <c r="F39" s="28"/>
      <c r="G39" s="29"/>
    </row>
    <row r="40" spans="1:17" ht="18" x14ac:dyDescent="0.35">
      <c r="A40" s="27" t="s">
        <v>152</v>
      </c>
      <c r="B40" s="31">
        <v>2</v>
      </c>
      <c r="C40" s="31" t="s">
        <v>11</v>
      </c>
      <c r="D40" s="36" t="s">
        <v>153</v>
      </c>
      <c r="E40" s="31"/>
      <c r="F40" s="28"/>
      <c r="G40" s="29"/>
      <c r="Q40" s="155"/>
    </row>
    <row r="41" spans="1:17" x14ac:dyDescent="0.25">
      <c r="A41" s="27" t="s">
        <v>117</v>
      </c>
      <c r="B41" s="31">
        <v>1.1000000000000001</v>
      </c>
      <c r="C41" s="31" t="s">
        <v>11</v>
      </c>
      <c r="D41" s="36" t="s">
        <v>146</v>
      </c>
      <c r="E41" s="31"/>
      <c r="F41" s="28"/>
      <c r="G41" s="29"/>
    </row>
    <row r="42" spans="1:17" ht="18" x14ac:dyDescent="0.35">
      <c r="A42" s="27" t="s">
        <v>154</v>
      </c>
      <c r="B42" s="89">
        <f>100*B41/B40</f>
        <v>55.000000000000007</v>
      </c>
      <c r="C42" s="31" t="s">
        <v>23</v>
      </c>
      <c r="D42" s="36" t="s">
        <v>157</v>
      </c>
      <c r="E42" s="31"/>
      <c r="F42" s="28"/>
      <c r="G42" s="29"/>
    </row>
    <row r="43" spans="1:17" x14ac:dyDescent="0.25">
      <c r="A43" s="27" t="s">
        <v>113</v>
      </c>
      <c r="B43" s="31">
        <v>1</v>
      </c>
      <c r="C43" s="30" t="s">
        <v>21</v>
      </c>
      <c r="D43" s="36" t="s">
        <v>158</v>
      </c>
      <c r="E43" s="31"/>
      <c r="F43" s="28"/>
      <c r="G43" s="29"/>
    </row>
    <row r="44" spans="1:17" ht="18" x14ac:dyDescent="0.35">
      <c r="A44" s="27" t="s">
        <v>128</v>
      </c>
      <c r="B44" s="31">
        <v>2</v>
      </c>
      <c r="C44" s="31" t="s">
        <v>14</v>
      </c>
      <c r="D44" s="36" t="s">
        <v>129</v>
      </c>
      <c r="E44" s="31"/>
      <c r="F44" s="28"/>
      <c r="G44" s="29"/>
    </row>
    <row r="45" spans="1:17" x14ac:dyDescent="0.25">
      <c r="A45" s="27" t="s">
        <v>118</v>
      </c>
      <c r="B45" s="31">
        <v>128</v>
      </c>
      <c r="C45" s="31" t="s">
        <v>18</v>
      </c>
      <c r="D45" s="36" t="s">
        <v>274</v>
      </c>
      <c r="E45" s="31"/>
      <c r="F45" s="28"/>
      <c r="G45" s="29"/>
    </row>
    <row r="46" spans="1:17" x14ac:dyDescent="0.25">
      <c r="A46" s="27" t="s">
        <v>114</v>
      </c>
      <c r="B46" s="31">
        <v>10</v>
      </c>
      <c r="C46" s="31" t="s">
        <v>23</v>
      </c>
      <c r="D46" s="36" t="s">
        <v>127</v>
      </c>
      <c r="E46" s="31"/>
      <c r="F46" s="28"/>
      <c r="G46" s="29"/>
    </row>
    <row r="47" spans="1:17" x14ac:dyDescent="0.25">
      <c r="A47" s="27" t="s">
        <v>25</v>
      </c>
      <c r="B47" s="89">
        <v>6</v>
      </c>
      <c r="C47" s="31" t="s">
        <v>115</v>
      </c>
      <c r="D47" s="36" t="s">
        <v>119</v>
      </c>
      <c r="E47" s="31"/>
      <c r="F47" s="28"/>
      <c r="G47" s="29"/>
    </row>
    <row r="48" spans="1:17" x14ac:dyDescent="0.25">
      <c r="A48" s="27" t="s">
        <v>26</v>
      </c>
      <c r="B48" s="31">
        <v>1.8</v>
      </c>
      <c r="C48" s="31" t="s">
        <v>27</v>
      </c>
      <c r="D48" s="36" t="s">
        <v>119</v>
      </c>
      <c r="E48" s="31"/>
      <c r="F48" s="28"/>
      <c r="G48" s="29"/>
    </row>
    <row r="49" spans="1:12" x14ac:dyDescent="0.25">
      <c r="A49" s="27" t="s">
        <v>122</v>
      </c>
      <c r="B49" s="89">
        <v>0.8</v>
      </c>
      <c r="C49" s="32">
        <v>9.9600000000000009</v>
      </c>
      <c r="D49" s="30" t="s">
        <v>160</v>
      </c>
      <c r="E49" s="36" t="s">
        <v>120</v>
      </c>
      <c r="F49" s="28"/>
      <c r="G49" s="29"/>
    </row>
    <row r="50" spans="1:12" x14ac:dyDescent="0.25">
      <c r="A50" s="27" t="s">
        <v>122</v>
      </c>
      <c r="B50" s="89">
        <v>2</v>
      </c>
      <c r="C50" s="32">
        <v>9.8000000000000007</v>
      </c>
      <c r="D50" s="30" t="s">
        <v>160</v>
      </c>
      <c r="E50" s="36" t="s">
        <v>120</v>
      </c>
      <c r="F50" s="28"/>
      <c r="G50" s="29"/>
    </row>
    <row r="51" spans="1:12" x14ac:dyDescent="0.25">
      <c r="A51" s="27" t="s">
        <v>122</v>
      </c>
      <c r="B51" s="89">
        <v>3.3</v>
      </c>
      <c r="C51" s="32">
        <v>9.5</v>
      </c>
      <c r="D51" s="30" t="s">
        <v>160</v>
      </c>
      <c r="E51" s="36" t="s">
        <v>120</v>
      </c>
      <c r="F51" s="28"/>
      <c r="G51" s="29"/>
    </row>
    <row r="52" spans="1:12" x14ac:dyDescent="0.25">
      <c r="A52" s="27" t="s">
        <v>122</v>
      </c>
      <c r="B52" s="89">
        <v>5</v>
      </c>
      <c r="C52" s="32">
        <v>8.85</v>
      </c>
      <c r="D52" s="30" t="s">
        <v>160</v>
      </c>
      <c r="E52" s="36" t="s">
        <v>120</v>
      </c>
      <c r="F52" s="28"/>
      <c r="G52" s="29"/>
    </row>
    <row r="53" spans="1:12" x14ac:dyDescent="0.25">
      <c r="A53" s="27" t="s">
        <v>122</v>
      </c>
      <c r="B53" s="89">
        <v>8</v>
      </c>
      <c r="C53" s="32">
        <v>7.48</v>
      </c>
      <c r="D53" s="30" t="s">
        <v>160</v>
      </c>
      <c r="E53" s="36" t="s">
        <v>120</v>
      </c>
      <c r="F53" s="28"/>
      <c r="G53" s="29"/>
    </row>
    <row r="54" spans="1:12" ht="17.25" x14ac:dyDescent="0.25">
      <c r="A54" s="64" t="s">
        <v>123</v>
      </c>
      <c r="B54" s="65" t="s">
        <v>21</v>
      </c>
      <c r="C54" s="66">
        <v>3.3999999999999998E-3</v>
      </c>
      <c r="D54" s="65" t="s">
        <v>161</v>
      </c>
      <c r="E54" s="67" t="s">
        <v>143</v>
      </c>
      <c r="F54" s="68"/>
      <c r="G54" s="69"/>
    </row>
    <row r="55" spans="1:12" ht="17.25" x14ac:dyDescent="0.25">
      <c r="A55" s="64" t="s">
        <v>123</v>
      </c>
      <c r="B55" s="65" t="s">
        <v>21</v>
      </c>
      <c r="C55" s="66">
        <v>-7.4300000000000005E-2</v>
      </c>
      <c r="D55" s="65" t="s">
        <v>163</v>
      </c>
      <c r="E55" s="67" t="s">
        <v>144</v>
      </c>
      <c r="F55" s="68"/>
      <c r="G55" s="69"/>
    </row>
    <row r="56" spans="1:12" x14ac:dyDescent="0.25">
      <c r="A56" s="64" t="s">
        <v>123</v>
      </c>
      <c r="B56" s="65" t="s">
        <v>21</v>
      </c>
      <c r="C56" s="66">
        <v>6.83E-2</v>
      </c>
      <c r="D56" s="65" t="s">
        <v>162</v>
      </c>
      <c r="E56" s="67" t="s">
        <v>145</v>
      </c>
      <c r="F56" s="68"/>
      <c r="G56" s="69"/>
    </row>
    <row r="57" spans="1:12" ht="15.75" thickBot="1" x14ac:dyDescent="0.3">
      <c r="A57" s="70" t="s">
        <v>123</v>
      </c>
      <c r="B57" s="71" t="s">
        <v>21</v>
      </c>
      <c r="C57" s="72">
        <v>9.9469999999999992</v>
      </c>
      <c r="D57" s="71" t="s">
        <v>116</v>
      </c>
      <c r="E57" s="73" t="s">
        <v>164</v>
      </c>
      <c r="F57" s="74"/>
      <c r="G57" s="75"/>
    </row>
    <row r="58" spans="1:12" ht="15.75" thickBot="1" x14ac:dyDescent="0.3"/>
    <row r="59" spans="1:12" ht="18" customHeight="1" x14ac:dyDescent="0.3">
      <c r="A59" s="452" t="s">
        <v>313</v>
      </c>
      <c r="B59" s="453"/>
      <c r="C59" s="454"/>
      <c r="F59" s="287" t="s">
        <v>320</v>
      </c>
    </row>
    <row r="60" spans="1:12" ht="18" x14ac:dyDescent="0.25">
      <c r="A60" s="264" t="s">
        <v>277</v>
      </c>
      <c r="B60" s="31">
        <v>15</v>
      </c>
      <c r="C60" s="265" t="s">
        <v>16</v>
      </c>
      <c r="F60" s="286" t="s">
        <v>321</v>
      </c>
      <c r="G60" s="289">
        <f ca="1">FORECAST((IF(ISBLANK(Design!B33),Design!B32,Design!B33)), OFFSET(B14:B16,MATCH((IF(ISBLANK(Design!B33),Design!B32,Design!B33)),G14:G16,1)-1,0,2), OFFSET(G14:G16,MATCH((IF(ISBLANK(Design!B33),Design!B32,Design!B33)),G14:G16,1)-1,0,2))</f>
        <v>0.2679545454545455</v>
      </c>
      <c r="H60" s="289">
        <f ca="1">FORECAST((IF(ISBLANK(Design!B33),Design!B32,Design!B33)), OFFSET(C14:C16,MATCH((IF(ISBLANK(Design!B33),Design!B32,Design!B33)),G14:G16,1)-1,0,2), OFFSET(G14:G16,MATCH((IF(ISBLANK(Design!B33),Design!B32,Design!B33)),G14:G16,1)-1,0,2))</f>
        <v>0.40040106951871646</v>
      </c>
      <c r="I60" s="289">
        <f ca="1">FORECAST((IF(ISBLANK(Design!B33),Design!B32,Design!B33)), OFFSET(D14:D16,MATCH((IF(ISBLANK(Design!B33),Design!B32,Design!B33)),G14:G16,1)-1,0,2), OFFSET(G14:G16,MATCH((IF(ISBLANK(Design!B33),Design!B32,Design!B33)),G14:G16,1)-1,0,2))</f>
        <v>0.52822192513368982</v>
      </c>
      <c r="J60" s="288" t="s">
        <v>330</v>
      </c>
      <c r="L60" s="155"/>
    </row>
    <row r="61" spans="1:12" ht="15.75" thickBot="1" x14ac:dyDescent="0.3">
      <c r="A61" s="147" t="s">
        <v>278</v>
      </c>
      <c r="B61" s="33">
        <v>25</v>
      </c>
      <c r="C61" s="266" t="s">
        <v>16</v>
      </c>
      <c r="F61" t="s">
        <v>323</v>
      </c>
      <c r="G61" s="1" t="str">
        <f>IF(1000*Design!B33&lt;Constants!C32,"YES","NO")</f>
        <v>YES</v>
      </c>
    </row>
    <row r="62" spans="1:12" ht="15.75" thickBot="1" x14ac:dyDescent="0.3"/>
    <row r="63" spans="1:12" ht="20.25" x14ac:dyDescent="0.35">
      <c r="A63" s="452" t="s">
        <v>285</v>
      </c>
      <c r="B63" s="453"/>
      <c r="C63" s="453"/>
      <c r="D63" s="454"/>
      <c r="F63" s="287" t="s">
        <v>319</v>
      </c>
    </row>
    <row r="64" spans="1:12" ht="18" customHeight="1" x14ac:dyDescent="0.35">
      <c r="A64" s="281" t="s">
        <v>287</v>
      </c>
      <c r="B64" s="455">
        <v>65</v>
      </c>
      <c r="C64" s="455"/>
      <c r="D64" s="282" t="s">
        <v>288</v>
      </c>
      <c r="F64" s="288" t="s">
        <v>290</v>
      </c>
      <c r="H64" s="289">
        <f ca="1">FORECAST(C30/1000, OFFSET(Design!$C$15:$C$17,MATCH(C30/1000,Design!$B$15:$B$17,1)-1,0,2), OFFSET(Design!$B$15:$B$17,MATCH(C30/1000,Design!$B$15:$B$17,1)-1,0,2))+(B64-25)*Design!$B$18/1000</f>
        <v>0.32277777777777783</v>
      </c>
      <c r="I64" s="286" t="s">
        <v>2</v>
      </c>
    </row>
    <row r="65" spans="1:9" ht="18" customHeight="1" x14ac:dyDescent="0.25">
      <c r="A65" s="327" t="s">
        <v>328</v>
      </c>
      <c r="B65" s="269">
        <f>IF(G61="YES",C30,C31)</f>
        <v>750</v>
      </c>
      <c r="C65" s="269">
        <f>IF(G61="YES",D30,D31)</f>
        <v>850</v>
      </c>
      <c r="D65" s="328" t="s">
        <v>5</v>
      </c>
      <c r="F65" s="288" t="s">
        <v>291</v>
      </c>
      <c r="H65" s="307">
        <f>1000*D22/1000*(1+(B64-25)*C23/100)</f>
        <v>157</v>
      </c>
      <c r="I65" s="286" t="s">
        <v>115</v>
      </c>
    </row>
    <row r="66" spans="1:9" ht="18" customHeight="1" x14ac:dyDescent="0.35">
      <c r="A66" s="264" t="s">
        <v>293</v>
      </c>
      <c r="B66" s="32">
        <f>IF(B65/1000*(IF(ISBLANK(Design!B42),Design!B40,Design!B42))/(Design!C4-Design!C6-B65/1000*(H65+H66)/1000)&lt;C33,B65/1000*(IF(ISBLANK(Design!B42),Design!B40,Design!B42))/(Design!C4-Design!C6-B65/1000*(H65+H66)/1000),C33)</f>
        <v>1.0952848134817585</v>
      </c>
      <c r="C66" s="32">
        <f>IF(C65/1000*(1+Design!D10/100)*(IF(ISBLANK(Design!B42),Design!B40,Design!B42))/(Design!B5-Design!C6-C65/1000*(H65+H66)/1000)&lt;C33,C65/1000*(1+Design!D10/100)*(IF(ISBLANK(Design!B42),Design!B40,Design!B42))/(Design!B5-Design!C6-C65/1000*(H65+H66)/1000),C33)</f>
        <v>3.8824527296154865</v>
      </c>
      <c r="D66" s="265" t="s">
        <v>286</v>
      </c>
      <c r="F66" s="286" t="s">
        <v>292</v>
      </c>
      <c r="H66" s="308">
        <f>(IF(ISBLANK(Design!B43),C6,Design!B43))*(1+(B64-25)*C36/100)</f>
        <v>46.287999999999997</v>
      </c>
      <c r="I66" s="286" t="s">
        <v>115</v>
      </c>
    </row>
    <row r="67" spans="1:9" ht="18" x14ac:dyDescent="0.35">
      <c r="A67" s="264" t="s">
        <v>294</v>
      </c>
      <c r="B67" s="32">
        <f ca="1">B65/1000*(IF(ISBLANK(Design!B42),Design!B40,Design!B42))/(Design!C6+H64)</f>
        <v>1.4090387224715584</v>
      </c>
      <c r="C67" s="32">
        <f ca="1">C65/1000*(1+Design!D10/100)*(IF(ISBLANK(Design!B42),Design!B40,Design!B42))/(Design!C6+H64)</f>
        <v>1.9162926625613192</v>
      </c>
      <c r="D67" s="265" t="s">
        <v>286</v>
      </c>
      <c r="F67" s="306" t="s">
        <v>324</v>
      </c>
      <c r="G67" s="228"/>
      <c r="H67" s="307" t="str">
        <f>IF((D30/1000*(1+Design!D10/100)*(IF(ISBLANK(Design!B42),Design!B40,Design!B42))/(Design!B5-Design!C6-D30/1000*(H65+H66)/1000)&lt;C33) * (D30/1000*(1+Design!D10/100)*(IF(ISBLANK(Design!B42),Design!B40,Design!B42))/(Design!B5-Design!C6-D30/1000*(H65+H66)/1000))&gt;0,"NO","YES")</f>
        <v>NO</v>
      </c>
      <c r="I67" s="306"/>
    </row>
    <row r="68" spans="1:9" s="228" customFormat="1" ht="18" customHeight="1" thickBot="1" x14ac:dyDescent="0.4">
      <c r="A68" s="33" t="s">
        <v>289</v>
      </c>
      <c r="B68" s="280">
        <f ca="1">B66+B67</f>
        <v>2.5043235359533167</v>
      </c>
      <c r="C68" s="280">
        <f ca="1">C66+C67</f>
        <v>5.798745392176806</v>
      </c>
      <c r="D68" s="266" t="s">
        <v>284</v>
      </c>
      <c r="E68" s="283"/>
    </row>
  </sheetData>
  <sheetProtection algorithmName="SHA-512" hashValue="363kR+AGpegvczTcBwNVXTEbfZvqpkUv1yHM1LEZEXprKPNDIJUmzSdTrf/rktQZphclYL99LmOSfM+OZrlROA==" saltValue="2kTdJODrIdnlI+ihe2BeLA==" spinCount="100000" sheet="1" objects="1" scenarios="1"/>
  <mergeCells count="9">
    <mergeCell ref="A63:D63"/>
    <mergeCell ref="B64:C64"/>
    <mergeCell ref="F2:I2"/>
    <mergeCell ref="A1:I1"/>
    <mergeCell ref="A59:C59"/>
    <mergeCell ref="A38:G38"/>
    <mergeCell ref="A30:A31"/>
    <mergeCell ref="E14:E16"/>
    <mergeCell ref="A14:A16"/>
  </mergeCells>
  <pageMargins left="0.7" right="0.7" top="0.75" bottom="0.75" header="0.3" footer="0.3"/>
  <ignoredErrors>
    <ignoredError sqref="G60:I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Allegro Employee</cp:lastModifiedBy>
  <cp:lastPrinted>2014-07-10T13:04:24Z</cp:lastPrinted>
  <dcterms:created xsi:type="dcterms:W3CDTF">2012-01-10T15:56:57Z</dcterms:created>
  <dcterms:modified xsi:type="dcterms:W3CDTF">2014-12-18T16:20:01Z</dcterms:modified>
</cp:coreProperties>
</file>