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" yWindow="60" windowWidth="25050" windowHeight="6555"/>
  </bookViews>
  <sheets>
    <sheet name="Design" sheetId="1" r:id="rId1"/>
    <sheet name="Snubber" sheetId="8" r:id="rId2"/>
    <sheet name="Efficiency" sheetId="12" r:id="rId3"/>
    <sheet name="Dropout" sheetId="7" r:id="rId4"/>
    <sheet name="Constants" sheetId="2" r:id="rId5"/>
  </sheets>
  <definedNames>
    <definedName name="_xlnm.Print_Area" localSheetId="0">Design!$A$1:$I$84</definedName>
    <definedName name="_xlnm.Print_Area" localSheetId="1">Snubber!$A$1:$I$33</definedName>
  </definedNames>
  <calcPr calcId="125725" iterate="1" iterateCount="1000"/>
</workbook>
</file>

<file path=xl/calcChain.xml><?xml version="1.0" encoding="utf-8"?>
<calcChain xmlns="http://schemas.openxmlformats.org/spreadsheetml/2006/main">
  <c r="B65" i="1"/>
  <c r="B29" l="1"/>
  <c r="B27" l="1"/>
  <c r="Y40" i="7"/>
  <c r="AG5"/>
  <c r="AN5" s="1"/>
  <c r="Y7" i="12"/>
  <c r="C6" i="7"/>
  <c r="J6" s="1"/>
  <c r="C7"/>
  <c r="J7" s="1"/>
  <c r="C8"/>
  <c r="J8" s="1"/>
  <c r="C9"/>
  <c r="J9" s="1"/>
  <c r="C10"/>
  <c r="J10" s="1"/>
  <c r="C11"/>
  <c r="J11" s="1"/>
  <c r="C12"/>
  <c r="J12" s="1"/>
  <c r="C13"/>
  <c r="J13" s="1"/>
  <c r="C14"/>
  <c r="J14" s="1"/>
  <c r="C15"/>
  <c r="J15" s="1"/>
  <c r="C16"/>
  <c r="J16" s="1"/>
  <c r="C17"/>
  <c r="J17" s="1"/>
  <c r="C18"/>
  <c r="J18" s="1"/>
  <c r="C19"/>
  <c r="J19" s="1"/>
  <c r="C20"/>
  <c r="J20" s="1"/>
  <c r="C21"/>
  <c r="J21" s="1"/>
  <c r="C22"/>
  <c r="J22" s="1"/>
  <c r="C23"/>
  <c r="J23" s="1"/>
  <c r="C24"/>
  <c r="J24" s="1"/>
  <c r="C25"/>
  <c r="J25" s="1"/>
  <c r="C26"/>
  <c r="J26" s="1"/>
  <c r="C27"/>
  <c r="J27" s="1"/>
  <c r="C28"/>
  <c r="J28" s="1"/>
  <c r="C29"/>
  <c r="J29" s="1"/>
  <c r="C30"/>
  <c r="J30" s="1"/>
  <c r="C31"/>
  <c r="J31" s="1"/>
  <c r="C32"/>
  <c r="J32" s="1"/>
  <c r="C33"/>
  <c r="J33" s="1"/>
  <c r="C34"/>
  <c r="J34" s="1"/>
  <c r="C35"/>
  <c r="J35" s="1"/>
  <c r="C36"/>
  <c r="J36" s="1"/>
  <c r="C37"/>
  <c r="J37" s="1"/>
  <c r="C38"/>
  <c r="J38" s="1"/>
  <c r="C39"/>
  <c r="J39" s="1"/>
  <c r="C40"/>
  <c r="J40" s="1"/>
  <c r="C41"/>
  <c r="J41" s="1"/>
  <c r="C42"/>
  <c r="J42" s="1"/>
  <c r="C43"/>
  <c r="J43" s="1"/>
  <c r="C44"/>
  <c r="J44" s="1"/>
  <c r="C45"/>
  <c r="J45" s="1"/>
  <c r="AW15" i="12"/>
  <c r="AW16"/>
  <c r="AW14"/>
  <c r="AW5"/>
  <c r="AW6"/>
  <c r="AP5"/>
  <c r="AP6"/>
  <c r="AP7" s="1"/>
  <c r="AD16"/>
  <c r="AC14"/>
  <c r="AG11"/>
  <c r="AW4"/>
  <c r="V5"/>
  <c r="AC5" s="1"/>
  <c r="V6"/>
  <c r="AC6" s="1"/>
  <c r="AC4"/>
  <c r="I14"/>
  <c r="B5"/>
  <c r="I5" s="1"/>
  <c r="C29" i="1"/>
  <c r="C28"/>
  <c r="B28"/>
  <c r="D60" i="2"/>
  <c r="C60"/>
  <c r="B60"/>
  <c r="AP15" i="12"/>
  <c r="AP16"/>
  <c r="AP17"/>
  <c r="AP18" s="1"/>
  <c r="AQ2"/>
  <c r="AS17" s="1"/>
  <c r="W2"/>
  <c r="Y16" s="1"/>
  <c r="V15"/>
  <c r="AC15" s="1"/>
  <c r="V16"/>
  <c r="AC16" s="1"/>
  <c r="I4"/>
  <c r="B17" i="1"/>
  <c r="F4"/>
  <c r="G116" i="7"/>
  <c r="G115"/>
  <c r="B45" i="1"/>
  <c r="B62" s="1"/>
  <c r="B66" s="1"/>
  <c r="A49" i="7"/>
  <c r="AU90"/>
  <c r="C2" i="12"/>
  <c r="E6" s="1"/>
  <c r="B15"/>
  <c r="B16" s="1"/>
  <c r="I16" s="1"/>
  <c r="A21"/>
  <c r="A20"/>
  <c r="A19"/>
  <c r="A18"/>
  <c r="A17"/>
  <c r="A16"/>
  <c r="A15"/>
  <c r="A14"/>
  <c r="A50" i="7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G89"/>
  <c r="AN89" s="1"/>
  <c r="R89"/>
  <c r="Y89" s="1"/>
  <c r="C89"/>
  <c r="J89" s="1"/>
  <c r="B89"/>
  <c r="AO89" s="1"/>
  <c r="AG88"/>
  <c r="AN88" s="1"/>
  <c r="R88"/>
  <c r="Y88" s="1"/>
  <c r="C88"/>
  <c r="J88" s="1"/>
  <c r="AG87"/>
  <c r="AN87" s="1"/>
  <c r="R87"/>
  <c r="Y87" s="1"/>
  <c r="C87"/>
  <c r="J87" s="1"/>
  <c r="AG86"/>
  <c r="AN86" s="1"/>
  <c r="R86"/>
  <c r="Y86" s="1"/>
  <c r="C86"/>
  <c r="J86" s="1"/>
  <c r="AG85"/>
  <c r="AN85" s="1"/>
  <c r="R85"/>
  <c r="Y85" s="1"/>
  <c r="C85"/>
  <c r="J85" s="1"/>
  <c r="AG84"/>
  <c r="AN84" s="1"/>
  <c r="R84"/>
  <c r="Y84" s="1"/>
  <c r="C84"/>
  <c r="J84" s="1"/>
  <c r="AG83"/>
  <c r="AN83" s="1"/>
  <c r="R83"/>
  <c r="Y83" s="1"/>
  <c r="C83"/>
  <c r="J83" s="1"/>
  <c r="AG82"/>
  <c r="AN82" s="1"/>
  <c r="R82"/>
  <c r="Y82" s="1"/>
  <c r="C82"/>
  <c r="J82" s="1"/>
  <c r="AG81"/>
  <c r="AN81" s="1"/>
  <c r="R81"/>
  <c r="Y81" s="1"/>
  <c r="C81"/>
  <c r="J81" s="1"/>
  <c r="AG80"/>
  <c r="AN80" s="1"/>
  <c r="R80"/>
  <c r="Y80" s="1"/>
  <c r="C80"/>
  <c r="J80" s="1"/>
  <c r="AG79"/>
  <c r="AN79" s="1"/>
  <c r="R79"/>
  <c r="Y79" s="1"/>
  <c r="C79"/>
  <c r="J79" s="1"/>
  <c r="AG78"/>
  <c r="AN78" s="1"/>
  <c r="R78"/>
  <c r="Y78" s="1"/>
  <c r="C78"/>
  <c r="J78" s="1"/>
  <c r="AG77"/>
  <c r="AN77" s="1"/>
  <c r="R77"/>
  <c r="Y77" s="1"/>
  <c r="C77"/>
  <c r="J77" s="1"/>
  <c r="AG76"/>
  <c r="AN76" s="1"/>
  <c r="R76"/>
  <c r="Y76" s="1"/>
  <c r="C76"/>
  <c r="J76" s="1"/>
  <c r="AG75"/>
  <c r="AN75" s="1"/>
  <c r="R75"/>
  <c r="Y75" s="1"/>
  <c r="C75"/>
  <c r="J75" s="1"/>
  <c r="AG74"/>
  <c r="AN74" s="1"/>
  <c r="R74"/>
  <c r="Y74" s="1"/>
  <c r="C74"/>
  <c r="J74" s="1"/>
  <c r="AG73"/>
  <c r="AN73" s="1"/>
  <c r="R73"/>
  <c r="Y73" s="1"/>
  <c r="C73"/>
  <c r="J73" s="1"/>
  <c r="AG72"/>
  <c r="AN72" s="1"/>
  <c r="R72"/>
  <c r="Y72" s="1"/>
  <c r="C72"/>
  <c r="J72" s="1"/>
  <c r="AG71"/>
  <c r="AN71" s="1"/>
  <c r="R71"/>
  <c r="Y71" s="1"/>
  <c r="C71"/>
  <c r="J71" s="1"/>
  <c r="AG70"/>
  <c r="AN70" s="1"/>
  <c r="R70"/>
  <c r="Y70" s="1"/>
  <c r="C70"/>
  <c r="J70" s="1"/>
  <c r="AG69"/>
  <c r="AN69" s="1"/>
  <c r="R69"/>
  <c r="Y69" s="1"/>
  <c r="C69"/>
  <c r="J69" s="1"/>
  <c r="AG68"/>
  <c r="AN68" s="1"/>
  <c r="R68"/>
  <c r="Y68" s="1"/>
  <c r="C68"/>
  <c r="J68" s="1"/>
  <c r="AG67"/>
  <c r="AN67" s="1"/>
  <c r="R67"/>
  <c r="Y67" s="1"/>
  <c r="C67"/>
  <c r="J67" s="1"/>
  <c r="AG66"/>
  <c r="AN66" s="1"/>
  <c r="R66"/>
  <c r="Y66" s="1"/>
  <c r="C66"/>
  <c r="J66" s="1"/>
  <c r="AG65"/>
  <c r="AN65" s="1"/>
  <c r="R65"/>
  <c r="Y65" s="1"/>
  <c r="C65"/>
  <c r="J65" s="1"/>
  <c r="AG64"/>
  <c r="AN64" s="1"/>
  <c r="R64"/>
  <c r="Y64" s="1"/>
  <c r="C64"/>
  <c r="J64" s="1"/>
  <c r="AG63"/>
  <c r="AN63" s="1"/>
  <c r="R63"/>
  <c r="Y63" s="1"/>
  <c r="C63"/>
  <c r="J63" s="1"/>
  <c r="AG62"/>
  <c r="AN62" s="1"/>
  <c r="R62"/>
  <c r="Y62" s="1"/>
  <c r="C62"/>
  <c r="J62" s="1"/>
  <c r="AG61"/>
  <c r="AN61" s="1"/>
  <c r="R61"/>
  <c r="Y61" s="1"/>
  <c r="C61"/>
  <c r="J61" s="1"/>
  <c r="AG60"/>
  <c r="AN60" s="1"/>
  <c r="R60"/>
  <c r="Y60" s="1"/>
  <c r="C60"/>
  <c r="J60" s="1"/>
  <c r="AG59"/>
  <c r="AN59" s="1"/>
  <c r="R59"/>
  <c r="Y59" s="1"/>
  <c r="C59"/>
  <c r="J59" s="1"/>
  <c r="AG58"/>
  <c r="AN58" s="1"/>
  <c r="R58"/>
  <c r="Y58" s="1"/>
  <c r="C58"/>
  <c r="J58" s="1"/>
  <c r="AG57"/>
  <c r="AN57" s="1"/>
  <c r="R57"/>
  <c r="Y57" s="1"/>
  <c r="C57"/>
  <c r="J57" s="1"/>
  <c r="AG56"/>
  <c r="AN56" s="1"/>
  <c r="R56"/>
  <c r="Y56" s="1"/>
  <c r="C56"/>
  <c r="J56" s="1"/>
  <c r="AG55"/>
  <c r="AN55" s="1"/>
  <c r="R55"/>
  <c r="Y55" s="1"/>
  <c r="C55"/>
  <c r="J55" s="1"/>
  <c r="AG54"/>
  <c r="AN54" s="1"/>
  <c r="R54"/>
  <c r="Y54" s="1"/>
  <c r="C54"/>
  <c r="J54" s="1"/>
  <c r="AG53"/>
  <c r="AN53" s="1"/>
  <c r="R53"/>
  <c r="Y53" s="1"/>
  <c r="C53"/>
  <c r="J53" s="1"/>
  <c r="AG52"/>
  <c r="AN52" s="1"/>
  <c r="R52"/>
  <c r="Y52" s="1"/>
  <c r="C52"/>
  <c r="J52" s="1"/>
  <c r="AG51"/>
  <c r="AN51" s="1"/>
  <c r="R51"/>
  <c r="Y51" s="1"/>
  <c r="C51"/>
  <c r="J51" s="1"/>
  <c r="AG50"/>
  <c r="AN50" s="1"/>
  <c r="R50"/>
  <c r="Y50" s="1"/>
  <c r="C50"/>
  <c r="J50" s="1"/>
  <c r="AG49"/>
  <c r="AN49" s="1"/>
  <c r="R49"/>
  <c r="Y49" s="1"/>
  <c r="C49"/>
  <c r="J49" s="1"/>
  <c r="AG6"/>
  <c r="AN6" s="1"/>
  <c r="AG7"/>
  <c r="AN7" s="1"/>
  <c r="AG8"/>
  <c r="AN8" s="1"/>
  <c r="AG9"/>
  <c r="AN9" s="1"/>
  <c r="AG10"/>
  <c r="AN10" s="1"/>
  <c r="AG11"/>
  <c r="AN11" s="1"/>
  <c r="AG12"/>
  <c r="AN12" s="1"/>
  <c r="AG13"/>
  <c r="AN13" s="1"/>
  <c r="AG14"/>
  <c r="AN14" s="1"/>
  <c r="AG15"/>
  <c r="AN15" s="1"/>
  <c r="AG16"/>
  <c r="AN16" s="1"/>
  <c r="AG17"/>
  <c r="AN17" s="1"/>
  <c r="AG18"/>
  <c r="AN18" s="1"/>
  <c r="AG19"/>
  <c r="AN19" s="1"/>
  <c r="AG20"/>
  <c r="AN20" s="1"/>
  <c r="AG21"/>
  <c r="AN21" s="1"/>
  <c r="AG22"/>
  <c r="AN22" s="1"/>
  <c r="AG23"/>
  <c r="AN23" s="1"/>
  <c r="AG24"/>
  <c r="AN24" s="1"/>
  <c r="AG25"/>
  <c r="AN25" s="1"/>
  <c r="AG26"/>
  <c r="AN26" s="1"/>
  <c r="AG27"/>
  <c r="AN27" s="1"/>
  <c r="AG28"/>
  <c r="AN28" s="1"/>
  <c r="AG29"/>
  <c r="AN29" s="1"/>
  <c r="AG30"/>
  <c r="AN30" s="1"/>
  <c r="AG31"/>
  <c r="AN31" s="1"/>
  <c r="AG32"/>
  <c r="AN32" s="1"/>
  <c r="AG33"/>
  <c r="AN33" s="1"/>
  <c r="AG34"/>
  <c r="AN34" s="1"/>
  <c r="AG35"/>
  <c r="AN35" s="1"/>
  <c r="AG36"/>
  <c r="AN36" s="1"/>
  <c r="AG37"/>
  <c r="AN37" s="1"/>
  <c r="AG38"/>
  <c r="AN38" s="1"/>
  <c r="AG39"/>
  <c r="AN39" s="1"/>
  <c r="AG40"/>
  <c r="AN40" s="1"/>
  <c r="AG41"/>
  <c r="AN41" s="1"/>
  <c r="AG42"/>
  <c r="AN42" s="1"/>
  <c r="AG43"/>
  <c r="AN43" s="1"/>
  <c r="AG44"/>
  <c r="AN44" s="1"/>
  <c r="AG45"/>
  <c r="AN45" s="1"/>
  <c r="B45"/>
  <c r="AO45" s="1"/>
  <c r="R6"/>
  <c r="Y6" s="1"/>
  <c r="R7"/>
  <c r="Y7" s="1"/>
  <c r="R8"/>
  <c r="Y8" s="1"/>
  <c r="R9"/>
  <c r="Y9" s="1"/>
  <c r="R10"/>
  <c r="Y10" s="1"/>
  <c r="R11"/>
  <c r="Y11" s="1"/>
  <c r="R12"/>
  <c r="Y12" s="1"/>
  <c r="R13"/>
  <c r="Y13" s="1"/>
  <c r="R14"/>
  <c r="Y14" s="1"/>
  <c r="R15"/>
  <c r="Y15" s="1"/>
  <c r="R16"/>
  <c r="Y16" s="1"/>
  <c r="R17"/>
  <c r="Y17" s="1"/>
  <c r="R18"/>
  <c r="Y18" s="1"/>
  <c r="R19"/>
  <c r="Y19" s="1"/>
  <c r="R20"/>
  <c r="Y20" s="1"/>
  <c r="R21"/>
  <c r="Y21" s="1"/>
  <c r="R22"/>
  <c r="Y22" s="1"/>
  <c r="R23"/>
  <c r="Y23" s="1"/>
  <c r="R24"/>
  <c r="Y24" s="1"/>
  <c r="R25"/>
  <c r="Y25" s="1"/>
  <c r="R26"/>
  <c r="Y26" s="1"/>
  <c r="R27"/>
  <c r="Y27" s="1"/>
  <c r="R28"/>
  <c r="Y28" s="1"/>
  <c r="R29"/>
  <c r="Y29" s="1"/>
  <c r="R30"/>
  <c r="Y30" s="1"/>
  <c r="R31"/>
  <c r="Y31" s="1"/>
  <c r="R32"/>
  <c r="Y32" s="1"/>
  <c r="R33"/>
  <c r="Y33" s="1"/>
  <c r="R34"/>
  <c r="Y34" s="1"/>
  <c r="R35"/>
  <c r="Y35" s="1"/>
  <c r="R36"/>
  <c r="Y36" s="1"/>
  <c r="R37"/>
  <c r="Y37" s="1"/>
  <c r="R38"/>
  <c r="Y38" s="1"/>
  <c r="R39"/>
  <c r="Y39" s="1"/>
  <c r="R40"/>
  <c r="R41"/>
  <c r="Y41" s="1"/>
  <c r="R42"/>
  <c r="Y42" s="1"/>
  <c r="R43"/>
  <c r="Y43" s="1"/>
  <c r="R44"/>
  <c r="Y44" s="1"/>
  <c r="R45"/>
  <c r="Y45" s="1"/>
  <c r="R5"/>
  <c r="Y5" s="1"/>
  <c r="B11" i="8"/>
  <c r="B12" s="1"/>
  <c r="C4"/>
  <c r="B14" s="1"/>
  <c r="C5" i="7"/>
  <c r="J5" s="1"/>
  <c r="AG5" i="12" l="1"/>
  <c r="AD18"/>
  <c r="U45" i="7"/>
  <c r="AJ45"/>
  <c r="AG7" i="12"/>
  <c r="AD20"/>
  <c r="AG9"/>
  <c r="AD14"/>
  <c r="Y17"/>
  <c r="AS18"/>
  <c r="BA4"/>
  <c r="AD8"/>
  <c r="AD6"/>
  <c r="AG18"/>
  <c r="Y18"/>
  <c r="AK45" i="7"/>
  <c r="Z4" i="12"/>
  <c r="AX4"/>
  <c r="AG10"/>
  <c r="AG8"/>
  <c r="AG6"/>
  <c r="Z14"/>
  <c r="AD21"/>
  <c r="AD19"/>
  <c r="AD17"/>
  <c r="AD15"/>
  <c r="Y11"/>
  <c r="Y21"/>
  <c r="AS8"/>
  <c r="F89" i="7"/>
  <c r="V45"/>
  <c r="U89"/>
  <c r="AJ89"/>
  <c r="AX14" i="12"/>
  <c r="AD10"/>
  <c r="AG20"/>
  <c r="AG16"/>
  <c r="Y8"/>
  <c r="AS14"/>
  <c r="G45" i="7"/>
  <c r="AD11" i="12"/>
  <c r="AD9"/>
  <c r="AD7"/>
  <c r="AD5"/>
  <c r="AG21"/>
  <c r="AG19"/>
  <c r="AG17"/>
  <c r="AG15"/>
  <c r="Y4"/>
  <c r="Y14"/>
  <c r="AS4"/>
  <c r="V89" i="7"/>
  <c r="AK89"/>
  <c r="F45"/>
  <c r="G89"/>
  <c r="Z45"/>
  <c r="Z89"/>
  <c r="AP19" i="12"/>
  <c r="AW18"/>
  <c r="AT7"/>
  <c r="AP8"/>
  <c r="AW7"/>
  <c r="AW17"/>
  <c r="V17"/>
  <c r="B6"/>
  <c r="AX11"/>
  <c r="AX10"/>
  <c r="AX9"/>
  <c r="AX8"/>
  <c r="AX7"/>
  <c r="AX6"/>
  <c r="AX5"/>
  <c r="AX21"/>
  <c r="AX20"/>
  <c r="AX19"/>
  <c r="AX18"/>
  <c r="AX17"/>
  <c r="AX16"/>
  <c r="AX15"/>
  <c r="Y9"/>
  <c r="Y5"/>
  <c r="Y19"/>
  <c r="Y15"/>
  <c r="AS9"/>
  <c r="AS5"/>
  <c r="AS19"/>
  <c r="AS15"/>
  <c r="I15"/>
  <c r="V7"/>
  <c r="AD4"/>
  <c r="AT4"/>
  <c r="AG4"/>
  <c r="Z7"/>
  <c r="Z6"/>
  <c r="Z5"/>
  <c r="AG14"/>
  <c r="Z17"/>
  <c r="Z16"/>
  <c r="Z15"/>
  <c r="BA11"/>
  <c r="BA10"/>
  <c r="BA9"/>
  <c r="BA8"/>
  <c r="BA7"/>
  <c r="BA6"/>
  <c r="BA5"/>
  <c r="AT14"/>
  <c r="BA21"/>
  <c r="BA20"/>
  <c r="BA19"/>
  <c r="BA18"/>
  <c r="BA17"/>
  <c r="BA16"/>
  <c r="BA15"/>
  <c r="Y10"/>
  <c r="Y6"/>
  <c r="Y20"/>
  <c r="AS10"/>
  <c r="AS6"/>
  <c r="AS20"/>
  <c r="AS16"/>
  <c r="AT6"/>
  <c r="AT5"/>
  <c r="BA14"/>
  <c r="AT18"/>
  <c r="AT17"/>
  <c r="AT16"/>
  <c r="AT15"/>
  <c r="AS11"/>
  <c r="AS7"/>
  <c r="AS21"/>
  <c r="J11"/>
  <c r="J10"/>
  <c r="J9"/>
  <c r="J8"/>
  <c r="J7"/>
  <c r="J6"/>
  <c r="J5"/>
  <c r="J21"/>
  <c r="J20"/>
  <c r="J19"/>
  <c r="J18"/>
  <c r="J17"/>
  <c r="J16"/>
  <c r="J15"/>
  <c r="E21"/>
  <c r="E17"/>
  <c r="E11"/>
  <c r="E7"/>
  <c r="M11"/>
  <c r="M10"/>
  <c r="M9"/>
  <c r="M8"/>
  <c r="M7"/>
  <c r="M6"/>
  <c r="M5"/>
  <c r="F14"/>
  <c r="M21"/>
  <c r="M20"/>
  <c r="M19"/>
  <c r="M18"/>
  <c r="M17"/>
  <c r="M16"/>
  <c r="M15"/>
  <c r="E14"/>
  <c r="E18"/>
  <c r="E4"/>
  <c r="E8"/>
  <c r="F6"/>
  <c r="F5"/>
  <c r="M14"/>
  <c r="F16"/>
  <c r="F15"/>
  <c r="E19"/>
  <c r="E15"/>
  <c r="E9"/>
  <c r="E5"/>
  <c r="J14"/>
  <c r="E20"/>
  <c r="E16"/>
  <c r="E10"/>
  <c r="K45" i="7"/>
  <c r="K89"/>
  <c r="F4" i="12"/>
  <c r="J4"/>
  <c r="B63" i="1"/>
  <c r="B88" i="7"/>
  <c r="M4" i="12"/>
  <c r="B17"/>
  <c r="I17" s="1"/>
  <c r="B44" i="7"/>
  <c r="AO88" l="1"/>
  <c r="Z88"/>
  <c r="G88"/>
  <c r="AK88"/>
  <c r="V88"/>
  <c r="F88"/>
  <c r="AJ88"/>
  <c r="U88"/>
  <c r="AO44"/>
  <c r="Z44"/>
  <c r="G44"/>
  <c r="AK44"/>
  <c r="V44"/>
  <c r="F44"/>
  <c r="AJ44"/>
  <c r="U44"/>
  <c r="AP20" i="12"/>
  <c r="AW19"/>
  <c r="AC17"/>
  <c r="V18"/>
  <c r="AT19"/>
  <c r="F17"/>
  <c r="AC7"/>
  <c r="V8"/>
  <c r="I6"/>
  <c r="B7"/>
  <c r="AT8"/>
  <c r="AP9"/>
  <c r="AW8"/>
  <c r="B87" i="7"/>
  <c r="K88"/>
  <c r="K44"/>
  <c r="B18" i="12"/>
  <c r="B43" i="7"/>
  <c r="B42" i="2"/>
  <c r="AO43" i="7" l="1"/>
  <c r="Z43"/>
  <c r="G43"/>
  <c r="AK43"/>
  <c r="AJ43"/>
  <c r="V43"/>
  <c r="U43"/>
  <c r="F43"/>
  <c r="AO87"/>
  <c r="Z87"/>
  <c r="F87"/>
  <c r="AK87"/>
  <c r="V87"/>
  <c r="U87"/>
  <c r="G87"/>
  <c r="AJ87"/>
  <c r="I18" i="12"/>
  <c r="F18"/>
  <c r="I7"/>
  <c r="B8"/>
  <c r="F7"/>
  <c r="AW20"/>
  <c r="AP21"/>
  <c r="AT20"/>
  <c r="AT9"/>
  <c r="AW9"/>
  <c r="AP10"/>
  <c r="AC8"/>
  <c r="V9"/>
  <c r="Z8"/>
  <c r="AC18"/>
  <c r="V19"/>
  <c r="Z18"/>
  <c r="B86" i="7"/>
  <c r="K87"/>
  <c r="K43"/>
  <c r="B19" i="12"/>
  <c r="B42" i="7"/>
  <c r="B12" i="2"/>
  <c r="D12"/>
  <c r="C12"/>
  <c r="B19" i="1"/>
  <c r="B53"/>
  <c r="B55" s="1"/>
  <c r="D4" i="2"/>
  <c r="B4"/>
  <c r="AO42" i="7" l="1"/>
  <c r="Z42"/>
  <c r="F42"/>
  <c r="AK42"/>
  <c r="V42"/>
  <c r="G42"/>
  <c r="AJ42"/>
  <c r="U42"/>
  <c r="AO86"/>
  <c r="Z86"/>
  <c r="AK86"/>
  <c r="F86"/>
  <c r="V86"/>
  <c r="G86"/>
  <c r="U86"/>
  <c r="AJ86"/>
  <c r="AC9" i="12"/>
  <c r="V10"/>
  <c r="Z9"/>
  <c r="AT10"/>
  <c r="AW10"/>
  <c r="AP11"/>
  <c r="AW21"/>
  <c r="AT21"/>
  <c r="I19"/>
  <c r="F19"/>
  <c r="AC19"/>
  <c r="V20"/>
  <c r="Z19"/>
  <c r="I8"/>
  <c r="B9"/>
  <c r="F8"/>
  <c r="K86" i="7"/>
  <c r="B85"/>
  <c r="K42"/>
  <c r="B20" i="12"/>
  <c r="B21"/>
  <c r="B41" i="7"/>
  <c r="C22" i="1"/>
  <c r="B56"/>
  <c r="B22"/>
  <c r="D22"/>
  <c r="AO41" i="7" l="1"/>
  <c r="Z41"/>
  <c r="F41"/>
  <c r="AK41"/>
  <c r="U41"/>
  <c r="G41"/>
  <c r="AJ41"/>
  <c r="V41"/>
  <c r="AO85"/>
  <c r="Z85"/>
  <c r="G85"/>
  <c r="AK85"/>
  <c r="V85"/>
  <c r="AJ85"/>
  <c r="U85"/>
  <c r="F85"/>
  <c r="AT11" i="12"/>
  <c r="AW11"/>
  <c r="AC10"/>
  <c r="V11"/>
  <c r="Z10"/>
  <c r="I21"/>
  <c r="F21"/>
  <c r="I9"/>
  <c r="B10"/>
  <c r="F9"/>
  <c r="I20"/>
  <c r="F20"/>
  <c r="AC20"/>
  <c r="V21"/>
  <c r="Z20"/>
  <c r="K85" i="7"/>
  <c r="B84"/>
  <c r="K41"/>
  <c r="B40"/>
  <c r="AO84" l="1"/>
  <c r="Z84"/>
  <c r="G84"/>
  <c r="AK84"/>
  <c r="V84"/>
  <c r="AJ84"/>
  <c r="F84"/>
  <c r="U84"/>
  <c r="AO40"/>
  <c r="Z40"/>
  <c r="G40"/>
  <c r="AK40"/>
  <c r="F40"/>
  <c r="V40"/>
  <c r="AJ40"/>
  <c r="U40"/>
  <c r="AC21" i="12"/>
  <c r="Z21"/>
  <c r="I10"/>
  <c r="B11"/>
  <c r="F10"/>
  <c r="AC11"/>
  <c r="Z11"/>
  <c r="K84" i="7"/>
  <c r="B83"/>
  <c r="K40"/>
  <c r="B39"/>
  <c r="AO39" l="1"/>
  <c r="Z39"/>
  <c r="G39"/>
  <c r="AK39"/>
  <c r="AJ39"/>
  <c r="V39"/>
  <c r="F39"/>
  <c r="U39"/>
  <c r="AO83"/>
  <c r="Z83"/>
  <c r="F83"/>
  <c r="AK83"/>
  <c r="V83"/>
  <c r="U83"/>
  <c r="AJ83"/>
  <c r="G83"/>
  <c r="I11" i="12"/>
  <c r="F11"/>
  <c r="K83" i="7"/>
  <c r="B82"/>
  <c r="K39"/>
  <c r="B38"/>
  <c r="AO38" l="1"/>
  <c r="Z38"/>
  <c r="F38"/>
  <c r="AK38"/>
  <c r="V38"/>
  <c r="AJ38"/>
  <c r="U38"/>
  <c r="G38"/>
  <c r="AO82"/>
  <c r="Z82"/>
  <c r="F82"/>
  <c r="AK82"/>
  <c r="V82"/>
  <c r="U82"/>
  <c r="AJ82"/>
  <c r="G82"/>
  <c r="B81"/>
  <c r="K82"/>
  <c r="K38"/>
  <c r="B37"/>
  <c r="AO81" l="1"/>
  <c r="Z81"/>
  <c r="G81"/>
  <c r="AK81"/>
  <c r="V81"/>
  <c r="AJ81"/>
  <c r="U81"/>
  <c r="F81"/>
  <c r="AO37"/>
  <c r="Z37"/>
  <c r="F37"/>
  <c r="AK37"/>
  <c r="U37"/>
  <c r="AJ37"/>
  <c r="V37"/>
  <c r="G37"/>
  <c r="K81"/>
  <c r="B80"/>
  <c r="K37"/>
  <c r="B36"/>
  <c r="AO80" l="1"/>
  <c r="Z80"/>
  <c r="G80"/>
  <c r="AK80"/>
  <c r="V80"/>
  <c r="AJ80"/>
  <c r="U80"/>
  <c r="F80"/>
  <c r="AO36"/>
  <c r="Z36"/>
  <c r="G36"/>
  <c r="AK36"/>
  <c r="V36"/>
  <c r="F36"/>
  <c r="AJ36"/>
  <c r="U36"/>
  <c r="K80"/>
  <c r="B79"/>
  <c r="K36"/>
  <c r="B35"/>
  <c r="AO79" l="1"/>
  <c r="Z79"/>
  <c r="F79"/>
  <c r="AK79"/>
  <c r="V79"/>
  <c r="U79"/>
  <c r="G79"/>
  <c r="AJ79"/>
  <c r="AO35"/>
  <c r="Z35"/>
  <c r="G35"/>
  <c r="AK35"/>
  <c r="AJ35"/>
  <c r="V35"/>
  <c r="U35"/>
  <c r="F35"/>
  <c r="K79"/>
  <c r="B78"/>
  <c r="K35"/>
  <c r="B34"/>
  <c r="AO78" l="1"/>
  <c r="Z78"/>
  <c r="F78"/>
  <c r="AK78"/>
  <c r="V78"/>
  <c r="G78"/>
  <c r="U78"/>
  <c r="AJ78"/>
  <c r="AO34"/>
  <c r="Z34"/>
  <c r="F34"/>
  <c r="AK34"/>
  <c r="V34"/>
  <c r="G34"/>
  <c r="AJ34"/>
  <c r="U34"/>
  <c r="K78"/>
  <c r="B77"/>
  <c r="K34"/>
  <c r="B33"/>
  <c r="AO77" l="1"/>
  <c r="Z77"/>
  <c r="G77"/>
  <c r="AK77"/>
  <c r="V77"/>
  <c r="AJ77"/>
  <c r="U77"/>
  <c r="F77"/>
  <c r="AO33"/>
  <c r="Z33"/>
  <c r="F33"/>
  <c r="AK33"/>
  <c r="U33"/>
  <c r="G33"/>
  <c r="AJ33"/>
  <c r="V33"/>
  <c r="K77"/>
  <c r="B76"/>
  <c r="K33"/>
  <c r="B32"/>
  <c r="AO76" l="1"/>
  <c r="Z76"/>
  <c r="G76"/>
  <c r="AK76"/>
  <c r="V76"/>
  <c r="AJ76"/>
  <c r="F76"/>
  <c r="U76"/>
  <c r="AO32"/>
  <c r="Z32"/>
  <c r="G32"/>
  <c r="AK32"/>
  <c r="F32"/>
  <c r="V32"/>
  <c r="AJ32"/>
  <c r="U32"/>
  <c r="K76"/>
  <c r="B75"/>
  <c r="K32"/>
  <c r="B31"/>
  <c r="AO75" l="1"/>
  <c r="Z75"/>
  <c r="F75"/>
  <c r="AK75"/>
  <c r="V75"/>
  <c r="U75"/>
  <c r="AJ75"/>
  <c r="G75"/>
  <c r="AO31"/>
  <c r="Z31"/>
  <c r="G31"/>
  <c r="AK31"/>
  <c r="AJ31"/>
  <c r="V31"/>
  <c r="F31"/>
  <c r="U31"/>
  <c r="K75"/>
  <c r="B74"/>
  <c r="K31"/>
  <c r="B30"/>
  <c r="AO74" l="1"/>
  <c r="Z74"/>
  <c r="F74"/>
  <c r="AK74"/>
  <c r="V74"/>
  <c r="U74"/>
  <c r="AJ74"/>
  <c r="G74"/>
  <c r="AO30"/>
  <c r="Z30"/>
  <c r="F30"/>
  <c r="AK30"/>
  <c r="V30"/>
  <c r="AJ30"/>
  <c r="U30"/>
  <c r="G30"/>
  <c r="K74"/>
  <c r="B73"/>
  <c r="K30"/>
  <c r="B29"/>
  <c r="AO73" l="1"/>
  <c r="Z73"/>
  <c r="G73"/>
  <c r="AK73"/>
  <c r="V73"/>
  <c r="AJ73"/>
  <c r="U73"/>
  <c r="F73"/>
  <c r="AO29"/>
  <c r="Z29"/>
  <c r="F29"/>
  <c r="AK29"/>
  <c r="U29"/>
  <c r="AJ29"/>
  <c r="V29"/>
  <c r="G29"/>
  <c r="K73"/>
  <c r="B72"/>
  <c r="K29"/>
  <c r="B28"/>
  <c r="AO72" l="1"/>
  <c r="Z72"/>
  <c r="G72"/>
  <c r="AK72"/>
  <c r="V72"/>
  <c r="F72"/>
  <c r="AJ72"/>
  <c r="U72"/>
  <c r="AO28"/>
  <c r="Z28"/>
  <c r="G28"/>
  <c r="AK28"/>
  <c r="V28"/>
  <c r="F28"/>
  <c r="AJ28"/>
  <c r="U28"/>
  <c r="K72"/>
  <c r="B71"/>
  <c r="K28"/>
  <c r="B27"/>
  <c r="AO71" l="1"/>
  <c r="Z71"/>
  <c r="F71"/>
  <c r="AK71"/>
  <c r="V71"/>
  <c r="U71"/>
  <c r="G71"/>
  <c r="AJ71"/>
  <c r="AO27"/>
  <c r="Z27"/>
  <c r="G27"/>
  <c r="AK27"/>
  <c r="AJ27"/>
  <c r="F27"/>
  <c r="V27"/>
  <c r="U27"/>
  <c r="K71"/>
  <c r="B70"/>
  <c r="K27"/>
  <c r="B26"/>
  <c r="AO70" l="1"/>
  <c r="Z70"/>
  <c r="F70"/>
  <c r="AK70"/>
  <c r="V70"/>
  <c r="G70"/>
  <c r="U70"/>
  <c r="AJ70"/>
  <c r="AO26"/>
  <c r="Z26"/>
  <c r="F26"/>
  <c r="AK26"/>
  <c r="V26"/>
  <c r="G26"/>
  <c r="AJ26"/>
  <c r="U26"/>
  <c r="K70"/>
  <c r="B69"/>
  <c r="K26"/>
  <c r="B25"/>
  <c r="AO69" l="1"/>
  <c r="Z69"/>
  <c r="G69"/>
  <c r="AK69"/>
  <c r="V69"/>
  <c r="AJ69"/>
  <c r="U69"/>
  <c r="F69"/>
  <c r="AO25"/>
  <c r="Z25"/>
  <c r="F25"/>
  <c r="AK25"/>
  <c r="U25"/>
  <c r="G25"/>
  <c r="AJ25"/>
  <c r="V25"/>
  <c r="K69"/>
  <c r="B68"/>
  <c r="K25"/>
  <c r="B24"/>
  <c r="AO68" l="1"/>
  <c r="Z68"/>
  <c r="G68"/>
  <c r="AK68"/>
  <c r="V68"/>
  <c r="AJ68"/>
  <c r="F68"/>
  <c r="U68"/>
  <c r="AO24"/>
  <c r="Z24"/>
  <c r="G24"/>
  <c r="AK24"/>
  <c r="F24"/>
  <c r="V24"/>
  <c r="AJ24"/>
  <c r="U24"/>
  <c r="K68"/>
  <c r="B67"/>
  <c r="K24"/>
  <c r="B23"/>
  <c r="AO67" l="1"/>
  <c r="Z67"/>
  <c r="F67"/>
  <c r="AK67"/>
  <c r="V67"/>
  <c r="U67"/>
  <c r="AJ67"/>
  <c r="G67"/>
  <c r="AO23"/>
  <c r="Z23"/>
  <c r="G23"/>
  <c r="AK23"/>
  <c r="AJ23"/>
  <c r="V23"/>
  <c r="F23"/>
  <c r="U23"/>
  <c r="K67"/>
  <c r="B66"/>
  <c r="K23"/>
  <c r="B22"/>
  <c r="AO66" l="1"/>
  <c r="Z66"/>
  <c r="F66"/>
  <c r="AK66"/>
  <c r="V66"/>
  <c r="U66"/>
  <c r="AJ66"/>
  <c r="G66"/>
  <c r="AO22"/>
  <c r="Z22"/>
  <c r="F22"/>
  <c r="AK22"/>
  <c r="V22"/>
  <c r="AJ22"/>
  <c r="U22"/>
  <c r="G22"/>
  <c r="K66"/>
  <c r="B65"/>
  <c r="K22"/>
  <c r="B21"/>
  <c r="AO65" l="1"/>
  <c r="Z65"/>
  <c r="G65"/>
  <c r="AK65"/>
  <c r="V65"/>
  <c r="AJ65"/>
  <c r="U65"/>
  <c r="F65"/>
  <c r="AO21"/>
  <c r="Z21"/>
  <c r="F21"/>
  <c r="AK21"/>
  <c r="U21"/>
  <c r="G21"/>
  <c r="AJ21"/>
  <c r="V21"/>
  <c r="K65"/>
  <c r="B64"/>
  <c r="K21"/>
  <c r="B20"/>
  <c r="AO64" l="1"/>
  <c r="Z64"/>
  <c r="G64"/>
  <c r="AK64"/>
  <c r="V64"/>
  <c r="F64"/>
  <c r="AJ64"/>
  <c r="U64"/>
  <c r="AO20"/>
  <c r="Z20"/>
  <c r="G20"/>
  <c r="AK20"/>
  <c r="V20"/>
  <c r="F20"/>
  <c r="AJ20"/>
  <c r="U20"/>
  <c r="K64"/>
  <c r="B63"/>
  <c r="K20"/>
  <c r="B19"/>
  <c r="AO63" l="1"/>
  <c r="Z63"/>
  <c r="F63"/>
  <c r="AK63"/>
  <c r="V63"/>
  <c r="U63"/>
  <c r="G63"/>
  <c r="AJ63"/>
  <c r="AO19"/>
  <c r="Z19"/>
  <c r="G19"/>
  <c r="AK19"/>
  <c r="V19"/>
  <c r="AJ19"/>
  <c r="U19"/>
  <c r="F19"/>
  <c r="K63"/>
  <c r="B62"/>
  <c r="K19"/>
  <c r="B18"/>
  <c r="AO62" l="1"/>
  <c r="Z62"/>
  <c r="F62"/>
  <c r="AK62"/>
  <c r="V62"/>
  <c r="G62"/>
  <c r="U62"/>
  <c r="AJ62"/>
  <c r="AO18"/>
  <c r="Z18"/>
  <c r="F18"/>
  <c r="AK18"/>
  <c r="V18"/>
  <c r="G18"/>
  <c r="AJ18"/>
  <c r="U18"/>
  <c r="K62"/>
  <c r="B61"/>
  <c r="K18"/>
  <c r="B17"/>
  <c r="AO61" l="1"/>
  <c r="Z61"/>
  <c r="G61"/>
  <c r="AK61"/>
  <c r="V61"/>
  <c r="AJ61"/>
  <c r="U61"/>
  <c r="F61"/>
  <c r="AO17"/>
  <c r="Z17"/>
  <c r="F17"/>
  <c r="AK17"/>
  <c r="V17"/>
  <c r="U17"/>
  <c r="G17"/>
  <c r="AJ17"/>
  <c r="K61"/>
  <c r="B60"/>
  <c r="K17"/>
  <c r="B16"/>
  <c r="AO60" l="1"/>
  <c r="Z60"/>
  <c r="G60"/>
  <c r="AK60"/>
  <c r="V60"/>
  <c r="AJ60"/>
  <c r="F60"/>
  <c r="U60"/>
  <c r="AO16"/>
  <c r="Z16"/>
  <c r="G16"/>
  <c r="AK16"/>
  <c r="V16"/>
  <c r="F16"/>
  <c r="AJ16"/>
  <c r="U16"/>
  <c r="K60"/>
  <c r="B59"/>
  <c r="K16"/>
  <c r="B15"/>
  <c r="AO59" l="1"/>
  <c r="Z59"/>
  <c r="F59"/>
  <c r="AK59"/>
  <c r="V59"/>
  <c r="U59"/>
  <c r="AJ59"/>
  <c r="G59"/>
  <c r="AO15"/>
  <c r="Z15"/>
  <c r="G15"/>
  <c r="AK15"/>
  <c r="V15"/>
  <c r="AJ15"/>
  <c r="U15"/>
  <c r="F15"/>
  <c r="K59"/>
  <c r="B58"/>
  <c r="K15"/>
  <c r="B14"/>
  <c r="AO58" l="1"/>
  <c r="Z58"/>
  <c r="F58"/>
  <c r="AK58"/>
  <c r="V58"/>
  <c r="U58"/>
  <c r="AJ58"/>
  <c r="G58"/>
  <c r="AO14"/>
  <c r="Z14"/>
  <c r="F14"/>
  <c r="AK14"/>
  <c r="V14"/>
  <c r="AJ14"/>
  <c r="G14"/>
  <c r="U14"/>
  <c r="K58"/>
  <c r="B57"/>
  <c r="K14"/>
  <c r="B13"/>
  <c r="AO57" l="1"/>
  <c r="Z57"/>
  <c r="G57"/>
  <c r="AK57"/>
  <c r="V57"/>
  <c r="AJ57"/>
  <c r="U57"/>
  <c r="F57"/>
  <c r="AO13"/>
  <c r="Z13"/>
  <c r="F13"/>
  <c r="AK13"/>
  <c r="V13"/>
  <c r="U13"/>
  <c r="AJ13"/>
  <c r="G13"/>
  <c r="K57"/>
  <c r="B56"/>
  <c r="K13"/>
  <c r="B12"/>
  <c r="AO56" l="1"/>
  <c r="Z56"/>
  <c r="G56"/>
  <c r="AK56"/>
  <c r="V56"/>
  <c r="F56"/>
  <c r="AJ56"/>
  <c r="U56"/>
  <c r="AO12"/>
  <c r="Z12"/>
  <c r="G12"/>
  <c r="AK12"/>
  <c r="V12"/>
  <c r="F12"/>
  <c r="AJ12"/>
  <c r="U12"/>
  <c r="K56"/>
  <c r="B55"/>
  <c r="K12"/>
  <c r="B11"/>
  <c r="AO55" l="1"/>
  <c r="Z55"/>
  <c r="F55"/>
  <c r="AK55"/>
  <c r="V55"/>
  <c r="U55"/>
  <c r="G55"/>
  <c r="AJ55"/>
  <c r="AO11"/>
  <c r="Z11"/>
  <c r="G11"/>
  <c r="AK11"/>
  <c r="V11"/>
  <c r="AJ11"/>
  <c r="U11"/>
  <c r="F11"/>
  <c r="K55"/>
  <c r="B54"/>
  <c r="K11"/>
  <c r="B10"/>
  <c r="AO54" l="1"/>
  <c r="Z54"/>
  <c r="F54"/>
  <c r="AK54"/>
  <c r="V54"/>
  <c r="AJ54"/>
  <c r="G54"/>
  <c r="U54"/>
  <c r="AO10"/>
  <c r="Z10"/>
  <c r="F10"/>
  <c r="AK10"/>
  <c r="V10"/>
  <c r="G10"/>
  <c r="AJ10"/>
  <c r="U10"/>
  <c r="K54"/>
  <c r="B53"/>
  <c r="K10"/>
  <c r="B9"/>
  <c r="AO53" l="1"/>
  <c r="Z53"/>
  <c r="G53"/>
  <c r="AK53"/>
  <c r="V53"/>
  <c r="AJ53"/>
  <c r="U53"/>
  <c r="F53"/>
  <c r="AO9"/>
  <c r="Z9"/>
  <c r="F9"/>
  <c r="AK9"/>
  <c r="V9"/>
  <c r="U9"/>
  <c r="G9"/>
  <c r="AJ9"/>
  <c r="K53"/>
  <c r="B52"/>
  <c r="K9"/>
  <c r="B8"/>
  <c r="AO52" l="1"/>
  <c r="Z52"/>
  <c r="G52"/>
  <c r="AK52"/>
  <c r="V52"/>
  <c r="AJ52"/>
  <c r="F52"/>
  <c r="U52"/>
  <c r="AO8"/>
  <c r="Z8"/>
  <c r="G8"/>
  <c r="AK8"/>
  <c r="V8"/>
  <c r="F8"/>
  <c r="AJ8"/>
  <c r="U8"/>
  <c r="K52"/>
  <c r="B51"/>
  <c r="K8"/>
  <c r="B7"/>
  <c r="AO51" l="1"/>
  <c r="Z51"/>
  <c r="F51"/>
  <c r="AK51"/>
  <c r="V51"/>
  <c r="U51"/>
  <c r="AJ51"/>
  <c r="G51"/>
  <c r="AO7"/>
  <c r="Z7"/>
  <c r="G7"/>
  <c r="AK7"/>
  <c r="V7"/>
  <c r="AJ7"/>
  <c r="U7"/>
  <c r="F7"/>
  <c r="K51"/>
  <c r="B50"/>
  <c r="K7"/>
  <c r="B6"/>
  <c r="AO50" l="1"/>
  <c r="Z50"/>
  <c r="F50"/>
  <c r="AK50"/>
  <c r="V50"/>
  <c r="U50"/>
  <c r="AJ50"/>
  <c r="G50"/>
  <c r="AO6"/>
  <c r="Z6"/>
  <c r="F6"/>
  <c r="AK6"/>
  <c r="V6"/>
  <c r="AJ6"/>
  <c r="G6"/>
  <c r="U6"/>
  <c r="K50"/>
  <c r="B49"/>
  <c r="K6"/>
  <c r="B5"/>
  <c r="B43" i="1"/>
  <c r="B58"/>
  <c r="B16" i="8"/>
  <c r="AJ49" i="7" l="1"/>
  <c r="U49"/>
  <c r="AK49"/>
  <c r="V49"/>
  <c r="F49"/>
  <c r="Z49"/>
  <c r="AO49"/>
  <c r="G49"/>
  <c r="AJ5"/>
  <c r="U5"/>
  <c r="F5"/>
  <c r="AK5"/>
  <c r="V5"/>
  <c r="AO5"/>
  <c r="Z5"/>
  <c r="G5"/>
  <c r="K5"/>
  <c r="K49"/>
  <c r="B23" i="1" l="1"/>
  <c r="C23"/>
  <c r="D23"/>
  <c r="B25"/>
  <c r="E26"/>
  <c r="B30"/>
  <c r="B32"/>
  <c r="C32"/>
  <c r="B33"/>
  <c r="B36"/>
  <c r="B37"/>
  <c r="B38"/>
  <c r="B39"/>
  <c r="B40"/>
  <c r="B46"/>
  <c r="B48"/>
  <c r="B50"/>
  <c r="B51"/>
  <c r="B60"/>
  <c r="B61"/>
  <c r="C65"/>
  <c r="D5" i="7"/>
  <c r="E5"/>
  <c r="H5"/>
  <c r="I5"/>
  <c r="L5"/>
  <c r="M5"/>
  <c r="N5"/>
  <c r="O5"/>
  <c r="P5"/>
  <c r="Q5"/>
  <c r="S5"/>
  <c r="T5"/>
  <c r="W5"/>
  <c r="X5"/>
  <c r="AA5"/>
  <c r="AB5"/>
  <c r="AC5"/>
  <c r="AD5"/>
  <c r="AE5"/>
  <c r="AF5"/>
  <c r="AH5"/>
  <c r="AI5"/>
  <c r="AL5"/>
  <c r="AM5"/>
  <c r="AP5"/>
  <c r="AQ5"/>
  <c r="AR5"/>
  <c r="AS5"/>
  <c r="AT5"/>
  <c r="AU5"/>
  <c r="D6"/>
  <c r="E6"/>
  <c r="H6"/>
  <c r="I6"/>
  <c r="L6"/>
  <c r="M6"/>
  <c r="N6"/>
  <c r="O6"/>
  <c r="P6"/>
  <c r="Q6"/>
  <c r="S6"/>
  <c r="T6"/>
  <c r="W6"/>
  <c r="X6"/>
  <c r="AA6"/>
  <c r="AB6"/>
  <c r="AC6"/>
  <c r="AD6"/>
  <c r="AE6"/>
  <c r="AF6"/>
  <c r="AH6"/>
  <c r="AI6"/>
  <c r="AL6"/>
  <c r="AM6"/>
  <c r="AP6"/>
  <c r="AQ6"/>
  <c r="AR6"/>
  <c r="AS6"/>
  <c r="AT6"/>
  <c r="AU6"/>
  <c r="D7"/>
  <c r="E7"/>
  <c r="H7"/>
  <c r="I7"/>
  <c r="L7"/>
  <c r="M7"/>
  <c r="N7"/>
  <c r="O7"/>
  <c r="P7"/>
  <c r="Q7"/>
  <c r="S7"/>
  <c r="T7"/>
  <c r="W7"/>
  <c r="X7"/>
  <c r="AA7"/>
  <c r="AB7"/>
  <c r="AC7"/>
  <c r="AD7"/>
  <c r="AE7"/>
  <c r="AF7"/>
  <c r="AH7"/>
  <c r="AI7"/>
  <c r="AL7"/>
  <c r="AM7"/>
  <c r="AP7"/>
  <c r="AQ7"/>
  <c r="AR7"/>
  <c r="AS7"/>
  <c r="AT7"/>
  <c r="AU7"/>
  <c r="D8"/>
  <c r="E8"/>
  <c r="H8"/>
  <c r="I8"/>
  <c r="L8"/>
  <c r="M8"/>
  <c r="N8"/>
  <c r="O8"/>
  <c r="P8"/>
  <c r="Q8"/>
  <c r="S8"/>
  <c r="T8"/>
  <c r="W8"/>
  <c r="X8"/>
  <c r="AA8"/>
  <c r="AB8"/>
  <c r="AC8"/>
  <c r="AD8"/>
  <c r="AE8"/>
  <c r="AF8"/>
  <c r="AH8"/>
  <c r="AI8"/>
  <c r="AL8"/>
  <c r="AM8"/>
  <c r="AP8"/>
  <c r="AQ8"/>
  <c r="AR8"/>
  <c r="AS8"/>
  <c r="AT8"/>
  <c r="AU8"/>
  <c r="D9"/>
  <c r="E9"/>
  <c r="H9"/>
  <c r="I9"/>
  <c r="L9"/>
  <c r="M9"/>
  <c r="N9"/>
  <c r="O9"/>
  <c r="P9"/>
  <c r="Q9"/>
  <c r="S9"/>
  <c r="T9"/>
  <c r="W9"/>
  <c r="X9"/>
  <c r="AA9"/>
  <c r="AB9"/>
  <c r="AC9"/>
  <c r="AD9"/>
  <c r="AE9"/>
  <c r="AF9"/>
  <c r="AH9"/>
  <c r="AI9"/>
  <c r="AL9"/>
  <c r="AM9"/>
  <c r="AP9"/>
  <c r="AQ9"/>
  <c r="AR9"/>
  <c r="AS9"/>
  <c r="AT9"/>
  <c r="AU9"/>
  <c r="D10"/>
  <c r="E10"/>
  <c r="H10"/>
  <c r="I10"/>
  <c r="L10"/>
  <c r="M10"/>
  <c r="N10"/>
  <c r="O10"/>
  <c r="P10"/>
  <c r="Q10"/>
  <c r="S10"/>
  <c r="T10"/>
  <c r="W10"/>
  <c r="X10"/>
  <c r="AA10"/>
  <c r="AB10"/>
  <c r="AC10"/>
  <c r="AD10"/>
  <c r="AE10"/>
  <c r="AF10"/>
  <c r="AH10"/>
  <c r="AI10"/>
  <c r="AL10"/>
  <c r="AM10"/>
  <c r="AP10"/>
  <c r="AQ10"/>
  <c r="AR10"/>
  <c r="AS10"/>
  <c r="AT10"/>
  <c r="AU10"/>
  <c r="D11"/>
  <c r="E11"/>
  <c r="H11"/>
  <c r="I11"/>
  <c r="L11"/>
  <c r="M11"/>
  <c r="N11"/>
  <c r="O11"/>
  <c r="P11"/>
  <c r="Q11"/>
  <c r="S11"/>
  <c r="T11"/>
  <c r="W11"/>
  <c r="X11"/>
  <c r="AA11"/>
  <c r="AB11"/>
  <c r="AC11"/>
  <c r="AD11"/>
  <c r="AE11"/>
  <c r="AF11"/>
  <c r="AH11"/>
  <c r="AI11"/>
  <c r="AL11"/>
  <c r="AM11"/>
  <c r="AP11"/>
  <c r="AQ11"/>
  <c r="AR11"/>
  <c r="AS11"/>
  <c r="AT11"/>
  <c r="AU11"/>
  <c r="D12"/>
  <c r="E12"/>
  <c r="H12"/>
  <c r="I12"/>
  <c r="L12"/>
  <c r="M12"/>
  <c r="N12"/>
  <c r="O12"/>
  <c r="P12"/>
  <c r="Q12"/>
  <c r="S12"/>
  <c r="T12"/>
  <c r="W12"/>
  <c r="X12"/>
  <c r="AA12"/>
  <c r="AB12"/>
  <c r="AC12"/>
  <c r="AD12"/>
  <c r="AE12"/>
  <c r="AF12"/>
  <c r="AH12"/>
  <c r="AI12"/>
  <c r="AL12"/>
  <c r="AM12"/>
  <c r="AP12"/>
  <c r="AQ12"/>
  <c r="AR12"/>
  <c r="AS12"/>
  <c r="AT12"/>
  <c r="AU12"/>
  <c r="D13"/>
  <c r="E13"/>
  <c r="H13"/>
  <c r="I13"/>
  <c r="L13"/>
  <c r="M13"/>
  <c r="N13"/>
  <c r="O13"/>
  <c r="P13"/>
  <c r="Q13"/>
  <c r="S13"/>
  <c r="T13"/>
  <c r="W13"/>
  <c r="X13"/>
  <c r="AA13"/>
  <c r="AB13"/>
  <c r="AC13"/>
  <c r="AD13"/>
  <c r="AE13"/>
  <c r="AF13"/>
  <c r="AH13"/>
  <c r="AI13"/>
  <c r="AL13"/>
  <c r="AM13"/>
  <c r="AP13"/>
  <c r="AQ13"/>
  <c r="AR13"/>
  <c r="AS13"/>
  <c r="AT13"/>
  <c r="AU13"/>
  <c r="D14"/>
  <c r="E14"/>
  <c r="H14"/>
  <c r="I14"/>
  <c r="L14"/>
  <c r="M14"/>
  <c r="N14"/>
  <c r="O14"/>
  <c r="P14"/>
  <c r="Q14"/>
  <c r="S14"/>
  <c r="T14"/>
  <c r="W14"/>
  <c r="X14"/>
  <c r="AA14"/>
  <c r="AB14"/>
  <c r="AC14"/>
  <c r="AD14"/>
  <c r="AE14"/>
  <c r="AF14"/>
  <c r="AH14"/>
  <c r="AI14"/>
  <c r="AL14"/>
  <c r="AM14"/>
  <c r="AP14"/>
  <c r="AQ14"/>
  <c r="AR14"/>
  <c r="AS14"/>
  <c r="AT14"/>
  <c r="AU14"/>
  <c r="D15"/>
  <c r="E15"/>
  <c r="H15"/>
  <c r="I15"/>
  <c r="L15"/>
  <c r="M15"/>
  <c r="N15"/>
  <c r="O15"/>
  <c r="P15"/>
  <c r="Q15"/>
  <c r="S15"/>
  <c r="T15"/>
  <c r="W15"/>
  <c r="X15"/>
  <c r="AA15"/>
  <c r="AB15"/>
  <c r="AC15"/>
  <c r="AD15"/>
  <c r="AE15"/>
  <c r="AF15"/>
  <c r="AH15"/>
  <c r="AI15"/>
  <c r="AL15"/>
  <c r="AM15"/>
  <c r="AP15"/>
  <c r="AQ15"/>
  <c r="AR15"/>
  <c r="AS15"/>
  <c r="AT15"/>
  <c r="AU15"/>
  <c r="D16"/>
  <c r="E16"/>
  <c r="H16"/>
  <c r="I16"/>
  <c r="L16"/>
  <c r="M16"/>
  <c r="N16"/>
  <c r="O16"/>
  <c r="P16"/>
  <c r="Q16"/>
  <c r="S16"/>
  <c r="T16"/>
  <c r="W16"/>
  <c r="X16"/>
  <c r="AA16"/>
  <c r="AB16"/>
  <c r="AC16"/>
  <c r="AD16"/>
  <c r="AE16"/>
  <c r="AF16"/>
  <c r="AH16"/>
  <c r="AI16"/>
  <c r="AL16"/>
  <c r="AM16"/>
  <c r="AP16"/>
  <c r="AQ16"/>
  <c r="AR16"/>
  <c r="AS16"/>
  <c r="AT16"/>
  <c r="AU16"/>
  <c r="D17"/>
  <c r="E17"/>
  <c r="H17"/>
  <c r="I17"/>
  <c r="L17"/>
  <c r="M17"/>
  <c r="N17"/>
  <c r="O17"/>
  <c r="P17"/>
  <c r="Q17"/>
  <c r="S17"/>
  <c r="T17"/>
  <c r="W17"/>
  <c r="X17"/>
  <c r="AA17"/>
  <c r="AB17"/>
  <c r="AC17"/>
  <c r="AD17"/>
  <c r="AE17"/>
  <c r="AF17"/>
  <c r="AH17"/>
  <c r="AI17"/>
  <c r="AL17"/>
  <c r="AM17"/>
  <c r="AP17"/>
  <c r="AQ17"/>
  <c r="AR17"/>
  <c r="AS17"/>
  <c r="AT17"/>
  <c r="AU17"/>
  <c r="D18"/>
  <c r="E18"/>
  <c r="H18"/>
  <c r="I18"/>
  <c r="L18"/>
  <c r="M18"/>
  <c r="N18"/>
  <c r="O18"/>
  <c r="P18"/>
  <c r="Q18"/>
  <c r="S18"/>
  <c r="T18"/>
  <c r="W18"/>
  <c r="X18"/>
  <c r="AA18"/>
  <c r="AB18"/>
  <c r="AC18"/>
  <c r="AD18"/>
  <c r="AE18"/>
  <c r="AF18"/>
  <c r="AH18"/>
  <c r="AI18"/>
  <c r="AL18"/>
  <c r="AM18"/>
  <c r="AP18"/>
  <c r="AQ18"/>
  <c r="AR18"/>
  <c r="AS18"/>
  <c r="AT18"/>
  <c r="AU18"/>
  <c r="D19"/>
  <c r="E19"/>
  <c r="H19"/>
  <c r="I19"/>
  <c r="L19"/>
  <c r="M19"/>
  <c r="N19"/>
  <c r="O19"/>
  <c r="P19"/>
  <c r="Q19"/>
  <c r="S19"/>
  <c r="T19"/>
  <c r="W19"/>
  <c r="X19"/>
  <c r="AA19"/>
  <c r="AB19"/>
  <c r="AC19"/>
  <c r="AD19"/>
  <c r="AE19"/>
  <c r="AF19"/>
  <c r="AH19"/>
  <c r="AI19"/>
  <c r="AL19"/>
  <c r="AM19"/>
  <c r="AP19"/>
  <c r="AQ19"/>
  <c r="AR19"/>
  <c r="AS19"/>
  <c r="AT19"/>
  <c r="AU19"/>
  <c r="D20"/>
  <c r="E20"/>
  <c r="H20"/>
  <c r="I20"/>
  <c r="L20"/>
  <c r="M20"/>
  <c r="N20"/>
  <c r="O20"/>
  <c r="P20"/>
  <c r="Q20"/>
  <c r="S20"/>
  <c r="T20"/>
  <c r="W20"/>
  <c r="X20"/>
  <c r="AA20"/>
  <c r="AB20"/>
  <c r="AC20"/>
  <c r="AD20"/>
  <c r="AE20"/>
  <c r="AF20"/>
  <c r="AH20"/>
  <c r="AI20"/>
  <c r="AL20"/>
  <c r="AM20"/>
  <c r="AP20"/>
  <c r="AQ20"/>
  <c r="AR20"/>
  <c r="AS20"/>
  <c r="AT20"/>
  <c r="AU20"/>
  <c r="D21"/>
  <c r="E21"/>
  <c r="H21"/>
  <c r="I21"/>
  <c r="L21"/>
  <c r="M21"/>
  <c r="N21"/>
  <c r="O21"/>
  <c r="P21"/>
  <c r="Q21"/>
  <c r="S21"/>
  <c r="T21"/>
  <c r="W21"/>
  <c r="X21"/>
  <c r="AA21"/>
  <c r="AB21"/>
  <c r="AC21"/>
  <c r="AD21"/>
  <c r="AE21"/>
  <c r="AF21"/>
  <c r="AH21"/>
  <c r="AI21"/>
  <c r="AL21"/>
  <c r="AM21"/>
  <c r="AP21"/>
  <c r="AQ21"/>
  <c r="AR21"/>
  <c r="AS21"/>
  <c r="AT21"/>
  <c r="AU21"/>
  <c r="D22"/>
  <c r="E22"/>
  <c r="H22"/>
  <c r="I22"/>
  <c r="L22"/>
  <c r="M22"/>
  <c r="N22"/>
  <c r="O22"/>
  <c r="P22"/>
  <c r="Q22"/>
  <c r="S22"/>
  <c r="T22"/>
  <c r="W22"/>
  <c r="X22"/>
  <c r="AA22"/>
  <c r="AB22"/>
  <c r="AC22"/>
  <c r="AD22"/>
  <c r="AE22"/>
  <c r="AF22"/>
  <c r="AH22"/>
  <c r="AI22"/>
  <c r="AL22"/>
  <c r="AM22"/>
  <c r="AP22"/>
  <c r="AQ22"/>
  <c r="AR22"/>
  <c r="AS22"/>
  <c r="AT22"/>
  <c r="AU22"/>
  <c r="D23"/>
  <c r="E23"/>
  <c r="H23"/>
  <c r="I23"/>
  <c r="L23"/>
  <c r="M23"/>
  <c r="N23"/>
  <c r="O23"/>
  <c r="P23"/>
  <c r="Q23"/>
  <c r="S23"/>
  <c r="T23"/>
  <c r="W23"/>
  <c r="X23"/>
  <c r="AA23"/>
  <c r="AB23"/>
  <c r="AC23"/>
  <c r="AD23"/>
  <c r="AE23"/>
  <c r="AF23"/>
  <c r="AH23"/>
  <c r="AI23"/>
  <c r="AL23"/>
  <c r="AM23"/>
  <c r="AP23"/>
  <c r="AQ23"/>
  <c r="AR23"/>
  <c r="AS23"/>
  <c r="AT23"/>
  <c r="AU23"/>
  <c r="D24"/>
  <c r="E24"/>
  <c r="H24"/>
  <c r="I24"/>
  <c r="L24"/>
  <c r="M24"/>
  <c r="N24"/>
  <c r="O24"/>
  <c r="P24"/>
  <c r="Q24"/>
  <c r="S24"/>
  <c r="T24"/>
  <c r="W24"/>
  <c r="X24"/>
  <c r="AA24"/>
  <c r="AB24"/>
  <c r="AC24"/>
  <c r="AD24"/>
  <c r="AE24"/>
  <c r="AF24"/>
  <c r="AH24"/>
  <c r="AI24"/>
  <c r="AL24"/>
  <c r="AM24"/>
  <c r="AP24"/>
  <c r="AQ24"/>
  <c r="AR24"/>
  <c r="AS24"/>
  <c r="AT24"/>
  <c r="AU24"/>
  <c r="D25"/>
  <c r="E25"/>
  <c r="H25"/>
  <c r="I25"/>
  <c r="L25"/>
  <c r="M25"/>
  <c r="N25"/>
  <c r="O25"/>
  <c r="P25"/>
  <c r="Q25"/>
  <c r="S25"/>
  <c r="T25"/>
  <c r="W25"/>
  <c r="X25"/>
  <c r="AA25"/>
  <c r="AB25"/>
  <c r="AC25"/>
  <c r="AD25"/>
  <c r="AE25"/>
  <c r="AF25"/>
  <c r="AH25"/>
  <c r="AI25"/>
  <c r="AL25"/>
  <c r="AM25"/>
  <c r="AP25"/>
  <c r="AQ25"/>
  <c r="AR25"/>
  <c r="AS25"/>
  <c r="AT25"/>
  <c r="AU25"/>
  <c r="D26"/>
  <c r="E26"/>
  <c r="H26"/>
  <c r="I26"/>
  <c r="L26"/>
  <c r="M26"/>
  <c r="N26"/>
  <c r="O26"/>
  <c r="P26"/>
  <c r="Q26"/>
  <c r="S26"/>
  <c r="T26"/>
  <c r="W26"/>
  <c r="X26"/>
  <c r="AA26"/>
  <c r="AB26"/>
  <c r="AC26"/>
  <c r="AD26"/>
  <c r="AE26"/>
  <c r="AF26"/>
  <c r="AH26"/>
  <c r="AI26"/>
  <c r="AL26"/>
  <c r="AM26"/>
  <c r="AP26"/>
  <c r="AQ26"/>
  <c r="AR26"/>
  <c r="AS26"/>
  <c r="AT26"/>
  <c r="AU26"/>
  <c r="D27"/>
  <c r="E27"/>
  <c r="H27"/>
  <c r="I27"/>
  <c r="L27"/>
  <c r="M27"/>
  <c r="N27"/>
  <c r="O27"/>
  <c r="P27"/>
  <c r="Q27"/>
  <c r="S27"/>
  <c r="T27"/>
  <c r="W27"/>
  <c r="X27"/>
  <c r="AA27"/>
  <c r="AB27"/>
  <c r="AC27"/>
  <c r="AD27"/>
  <c r="AE27"/>
  <c r="AF27"/>
  <c r="AH27"/>
  <c r="AI27"/>
  <c r="AL27"/>
  <c r="AM27"/>
  <c r="AP27"/>
  <c r="AQ27"/>
  <c r="AR27"/>
  <c r="AS27"/>
  <c r="AT27"/>
  <c r="AU27"/>
  <c r="D28"/>
  <c r="E28"/>
  <c r="H28"/>
  <c r="I28"/>
  <c r="L28"/>
  <c r="M28"/>
  <c r="N28"/>
  <c r="O28"/>
  <c r="P28"/>
  <c r="Q28"/>
  <c r="S28"/>
  <c r="T28"/>
  <c r="W28"/>
  <c r="X28"/>
  <c r="AA28"/>
  <c r="AB28"/>
  <c r="AC28"/>
  <c r="AD28"/>
  <c r="AE28"/>
  <c r="AF28"/>
  <c r="AH28"/>
  <c r="AI28"/>
  <c r="AL28"/>
  <c r="AM28"/>
  <c r="AP28"/>
  <c r="AQ28"/>
  <c r="AR28"/>
  <c r="AS28"/>
  <c r="AT28"/>
  <c r="AU28"/>
  <c r="D29"/>
  <c r="E29"/>
  <c r="H29"/>
  <c r="I29"/>
  <c r="L29"/>
  <c r="M29"/>
  <c r="N29"/>
  <c r="O29"/>
  <c r="P29"/>
  <c r="Q29"/>
  <c r="S29"/>
  <c r="T29"/>
  <c r="W29"/>
  <c r="X29"/>
  <c r="AA29"/>
  <c r="AB29"/>
  <c r="AC29"/>
  <c r="AD29"/>
  <c r="AE29"/>
  <c r="AF29"/>
  <c r="AH29"/>
  <c r="AI29"/>
  <c r="AL29"/>
  <c r="AM29"/>
  <c r="AP29"/>
  <c r="AQ29"/>
  <c r="AR29"/>
  <c r="AS29"/>
  <c r="AT29"/>
  <c r="AU29"/>
  <c r="D30"/>
  <c r="E30"/>
  <c r="H30"/>
  <c r="I30"/>
  <c r="L30"/>
  <c r="M30"/>
  <c r="N30"/>
  <c r="O30"/>
  <c r="P30"/>
  <c r="Q30"/>
  <c r="S30"/>
  <c r="T30"/>
  <c r="W30"/>
  <c r="X30"/>
  <c r="AA30"/>
  <c r="AB30"/>
  <c r="AC30"/>
  <c r="AD30"/>
  <c r="AE30"/>
  <c r="AF30"/>
  <c r="AH30"/>
  <c r="AI30"/>
  <c r="AL30"/>
  <c r="AM30"/>
  <c r="AP30"/>
  <c r="AQ30"/>
  <c r="AR30"/>
  <c r="AS30"/>
  <c r="AT30"/>
  <c r="AU30"/>
  <c r="D31"/>
  <c r="E31"/>
  <c r="H31"/>
  <c r="I31"/>
  <c r="L31"/>
  <c r="M31"/>
  <c r="N31"/>
  <c r="O31"/>
  <c r="P31"/>
  <c r="Q31"/>
  <c r="S31"/>
  <c r="T31"/>
  <c r="W31"/>
  <c r="X31"/>
  <c r="AA31"/>
  <c r="AB31"/>
  <c r="AC31"/>
  <c r="AD31"/>
  <c r="AE31"/>
  <c r="AF31"/>
  <c r="AH31"/>
  <c r="AI31"/>
  <c r="AL31"/>
  <c r="AM31"/>
  <c r="AP31"/>
  <c r="AQ31"/>
  <c r="AR31"/>
  <c r="AS31"/>
  <c r="AT31"/>
  <c r="AU31"/>
  <c r="D32"/>
  <c r="E32"/>
  <c r="H32"/>
  <c r="I32"/>
  <c r="L32"/>
  <c r="M32"/>
  <c r="N32"/>
  <c r="O32"/>
  <c r="P32"/>
  <c r="Q32"/>
  <c r="S32"/>
  <c r="T32"/>
  <c r="W32"/>
  <c r="X32"/>
  <c r="AA32"/>
  <c r="AB32"/>
  <c r="AC32"/>
  <c r="AD32"/>
  <c r="AE32"/>
  <c r="AF32"/>
  <c r="AH32"/>
  <c r="AI32"/>
  <c r="AL32"/>
  <c r="AM32"/>
  <c r="AP32"/>
  <c r="AQ32"/>
  <c r="AR32"/>
  <c r="AS32"/>
  <c r="AT32"/>
  <c r="AU32"/>
  <c r="D33"/>
  <c r="E33"/>
  <c r="H33"/>
  <c r="I33"/>
  <c r="L33"/>
  <c r="M33"/>
  <c r="N33"/>
  <c r="O33"/>
  <c r="P33"/>
  <c r="Q33"/>
  <c r="S33"/>
  <c r="T33"/>
  <c r="W33"/>
  <c r="X33"/>
  <c r="AA33"/>
  <c r="AB33"/>
  <c r="AC33"/>
  <c r="AD33"/>
  <c r="AE33"/>
  <c r="AF33"/>
  <c r="AH33"/>
  <c r="AI33"/>
  <c r="AL33"/>
  <c r="AM33"/>
  <c r="AP33"/>
  <c r="AQ33"/>
  <c r="AR33"/>
  <c r="AS33"/>
  <c r="AT33"/>
  <c r="AU33"/>
  <c r="D34"/>
  <c r="E34"/>
  <c r="H34"/>
  <c r="I34"/>
  <c r="L34"/>
  <c r="M34"/>
  <c r="N34"/>
  <c r="O34"/>
  <c r="P34"/>
  <c r="Q34"/>
  <c r="S34"/>
  <c r="T34"/>
  <c r="W34"/>
  <c r="X34"/>
  <c r="AA34"/>
  <c r="AB34"/>
  <c r="AC34"/>
  <c r="AD34"/>
  <c r="AE34"/>
  <c r="AF34"/>
  <c r="AH34"/>
  <c r="AI34"/>
  <c r="AL34"/>
  <c r="AM34"/>
  <c r="AP34"/>
  <c r="AQ34"/>
  <c r="AR34"/>
  <c r="AS34"/>
  <c r="AT34"/>
  <c r="AU34"/>
  <c r="D35"/>
  <c r="E35"/>
  <c r="H35"/>
  <c r="I35"/>
  <c r="L35"/>
  <c r="M35"/>
  <c r="N35"/>
  <c r="O35"/>
  <c r="P35"/>
  <c r="Q35"/>
  <c r="S35"/>
  <c r="T35"/>
  <c r="W35"/>
  <c r="X35"/>
  <c r="AA35"/>
  <c r="AB35"/>
  <c r="AC35"/>
  <c r="AD35"/>
  <c r="AE35"/>
  <c r="AF35"/>
  <c r="AH35"/>
  <c r="AI35"/>
  <c r="AL35"/>
  <c r="AM35"/>
  <c r="AP35"/>
  <c r="AQ35"/>
  <c r="AR35"/>
  <c r="AS35"/>
  <c r="AT35"/>
  <c r="AU35"/>
  <c r="D36"/>
  <c r="E36"/>
  <c r="H36"/>
  <c r="I36"/>
  <c r="L36"/>
  <c r="M36"/>
  <c r="N36"/>
  <c r="O36"/>
  <c r="P36"/>
  <c r="Q36"/>
  <c r="S36"/>
  <c r="T36"/>
  <c r="W36"/>
  <c r="X36"/>
  <c r="AA36"/>
  <c r="AB36"/>
  <c r="AC36"/>
  <c r="AD36"/>
  <c r="AE36"/>
  <c r="AF36"/>
  <c r="AH36"/>
  <c r="AI36"/>
  <c r="AL36"/>
  <c r="AM36"/>
  <c r="AP36"/>
  <c r="AQ36"/>
  <c r="AR36"/>
  <c r="AS36"/>
  <c r="AT36"/>
  <c r="AU36"/>
  <c r="D37"/>
  <c r="E37"/>
  <c r="H37"/>
  <c r="I37"/>
  <c r="L37"/>
  <c r="M37"/>
  <c r="N37"/>
  <c r="O37"/>
  <c r="P37"/>
  <c r="Q37"/>
  <c r="S37"/>
  <c r="T37"/>
  <c r="W37"/>
  <c r="X37"/>
  <c r="AA37"/>
  <c r="AB37"/>
  <c r="AC37"/>
  <c r="AD37"/>
  <c r="AE37"/>
  <c r="AF37"/>
  <c r="AH37"/>
  <c r="AI37"/>
  <c r="AL37"/>
  <c r="AM37"/>
  <c r="AP37"/>
  <c r="AQ37"/>
  <c r="AR37"/>
  <c r="AS37"/>
  <c r="AT37"/>
  <c r="AU37"/>
  <c r="D38"/>
  <c r="E38"/>
  <c r="H38"/>
  <c r="I38"/>
  <c r="L38"/>
  <c r="M38"/>
  <c r="N38"/>
  <c r="O38"/>
  <c r="P38"/>
  <c r="Q38"/>
  <c r="S38"/>
  <c r="T38"/>
  <c r="W38"/>
  <c r="X38"/>
  <c r="AA38"/>
  <c r="AB38"/>
  <c r="AC38"/>
  <c r="AD38"/>
  <c r="AE38"/>
  <c r="AF38"/>
  <c r="AH38"/>
  <c r="AI38"/>
  <c r="AL38"/>
  <c r="AM38"/>
  <c r="AP38"/>
  <c r="AQ38"/>
  <c r="AR38"/>
  <c r="AS38"/>
  <c r="AT38"/>
  <c r="AU38"/>
  <c r="D39"/>
  <c r="E39"/>
  <c r="H39"/>
  <c r="I39"/>
  <c r="L39"/>
  <c r="M39"/>
  <c r="N39"/>
  <c r="O39"/>
  <c r="P39"/>
  <c r="Q39"/>
  <c r="S39"/>
  <c r="T39"/>
  <c r="W39"/>
  <c r="X39"/>
  <c r="AA39"/>
  <c r="AB39"/>
  <c r="AC39"/>
  <c r="AD39"/>
  <c r="AE39"/>
  <c r="AF39"/>
  <c r="AH39"/>
  <c r="AI39"/>
  <c r="AL39"/>
  <c r="AM39"/>
  <c r="AP39"/>
  <c r="AQ39"/>
  <c r="AR39"/>
  <c r="AS39"/>
  <c r="AT39"/>
  <c r="AU39"/>
  <c r="D40"/>
  <c r="E40"/>
  <c r="H40"/>
  <c r="I40"/>
  <c r="L40"/>
  <c r="M40"/>
  <c r="N40"/>
  <c r="O40"/>
  <c r="P40"/>
  <c r="Q40"/>
  <c r="S40"/>
  <c r="T40"/>
  <c r="W40"/>
  <c r="X40"/>
  <c r="AA40"/>
  <c r="AB40"/>
  <c r="AC40"/>
  <c r="AD40"/>
  <c r="AE40"/>
  <c r="AF40"/>
  <c r="AH40"/>
  <c r="AI40"/>
  <c r="AL40"/>
  <c r="AM40"/>
  <c r="AP40"/>
  <c r="AQ40"/>
  <c r="AR40"/>
  <c r="AS40"/>
  <c r="AT40"/>
  <c r="AU40"/>
  <c r="D41"/>
  <c r="E41"/>
  <c r="H41"/>
  <c r="I41"/>
  <c r="L41"/>
  <c r="M41"/>
  <c r="N41"/>
  <c r="O41"/>
  <c r="P41"/>
  <c r="Q41"/>
  <c r="S41"/>
  <c r="T41"/>
  <c r="W41"/>
  <c r="X41"/>
  <c r="AA41"/>
  <c r="AB41"/>
  <c r="AC41"/>
  <c r="AD41"/>
  <c r="AE41"/>
  <c r="AF41"/>
  <c r="AH41"/>
  <c r="AI41"/>
  <c r="AL41"/>
  <c r="AM41"/>
  <c r="AP41"/>
  <c r="AQ41"/>
  <c r="AR41"/>
  <c r="AS41"/>
  <c r="AT41"/>
  <c r="AU41"/>
  <c r="D42"/>
  <c r="E42"/>
  <c r="H42"/>
  <c r="I42"/>
  <c r="L42"/>
  <c r="M42"/>
  <c r="N42"/>
  <c r="O42"/>
  <c r="P42"/>
  <c r="Q42"/>
  <c r="S42"/>
  <c r="T42"/>
  <c r="W42"/>
  <c r="X42"/>
  <c r="AA42"/>
  <c r="AB42"/>
  <c r="AC42"/>
  <c r="AD42"/>
  <c r="AE42"/>
  <c r="AF42"/>
  <c r="AH42"/>
  <c r="AI42"/>
  <c r="AL42"/>
  <c r="AM42"/>
  <c r="AP42"/>
  <c r="AQ42"/>
  <c r="AR42"/>
  <c r="AS42"/>
  <c r="AT42"/>
  <c r="AU42"/>
  <c r="D43"/>
  <c r="E43"/>
  <c r="H43"/>
  <c r="I43"/>
  <c r="L43"/>
  <c r="M43"/>
  <c r="N43"/>
  <c r="O43"/>
  <c r="P43"/>
  <c r="Q43"/>
  <c r="S43"/>
  <c r="T43"/>
  <c r="W43"/>
  <c r="X43"/>
  <c r="AA43"/>
  <c r="AB43"/>
  <c r="AC43"/>
  <c r="AD43"/>
  <c r="AE43"/>
  <c r="AF43"/>
  <c r="AH43"/>
  <c r="AI43"/>
  <c r="AL43"/>
  <c r="AM43"/>
  <c r="AP43"/>
  <c r="AQ43"/>
  <c r="AR43"/>
  <c r="AS43"/>
  <c r="AT43"/>
  <c r="AU43"/>
  <c r="D44"/>
  <c r="E44"/>
  <c r="H44"/>
  <c r="I44"/>
  <c r="L44"/>
  <c r="M44"/>
  <c r="N44"/>
  <c r="O44"/>
  <c r="P44"/>
  <c r="Q44"/>
  <c r="S44"/>
  <c r="T44"/>
  <c r="W44"/>
  <c r="X44"/>
  <c r="AA44"/>
  <c r="AB44"/>
  <c r="AC44"/>
  <c r="AD44"/>
  <c r="AE44"/>
  <c r="AF44"/>
  <c r="AH44"/>
  <c r="AI44"/>
  <c r="AL44"/>
  <c r="AM44"/>
  <c r="AP44"/>
  <c r="AQ44"/>
  <c r="AR44"/>
  <c r="AS44"/>
  <c r="AT44"/>
  <c r="AU44"/>
  <c r="D45"/>
  <c r="E45"/>
  <c r="H45"/>
  <c r="I45"/>
  <c r="L45"/>
  <c r="M45"/>
  <c r="N45"/>
  <c r="O45"/>
  <c r="P45"/>
  <c r="Q45"/>
  <c r="S45"/>
  <c r="T45"/>
  <c r="W45"/>
  <c r="X45"/>
  <c r="AA45"/>
  <c r="AB45"/>
  <c r="AC45"/>
  <c r="AD45"/>
  <c r="AE45"/>
  <c r="AF45"/>
  <c r="AH45"/>
  <c r="AI45"/>
  <c r="AL45"/>
  <c r="AM45"/>
  <c r="AP45"/>
  <c r="AQ45"/>
  <c r="AR45"/>
  <c r="AS45"/>
  <c r="AT45"/>
  <c r="AU45"/>
  <c r="D49"/>
  <c r="E49"/>
  <c r="H49"/>
  <c r="I49"/>
  <c r="L49"/>
  <c r="M49"/>
  <c r="N49"/>
  <c r="O49"/>
  <c r="P49"/>
  <c r="Q49"/>
  <c r="S49"/>
  <c r="T49"/>
  <c r="W49"/>
  <c r="X49"/>
  <c r="AA49"/>
  <c r="AB49"/>
  <c r="AC49"/>
  <c r="AD49"/>
  <c r="AE49"/>
  <c r="AF49"/>
  <c r="AH49"/>
  <c r="AI49"/>
  <c r="AL49"/>
  <c r="AM49"/>
  <c r="AP49"/>
  <c r="AQ49"/>
  <c r="AR49"/>
  <c r="AS49"/>
  <c r="AT49"/>
  <c r="AU49"/>
  <c r="D50"/>
  <c r="E50"/>
  <c r="H50"/>
  <c r="I50"/>
  <c r="L50"/>
  <c r="M50"/>
  <c r="N50"/>
  <c r="O50"/>
  <c r="P50"/>
  <c r="Q50"/>
  <c r="S50"/>
  <c r="T50"/>
  <c r="W50"/>
  <c r="X50"/>
  <c r="AA50"/>
  <c r="AB50"/>
  <c r="AC50"/>
  <c r="AD50"/>
  <c r="AE50"/>
  <c r="AF50"/>
  <c r="AH50"/>
  <c r="AI50"/>
  <c r="AL50"/>
  <c r="AM50"/>
  <c r="AP50"/>
  <c r="AQ50"/>
  <c r="AR50"/>
  <c r="AS50"/>
  <c r="AT50"/>
  <c r="AU50"/>
  <c r="D51"/>
  <c r="E51"/>
  <c r="H51"/>
  <c r="I51"/>
  <c r="L51"/>
  <c r="M51"/>
  <c r="N51"/>
  <c r="O51"/>
  <c r="P51"/>
  <c r="Q51"/>
  <c r="S51"/>
  <c r="T51"/>
  <c r="W51"/>
  <c r="X51"/>
  <c r="AA51"/>
  <c r="AB51"/>
  <c r="AC51"/>
  <c r="AD51"/>
  <c r="AE51"/>
  <c r="AF51"/>
  <c r="AH51"/>
  <c r="AI51"/>
  <c r="AL51"/>
  <c r="AM51"/>
  <c r="AP51"/>
  <c r="AQ51"/>
  <c r="AR51"/>
  <c r="AS51"/>
  <c r="AT51"/>
  <c r="AU51"/>
  <c r="D52"/>
  <c r="E52"/>
  <c r="H52"/>
  <c r="I52"/>
  <c r="L52"/>
  <c r="M52"/>
  <c r="N52"/>
  <c r="O52"/>
  <c r="P52"/>
  <c r="Q52"/>
  <c r="S52"/>
  <c r="T52"/>
  <c r="W52"/>
  <c r="X52"/>
  <c r="AA52"/>
  <c r="AB52"/>
  <c r="AC52"/>
  <c r="AD52"/>
  <c r="AE52"/>
  <c r="AF52"/>
  <c r="AH52"/>
  <c r="AI52"/>
  <c r="AL52"/>
  <c r="AM52"/>
  <c r="AP52"/>
  <c r="AQ52"/>
  <c r="AR52"/>
  <c r="AS52"/>
  <c r="AT52"/>
  <c r="AU52"/>
  <c r="D53"/>
  <c r="E53"/>
  <c r="H53"/>
  <c r="I53"/>
  <c r="L53"/>
  <c r="M53"/>
  <c r="N53"/>
  <c r="O53"/>
  <c r="P53"/>
  <c r="Q53"/>
  <c r="S53"/>
  <c r="T53"/>
  <c r="W53"/>
  <c r="X53"/>
  <c r="AA53"/>
  <c r="AB53"/>
  <c r="AC53"/>
  <c r="AD53"/>
  <c r="AE53"/>
  <c r="AF53"/>
  <c r="AH53"/>
  <c r="AI53"/>
  <c r="AL53"/>
  <c r="AM53"/>
  <c r="AP53"/>
  <c r="AQ53"/>
  <c r="AR53"/>
  <c r="AS53"/>
  <c r="AT53"/>
  <c r="AU53"/>
  <c r="D54"/>
  <c r="E54"/>
  <c r="H54"/>
  <c r="I54"/>
  <c r="L54"/>
  <c r="M54"/>
  <c r="N54"/>
  <c r="O54"/>
  <c r="P54"/>
  <c r="Q54"/>
  <c r="S54"/>
  <c r="T54"/>
  <c r="W54"/>
  <c r="X54"/>
  <c r="AA54"/>
  <c r="AB54"/>
  <c r="AC54"/>
  <c r="AD54"/>
  <c r="AE54"/>
  <c r="AF54"/>
  <c r="AH54"/>
  <c r="AI54"/>
  <c r="AL54"/>
  <c r="AM54"/>
  <c r="AP54"/>
  <c r="AQ54"/>
  <c r="AR54"/>
  <c r="AS54"/>
  <c r="AT54"/>
  <c r="AU54"/>
  <c r="D55"/>
  <c r="E55"/>
  <c r="H55"/>
  <c r="I55"/>
  <c r="L55"/>
  <c r="M55"/>
  <c r="N55"/>
  <c r="O55"/>
  <c r="P55"/>
  <c r="Q55"/>
  <c r="S55"/>
  <c r="T55"/>
  <c r="W55"/>
  <c r="X55"/>
  <c r="AA55"/>
  <c r="AB55"/>
  <c r="AC55"/>
  <c r="AD55"/>
  <c r="AE55"/>
  <c r="AF55"/>
  <c r="AH55"/>
  <c r="AI55"/>
  <c r="AL55"/>
  <c r="AM55"/>
  <c r="AP55"/>
  <c r="AQ55"/>
  <c r="AR55"/>
  <c r="AS55"/>
  <c r="AT55"/>
  <c r="AU55"/>
  <c r="D56"/>
  <c r="E56"/>
  <c r="H56"/>
  <c r="I56"/>
  <c r="L56"/>
  <c r="M56"/>
  <c r="N56"/>
  <c r="O56"/>
  <c r="P56"/>
  <c r="Q56"/>
  <c r="S56"/>
  <c r="T56"/>
  <c r="W56"/>
  <c r="X56"/>
  <c r="AA56"/>
  <c r="AB56"/>
  <c r="AC56"/>
  <c r="AD56"/>
  <c r="AE56"/>
  <c r="AF56"/>
  <c r="AH56"/>
  <c r="AI56"/>
  <c r="AL56"/>
  <c r="AM56"/>
  <c r="AP56"/>
  <c r="AQ56"/>
  <c r="AR56"/>
  <c r="AS56"/>
  <c r="AT56"/>
  <c r="AU56"/>
  <c r="D57"/>
  <c r="E57"/>
  <c r="H57"/>
  <c r="I57"/>
  <c r="L57"/>
  <c r="M57"/>
  <c r="N57"/>
  <c r="O57"/>
  <c r="P57"/>
  <c r="Q57"/>
  <c r="S57"/>
  <c r="T57"/>
  <c r="W57"/>
  <c r="X57"/>
  <c r="AA57"/>
  <c r="AB57"/>
  <c r="AC57"/>
  <c r="AD57"/>
  <c r="AE57"/>
  <c r="AF57"/>
  <c r="AH57"/>
  <c r="AI57"/>
  <c r="AL57"/>
  <c r="AM57"/>
  <c r="AP57"/>
  <c r="AQ57"/>
  <c r="AR57"/>
  <c r="AS57"/>
  <c r="AT57"/>
  <c r="AU57"/>
  <c r="D58"/>
  <c r="E58"/>
  <c r="H58"/>
  <c r="I58"/>
  <c r="L58"/>
  <c r="M58"/>
  <c r="N58"/>
  <c r="O58"/>
  <c r="P58"/>
  <c r="Q58"/>
  <c r="S58"/>
  <c r="T58"/>
  <c r="W58"/>
  <c r="X58"/>
  <c r="AA58"/>
  <c r="AB58"/>
  <c r="AC58"/>
  <c r="AD58"/>
  <c r="AE58"/>
  <c r="AF58"/>
  <c r="AH58"/>
  <c r="AI58"/>
  <c r="AL58"/>
  <c r="AM58"/>
  <c r="AP58"/>
  <c r="AQ58"/>
  <c r="AR58"/>
  <c r="AS58"/>
  <c r="AT58"/>
  <c r="AU58"/>
  <c r="D59"/>
  <c r="E59"/>
  <c r="H59"/>
  <c r="I59"/>
  <c r="L59"/>
  <c r="M59"/>
  <c r="N59"/>
  <c r="O59"/>
  <c r="P59"/>
  <c r="Q59"/>
  <c r="S59"/>
  <c r="T59"/>
  <c r="W59"/>
  <c r="X59"/>
  <c r="AA59"/>
  <c r="AB59"/>
  <c r="AC59"/>
  <c r="AD59"/>
  <c r="AE59"/>
  <c r="AF59"/>
  <c r="AH59"/>
  <c r="AI59"/>
  <c r="AL59"/>
  <c r="AM59"/>
  <c r="AP59"/>
  <c r="AQ59"/>
  <c r="AR59"/>
  <c r="AS59"/>
  <c r="AT59"/>
  <c r="AU59"/>
  <c r="D60"/>
  <c r="E60"/>
  <c r="H60"/>
  <c r="I60"/>
  <c r="L60"/>
  <c r="M60"/>
  <c r="N60"/>
  <c r="O60"/>
  <c r="P60"/>
  <c r="Q60"/>
  <c r="S60"/>
  <c r="T60"/>
  <c r="W60"/>
  <c r="X60"/>
  <c r="AA60"/>
  <c r="AB60"/>
  <c r="AC60"/>
  <c r="AD60"/>
  <c r="AE60"/>
  <c r="AF60"/>
  <c r="AH60"/>
  <c r="AI60"/>
  <c r="AL60"/>
  <c r="AM60"/>
  <c r="AP60"/>
  <c r="AQ60"/>
  <c r="AR60"/>
  <c r="AS60"/>
  <c r="AT60"/>
  <c r="AU60"/>
  <c r="D61"/>
  <c r="E61"/>
  <c r="H61"/>
  <c r="I61"/>
  <c r="L61"/>
  <c r="M61"/>
  <c r="N61"/>
  <c r="O61"/>
  <c r="P61"/>
  <c r="Q61"/>
  <c r="S61"/>
  <c r="T61"/>
  <c r="W61"/>
  <c r="X61"/>
  <c r="AA61"/>
  <c r="AB61"/>
  <c r="AC61"/>
  <c r="AD61"/>
  <c r="AE61"/>
  <c r="AF61"/>
  <c r="AH61"/>
  <c r="AI61"/>
  <c r="AL61"/>
  <c r="AM61"/>
  <c r="AP61"/>
  <c r="AQ61"/>
  <c r="AR61"/>
  <c r="AS61"/>
  <c r="AT61"/>
  <c r="AU61"/>
  <c r="D62"/>
  <c r="E62"/>
  <c r="H62"/>
  <c r="I62"/>
  <c r="L62"/>
  <c r="M62"/>
  <c r="N62"/>
  <c r="O62"/>
  <c r="P62"/>
  <c r="Q62"/>
  <c r="S62"/>
  <c r="T62"/>
  <c r="W62"/>
  <c r="X62"/>
  <c r="AA62"/>
  <c r="AB62"/>
  <c r="AC62"/>
  <c r="AD62"/>
  <c r="AE62"/>
  <c r="AF62"/>
  <c r="AH62"/>
  <c r="AI62"/>
  <c r="AL62"/>
  <c r="AM62"/>
  <c r="AP62"/>
  <c r="AQ62"/>
  <c r="AR62"/>
  <c r="AS62"/>
  <c r="AT62"/>
  <c r="AU62"/>
  <c r="D63"/>
  <c r="E63"/>
  <c r="H63"/>
  <c r="I63"/>
  <c r="L63"/>
  <c r="M63"/>
  <c r="N63"/>
  <c r="O63"/>
  <c r="P63"/>
  <c r="Q63"/>
  <c r="S63"/>
  <c r="T63"/>
  <c r="W63"/>
  <c r="X63"/>
  <c r="AA63"/>
  <c r="AB63"/>
  <c r="AC63"/>
  <c r="AD63"/>
  <c r="AE63"/>
  <c r="AF63"/>
  <c r="AH63"/>
  <c r="AI63"/>
  <c r="AL63"/>
  <c r="AM63"/>
  <c r="AP63"/>
  <c r="AQ63"/>
  <c r="AR63"/>
  <c r="AS63"/>
  <c r="AT63"/>
  <c r="AU63"/>
  <c r="D64"/>
  <c r="E64"/>
  <c r="H64"/>
  <c r="I64"/>
  <c r="L64"/>
  <c r="M64"/>
  <c r="N64"/>
  <c r="O64"/>
  <c r="P64"/>
  <c r="Q64"/>
  <c r="S64"/>
  <c r="T64"/>
  <c r="W64"/>
  <c r="X64"/>
  <c r="AA64"/>
  <c r="AB64"/>
  <c r="AC64"/>
  <c r="AD64"/>
  <c r="AE64"/>
  <c r="AF64"/>
  <c r="AH64"/>
  <c r="AI64"/>
  <c r="AL64"/>
  <c r="AM64"/>
  <c r="AP64"/>
  <c r="AQ64"/>
  <c r="AR64"/>
  <c r="AS64"/>
  <c r="AT64"/>
  <c r="AU64"/>
  <c r="D65"/>
  <c r="E65"/>
  <c r="H65"/>
  <c r="I65"/>
  <c r="L65"/>
  <c r="M65"/>
  <c r="N65"/>
  <c r="O65"/>
  <c r="P65"/>
  <c r="Q65"/>
  <c r="S65"/>
  <c r="T65"/>
  <c r="W65"/>
  <c r="X65"/>
  <c r="AA65"/>
  <c r="AB65"/>
  <c r="AC65"/>
  <c r="AD65"/>
  <c r="AE65"/>
  <c r="AF65"/>
  <c r="AH65"/>
  <c r="AI65"/>
  <c r="AL65"/>
  <c r="AM65"/>
  <c r="AP65"/>
  <c r="AQ65"/>
  <c r="AR65"/>
  <c r="AS65"/>
  <c r="AT65"/>
  <c r="AU65"/>
  <c r="D66"/>
  <c r="E66"/>
  <c r="H66"/>
  <c r="I66"/>
  <c r="L66"/>
  <c r="M66"/>
  <c r="N66"/>
  <c r="O66"/>
  <c r="P66"/>
  <c r="Q66"/>
  <c r="S66"/>
  <c r="T66"/>
  <c r="W66"/>
  <c r="X66"/>
  <c r="AA66"/>
  <c r="AB66"/>
  <c r="AC66"/>
  <c r="AD66"/>
  <c r="AE66"/>
  <c r="AF66"/>
  <c r="AH66"/>
  <c r="AI66"/>
  <c r="AL66"/>
  <c r="AM66"/>
  <c r="AP66"/>
  <c r="AQ66"/>
  <c r="AR66"/>
  <c r="AS66"/>
  <c r="AT66"/>
  <c r="AU66"/>
  <c r="D67"/>
  <c r="E67"/>
  <c r="H67"/>
  <c r="I67"/>
  <c r="L67"/>
  <c r="M67"/>
  <c r="N67"/>
  <c r="O67"/>
  <c r="P67"/>
  <c r="Q67"/>
  <c r="S67"/>
  <c r="T67"/>
  <c r="W67"/>
  <c r="X67"/>
  <c r="AA67"/>
  <c r="AB67"/>
  <c r="AC67"/>
  <c r="AD67"/>
  <c r="AE67"/>
  <c r="AF67"/>
  <c r="AH67"/>
  <c r="AI67"/>
  <c r="AL67"/>
  <c r="AM67"/>
  <c r="AP67"/>
  <c r="AQ67"/>
  <c r="AR67"/>
  <c r="AS67"/>
  <c r="AT67"/>
  <c r="AU67"/>
  <c r="D68"/>
  <c r="E68"/>
  <c r="H68"/>
  <c r="I68"/>
  <c r="L68"/>
  <c r="M68"/>
  <c r="N68"/>
  <c r="O68"/>
  <c r="P68"/>
  <c r="Q68"/>
  <c r="S68"/>
  <c r="T68"/>
  <c r="W68"/>
  <c r="X68"/>
  <c r="AA68"/>
  <c r="AB68"/>
  <c r="AC68"/>
  <c r="AD68"/>
  <c r="AE68"/>
  <c r="AF68"/>
  <c r="AH68"/>
  <c r="AI68"/>
  <c r="AL68"/>
  <c r="AM68"/>
  <c r="AP68"/>
  <c r="AQ68"/>
  <c r="AR68"/>
  <c r="AS68"/>
  <c r="AT68"/>
  <c r="AU68"/>
  <c r="D69"/>
  <c r="E69"/>
  <c r="H69"/>
  <c r="I69"/>
  <c r="L69"/>
  <c r="M69"/>
  <c r="N69"/>
  <c r="O69"/>
  <c r="P69"/>
  <c r="Q69"/>
  <c r="S69"/>
  <c r="T69"/>
  <c r="W69"/>
  <c r="X69"/>
  <c r="AA69"/>
  <c r="AB69"/>
  <c r="AC69"/>
  <c r="AD69"/>
  <c r="AE69"/>
  <c r="AF69"/>
  <c r="AH69"/>
  <c r="AI69"/>
  <c r="AL69"/>
  <c r="AM69"/>
  <c r="AP69"/>
  <c r="AQ69"/>
  <c r="AR69"/>
  <c r="AS69"/>
  <c r="AT69"/>
  <c r="AU69"/>
  <c r="D70"/>
  <c r="E70"/>
  <c r="H70"/>
  <c r="I70"/>
  <c r="L70"/>
  <c r="M70"/>
  <c r="N70"/>
  <c r="O70"/>
  <c r="P70"/>
  <c r="Q70"/>
  <c r="S70"/>
  <c r="T70"/>
  <c r="W70"/>
  <c r="X70"/>
  <c r="AA70"/>
  <c r="AB70"/>
  <c r="AC70"/>
  <c r="AD70"/>
  <c r="AE70"/>
  <c r="AF70"/>
  <c r="AH70"/>
  <c r="AI70"/>
  <c r="AL70"/>
  <c r="AM70"/>
  <c r="AP70"/>
  <c r="AQ70"/>
  <c r="AR70"/>
  <c r="AS70"/>
  <c r="AT70"/>
  <c r="AU70"/>
  <c r="D71"/>
  <c r="E71"/>
  <c r="H71"/>
  <c r="I71"/>
  <c r="L71"/>
  <c r="M71"/>
  <c r="N71"/>
  <c r="O71"/>
  <c r="P71"/>
  <c r="Q71"/>
  <c r="S71"/>
  <c r="T71"/>
  <c r="W71"/>
  <c r="X71"/>
  <c r="AA71"/>
  <c r="AB71"/>
  <c r="AC71"/>
  <c r="AD71"/>
  <c r="AE71"/>
  <c r="AF71"/>
  <c r="AH71"/>
  <c r="AI71"/>
  <c r="AL71"/>
  <c r="AM71"/>
  <c r="AP71"/>
  <c r="AQ71"/>
  <c r="AR71"/>
  <c r="AS71"/>
  <c r="AT71"/>
  <c r="AU71"/>
  <c r="D72"/>
  <c r="E72"/>
  <c r="H72"/>
  <c r="I72"/>
  <c r="L72"/>
  <c r="M72"/>
  <c r="N72"/>
  <c r="O72"/>
  <c r="P72"/>
  <c r="Q72"/>
  <c r="S72"/>
  <c r="T72"/>
  <c r="W72"/>
  <c r="X72"/>
  <c r="AA72"/>
  <c r="AB72"/>
  <c r="AC72"/>
  <c r="AD72"/>
  <c r="AE72"/>
  <c r="AF72"/>
  <c r="AH72"/>
  <c r="AI72"/>
  <c r="AL72"/>
  <c r="AM72"/>
  <c r="AP72"/>
  <c r="AQ72"/>
  <c r="AR72"/>
  <c r="AS72"/>
  <c r="AT72"/>
  <c r="AU72"/>
  <c r="D73"/>
  <c r="E73"/>
  <c r="H73"/>
  <c r="I73"/>
  <c r="L73"/>
  <c r="M73"/>
  <c r="N73"/>
  <c r="O73"/>
  <c r="P73"/>
  <c r="Q73"/>
  <c r="S73"/>
  <c r="T73"/>
  <c r="W73"/>
  <c r="X73"/>
  <c r="AA73"/>
  <c r="AB73"/>
  <c r="AC73"/>
  <c r="AD73"/>
  <c r="AE73"/>
  <c r="AF73"/>
  <c r="AH73"/>
  <c r="AI73"/>
  <c r="AL73"/>
  <c r="AM73"/>
  <c r="AP73"/>
  <c r="AQ73"/>
  <c r="AR73"/>
  <c r="AS73"/>
  <c r="AT73"/>
  <c r="AU73"/>
  <c r="D74"/>
  <c r="E74"/>
  <c r="H74"/>
  <c r="I74"/>
  <c r="L74"/>
  <c r="M74"/>
  <c r="N74"/>
  <c r="O74"/>
  <c r="P74"/>
  <c r="Q74"/>
  <c r="S74"/>
  <c r="T74"/>
  <c r="W74"/>
  <c r="X74"/>
  <c r="AA74"/>
  <c r="AB74"/>
  <c r="AC74"/>
  <c r="AD74"/>
  <c r="AE74"/>
  <c r="AF74"/>
  <c r="AH74"/>
  <c r="AI74"/>
  <c r="AL74"/>
  <c r="AM74"/>
  <c r="AP74"/>
  <c r="AQ74"/>
  <c r="AR74"/>
  <c r="AS74"/>
  <c r="AT74"/>
  <c r="AU74"/>
  <c r="D75"/>
  <c r="E75"/>
  <c r="H75"/>
  <c r="I75"/>
  <c r="L75"/>
  <c r="M75"/>
  <c r="N75"/>
  <c r="O75"/>
  <c r="P75"/>
  <c r="Q75"/>
  <c r="S75"/>
  <c r="T75"/>
  <c r="W75"/>
  <c r="X75"/>
  <c r="AA75"/>
  <c r="AB75"/>
  <c r="AC75"/>
  <c r="AD75"/>
  <c r="AE75"/>
  <c r="AF75"/>
  <c r="AH75"/>
  <c r="AI75"/>
  <c r="AL75"/>
  <c r="AM75"/>
  <c r="AP75"/>
  <c r="AQ75"/>
  <c r="AR75"/>
  <c r="AS75"/>
  <c r="AT75"/>
  <c r="AU75"/>
  <c r="D76"/>
  <c r="E76"/>
  <c r="H76"/>
  <c r="I76"/>
  <c r="L76"/>
  <c r="M76"/>
  <c r="N76"/>
  <c r="O76"/>
  <c r="P76"/>
  <c r="Q76"/>
  <c r="S76"/>
  <c r="T76"/>
  <c r="W76"/>
  <c r="X76"/>
  <c r="AA76"/>
  <c r="AB76"/>
  <c r="AC76"/>
  <c r="AD76"/>
  <c r="AE76"/>
  <c r="AF76"/>
  <c r="AH76"/>
  <c r="AI76"/>
  <c r="AL76"/>
  <c r="AM76"/>
  <c r="AP76"/>
  <c r="AQ76"/>
  <c r="AR76"/>
  <c r="AS76"/>
  <c r="AT76"/>
  <c r="AU76"/>
  <c r="D77"/>
  <c r="E77"/>
  <c r="H77"/>
  <c r="I77"/>
  <c r="L77"/>
  <c r="M77"/>
  <c r="N77"/>
  <c r="O77"/>
  <c r="P77"/>
  <c r="Q77"/>
  <c r="S77"/>
  <c r="T77"/>
  <c r="W77"/>
  <c r="X77"/>
  <c r="AA77"/>
  <c r="AB77"/>
  <c r="AC77"/>
  <c r="AD77"/>
  <c r="AE77"/>
  <c r="AF77"/>
  <c r="AH77"/>
  <c r="AI77"/>
  <c r="AL77"/>
  <c r="AM77"/>
  <c r="AP77"/>
  <c r="AQ77"/>
  <c r="AR77"/>
  <c r="AS77"/>
  <c r="AT77"/>
  <c r="AU77"/>
  <c r="D78"/>
  <c r="E78"/>
  <c r="H78"/>
  <c r="I78"/>
  <c r="L78"/>
  <c r="M78"/>
  <c r="N78"/>
  <c r="O78"/>
  <c r="P78"/>
  <c r="Q78"/>
  <c r="S78"/>
  <c r="T78"/>
  <c r="W78"/>
  <c r="X78"/>
  <c r="AA78"/>
  <c r="AB78"/>
  <c r="AC78"/>
  <c r="AD78"/>
  <c r="AE78"/>
  <c r="AF78"/>
  <c r="AH78"/>
  <c r="AI78"/>
  <c r="AL78"/>
  <c r="AM78"/>
  <c r="AP78"/>
  <c r="AQ78"/>
  <c r="AR78"/>
  <c r="AS78"/>
  <c r="AT78"/>
  <c r="AU78"/>
  <c r="D79"/>
  <c r="E79"/>
  <c r="H79"/>
  <c r="I79"/>
  <c r="L79"/>
  <c r="M79"/>
  <c r="N79"/>
  <c r="O79"/>
  <c r="P79"/>
  <c r="Q79"/>
  <c r="S79"/>
  <c r="T79"/>
  <c r="W79"/>
  <c r="X79"/>
  <c r="AA79"/>
  <c r="AB79"/>
  <c r="AC79"/>
  <c r="AD79"/>
  <c r="AE79"/>
  <c r="AF79"/>
  <c r="AH79"/>
  <c r="AI79"/>
  <c r="AL79"/>
  <c r="AM79"/>
  <c r="AP79"/>
  <c r="AQ79"/>
  <c r="AR79"/>
  <c r="AS79"/>
  <c r="AT79"/>
  <c r="AU79"/>
  <c r="D80"/>
  <c r="E80"/>
  <c r="H80"/>
  <c r="I80"/>
  <c r="L80"/>
  <c r="M80"/>
  <c r="N80"/>
  <c r="O80"/>
  <c r="P80"/>
  <c r="Q80"/>
  <c r="S80"/>
  <c r="T80"/>
  <c r="W80"/>
  <c r="X80"/>
  <c r="AA80"/>
  <c r="AB80"/>
  <c r="AC80"/>
  <c r="AD80"/>
  <c r="AE80"/>
  <c r="AF80"/>
  <c r="AH80"/>
  <c r="AI80"/>
  <c r="AL80"/>
  <c r="AM80"/>
  <c r="AP80"/>
  <c r="AQ80"/>
  <c r="AR80"/>
  <c r="AS80"/>
  <c r="AT80"/>
  <c r="AU80"/>
  <c r="D81"/>
  <c r="E81"/>
  <c r="H81"/>
  <c r="I81"/>
  <c r="L81"/>
  <c r="M81"/>
  <c r="N81"/>
  <c r="O81"/>
  <c r="P81"/>
  <c r="Q81"/>
  <c r="S81"/>
  <c r="T81"/>
  <c r="W81"/>
  <c r="X81"/>
  <c r="AA81"/>
  <c r="AB81"/>
  <c r="AC81"/>
  <c r="AD81"/>
  <c r="AE81"/>
  <c r="AF81"/>
  <c r="AH81"/>
  <c r="AI81"/>
  <c r="AL81"/>
  <c r="AM81"/>
  <c r="AP81"/>
  <c r="AQ81"/>
  <c r="AR81"/>
  <c r="AS81"/>
  <c r="AT81"/>
  <c r="AU81"/>
  <c r="D82"/>
  <c r="E82"/>
  <c r="H82"/>
  <c r="I82"/>
  <c r="L82"/>
  <c r="M82"/>
  <c r="N82"/>
  <c r="O82"/>
  <c r="P82"/>
  <c r="Q82"/>
  <c r="S82"/>
  <c r="T82"/>
  <c r="W82"/>
  <c r="X82"/>
  <c r="AA82"/>
  <c r="AB82"/>
  <c r="AC82"/>
  <c r="AD82"/>
  <c r="AE82"/>
  <c r="AF82"/>
  <c r="AH82"/>
  <c r="AI82"/>
  <c r="AL82"/>
  <c r="AM82"/>
  <c r="AP82"/>
  <c r="AQ82"/>
  <c r="AR82"/>
  <c r="AS82"/>
  <c r="AT82"/>
  <c r="AU82"/>
  <c r="D83"/>
  <c r="E83"/>
  <c r="H83"/>
  <c r="I83"/>
  <c r="L83"/>
  <c r="M83"/>
  <c r="N83"/>
  <c r="O83"/>
  <c r="P83"/>
  <c r="Q83"/>
  <c r="S83"/>
  <c r="T83"/>
  <c r="W83"/>
  <c r="X83"/>
  <c r="AA83"/>
  <c r="AB83"/>
  <c r="AC83"/>
  <c r="AD83"/>
  <c r="AE83"/>
  <c r="AF83"/>
  <c r="AH83"/>
  <c r="AI83"/>
  <c r="AL83"/>
  <c r="AM83"/>
  <c r="AP83"/>
  <c r="AQ83"/>
  <c r="AR83"/>
  <c r="AS83"/>
  <c r="AT83"/>
  <c r="AU83"/>
  <c r="D84"/>
  <c r="E84"/>
  <c r="H84"/>
  <c r="I84"/>
  <c r="L84"/>
  <c r="M84"/>
  <c r="N84"/>
  <c r="O84"/>
  <c r="P84"/>
  <c r="Q84"/>
  <c r="S84"/>
  <c r="T84"/>
  <c r="W84"/>
  <c r="X84"/>
  <c r="AA84"/>
  <c r="AB84"/>
  <c r="AC84"/>
  <c r="AD84"/>
  <c r="AE84"/>
  <c r="AF84"/>
  <c r="AH84"/>
  <c r="AI84"/>
  <c r="AL84"/>
  <c r="AM84"/>
  <c r="AP84"/>
  <c r="AQ84"/>
  <c r="AR84"/>
  <c r="AS84"/>
  <c r="AT84"/>
  <c r="AU84"/>
  <c r="D85"/>
  <c r="E85"/>
  <c r="H85"/>
  <c r="I85"/>
  <c r="L85"/>
  <c r="M85"/>
  <c r="N85"/>
  <c r="O85"/>
  <c r="P85"/>
  <c r="Q85"/>
  <c r="S85"/>
  <c r="T85"/>
  <c r="W85"/>
  <c r="X85"/>
  <c r="AA85"/>
  <c r="AB85"/>
  <c r="AC85"/>
  <c r="AD85"/>
  <c r="AE85"/>
  <c r="AF85"/>
  <c r="AH85"/>
  <c r="AI85"/>
  <c r="AL85"/>
  <c r="AM85"/>
  <c r="AP85"/>
  <c r="AQ85"/>
  <c r="AR85"/>
  <c r="AS85"/>
  <c r="AT85"/>
  <c r="AU85"/>
  <c r="D86"/>
  <c r="E86"/>
  <c r="H86"/>
  <c r="I86"/>
  <c r="L86"/>
  <c r="M86"/>
  <c r="N86"/>
  <c r="O86"/>
  <c r="P86"/>
  <c r="Q86"/>
  <c r="S86"/>
  <c r="T86"/>
  <c r="W86"/>
  <c r="X86"/>
  <c r="AA86"/>
  <c r="AB86"/>
  <c r="AC86"/>
  <c r="AD86"/>
  <c r="AE86"/>
  <c r="AF86"/>
  <c r="AH86"/>
  <c r="AI86"/>
  <c r="AL86"/>
  <c r="AM86"/>
  <c r="AP86"/>
  <c r="AQ86"/>
  <c r="AR86"/>
  <c r="AS86"/>
  <c r="AT86"/>
  <c r="AU86"/>
  <c r="D87"/>
  <c r="E87"/>
  <c r="H87"/>
  <c r="I87"/>
  <c r="L87"/>
  <c r="M87"/>
  <c r="N87"/>
  <c r="O87"/>
  <c r="P87"/>
  <c r="Q87"/>
  <c r="S87"/>
  <c r="T87"/>
  <c r="W87"/>
  <c r="X87"/>
  <c r="AA87"/>
  <c r="AB87"/>
  <c r="AC87"/>
  <c r="AD87"/>
  <c r="AE87"/>
  <c r="AF87"/>
  <c r="AH87"/>
  <c r="AI87"/>
  <c r="AL87"/>
  <c r="AM87"/>
  <c r="AP87"/>
  <c r="AQ87"/>
  <c r="AR87"/>
  <c r="AS87"/>
  <c r="AT87"/>
  <c r="AU87"/>
  <c r="D88"/>
  <c r="E88"/>
  <c r="H88"/>
  <c r="I88"/>
  <c r="L88"/>
  <c r="M88"/>
  <c r="N88"/>
  <c r="O88"/>
  <c r="P88"/>
  <c r="Q88"/>
  <c r="S88"/>
  <c r="T88"/>
  <c r="W88"/>
  <c r="X88"/>
  <c r="AA88"/>
  <c r="AB88"/>
  <c r="AC88"/>
  <c r="AD88"/>
  <c r="AE88"/>
  <c r="AF88"/>
  <c r="AH88"/>
  <c r="AI88"/>
  <c r="AL88"/>
  <c r="AM88"/>
  <c r="AP88"/>
  <c r="AQ88"/>
  <c r="AR88"/>
  <c r="AS88"/>
  <c r="AT88"/>
  <c r="AU88"/>
  <c r="D89"/>
  <c r="E89"/>
  <c r="H89"/>
  <c r="I89"/>
  <c r="L89"/>
  <c r="M89"/>
  <c r="N89"/>
  <c r="O89"/>
  <c r="P89"/>
  <c r="Q89"/>
  <c r="S89"/>
  <c r="T89"/>
  <c r="W89"/>
  <c r="X89"/>
  <c r="AA89"/>
  <c r="AB89"/>
  <c r="AC89"/>
  <c r="AD89"/>
  <c r="AE89"/>
  <c r="AF89"/>
  <c r="AH89"/>
  <c r="AI89"/>
  <c r="AL89"/>
  <c r="AM89"/>
  <c r="AP89"/>
  <c r="AQ89"/>
  <c r="AR89"/>
  <c r="AS89"/>
  <c r="AT89"/>
  <c r="AU89"/>
  <c r="C4" i="12"/>
  <c r="D4"/>
  <c r="G4"/>
  <c r="H4"/>
  <c r="K4"/>
  <c r="L4"/>
  <c r="N4"/>
  <c r="O4"/>
  <c r="P4"/>
  <c r="Q4"/>
  <c r="R4"/>
  <c r="S4"/>
  <c r="T4"/>
  <c r="U4"/>
  <c r="W4"/>
  <c r="X4"/>
  <c r="AA4"/>
  <c r="AB4"/>
  <c r="AE4"/>
  <c r="AF4"/>
  <c r="AH4"/>
  <c r="AI4"/>
  <c r="AJ4"/>
  <c r="AK4"/>
  <c r="AL4"/>
  <c r="AM4"/>
  <c r="AN4"/>
  <c r="AO4"/>
  <c r="AQ4"/>
  <c r="AR4"/>
  <c r="AU4"/>
  <c r="AV4"/>
  <c r="AY4"/>
  <c r="AZ4"/>
  <c r="BB4"/>
  <c r="BC4"/>
  <c r="BD4"/>
  <c r="BE4"/>
  <c r="BF4"/>
  <c r="BG4"/>
  <c r="BH4"/>
  <c r="BI4"/>
  <c r="C5"/>
  <c r="D5"/>
  <c r="G5"/>
  <c r="H5"/>
  <c r="K5"/>
  <c r="L5"/>
  <c r="N5"/>
  <c r="O5"/>
  <c r="P5"/>
  <c r="Q5"/>
  <c r="R5"/>
  <c r="S5"/>
  <c r="T5"/>
  <c r="U5"/>
  <c r="W5"/>
  <c r="X5"/>
  <c r="AA5"/>
  <c r="AB5"/>
  <c r="AE5"/>
  <c r="AF5"/>
  <c r="AH5"/>
  <c r="AI5"/>
  <c r="AJ5"/>
  <c r="AK5"/>
  <c r="AL5"/>
  <c r="AM5"/>
  <c r="AN5"/>
  <c r="AO5"/>
  <c r="AQ5"/>
  <c r="AR5"/>
  <c r="AU5"/>
  <c r="AV5"/>
  <c r="AY5"/>
  <c r="AZ5"/>
  <c r="BB5"/>
  <c r="BC5"/>
  <c r="BD5"/>
  <c r="BE5"/>
  <c r="BF5"/>
  <c r="BG5"/>
  <c r="BH5"/>
  <c r="BI5"/>
  <c r="C6"/>
  <c r="D6"/>
  <c r="G6"/>
  <c r="H6"/>
  <c r="K6"/>
  <c r="L6"/>
  <c r="N6"/>
  <c r="O6"/>
  <c r="P6"/>
  <c r="Q6"/>
  <c r="R6"/>
  <c r="S6"/>
  <c r="T6"/>
  <c r="U6"/>
  <c r="W6"/>
  <c r="X6"/>
  <c r="AA6"/>
  <c r="AB6"/>
  <c r="AE6"/>
  <c r="AF6"/>
  <c r="AH6"/>
  <c r="AI6"/>
  <c r="AJ6"/>
  <c r="AK6"/>
  <c r="AL6"/>
  <c r="AM6"/>
  <c r="AN6"/>
  <c r="AO6"/>
  <c r="AQ6"/>
  <c r="AR6"/>
  <c r="AU6"/>
  <c r="AV6"/>
  <c r="AY6"/>
  <c r="AZ6"/>
  <c r="BB6"/>
  <c r="BC6"/>
  <c r="BD6"/>
  <c r="BE6"/>
  <c r="BF6"/>
  <c r="BG6"/>
  <c r="BH6"/>
  <c r="BI6"/>
  <c r="C7"/>
  <c r="D7"/>
  <c r="G7"/>
  <c r="H7"/>
  <c r="K7"/>
  <c r="L7"/>
  <c r="N7"/>
  <c r="O7"/>
  <c r="P7"/>
  <c r="Q7"/>
  <c r="R7"/>
  <c r="S7"/>
  <c r="T7"/>
  <c r="U7"/>
  <c r="W7"/>
  <c r="X7"/>
  <c r="AA7"/>
  <c r="AB7"/>
  <c r="AE7"/>
  <c r="AF7"/>
  <c r="AH7"/>
  <c r="AI7"/>
  <c r="AJ7"/>
  <c r="AK7"/>
  <c r="AL7"/>
  <c r="AM7"/>
  <c r="AN7"/>
  <c r="AO7"/>
  <c r="AQ7"/>
  <c r="AR7"/>
  <c r="AU7"/>
  <c r="AV7"/>
  <c r="AY7"/>
  <c r="AZ7"/>
  <c r="BB7"/>
  <c r="BC7"/>
  <c r="BD7"/>
  <c r="BE7"/>
  <c r="BF7"/>
  <c r="BG7"/>
  <c r="BH7"/>
  <c r="BI7"/>
  <c r="C8"/>
  <c r="D8"/>
  <c r="G8"/>
  <c r="H8"/>
  <c r="K8"/>
  <c r="L8"/>
  <c r="N8"/>
  <c r="O8"/>
  <c r="P8"/>
  <c r="Q8"/>
  <c r="R8"/>
  <c r="S8"/>
  <c r="T8"/>
  <c r="U8"/>
  <c r="W8"/>
  <c r="X8"/>
  <c r="AA8"/>
  <c r="AB8"/>
  <c r="AE8"/>
  <c r="AF8"/>
  <c r="AH8"/>
  <c r="AI8"/>
  <c r="AJ8"/>
  <c r="AK8"/>
  <c r="AL8"/>
  <c r="AM8"/>
  <c r="AN8"/>
  <c r="AO8"/>
  <c r="AQ8"/>
  <c r="AR8"/>
  <c r="AU8"/>
  <c r="AV8"/>
  <c r="AY8"/>
  <c r="AZ8"/>
  <c r="BB8"/>
  <c r="BC8"/>
  <c r="BD8"/>
  <c r="BE8"/>
  <c r="BF8"/>
  <c r="BG8"/>
  <c r="BH8"/>
  <c r="BI8"/>
  <c r="C9"/>
  <c r="D9"/>
  <c r="G9"/>
  <c r="H9"/>
  <c r="K9"/>
  <c r="L9"/>
  <c r="N9"/>
  <c r="O9"/>
  <c r="P9"/>
  <c r="Q9"/>
  <c r="R9"/>
  <c r="S9"/>
  <c r="T9"/>
  <c r="U9"/>
  <c r="W9"/>
  <c r="X9"/>
  <c r="AA9"/>
  <c r="AB9"/>
  <c r="AE9"/>
  <c r="AF9"/>
  <c r="AH9"/>
  <c r="AI9"/>
  <c r="AJ9"/>
  <c r="AK9"/>
  <c r="AL9"/>
  <c r="AM9"/>
  <c r="AN9"/>
  <c r="AO9"/>
  <c r="AQ9"/>
  <c r="AR9"/>
  <c r="AU9"/>
  <c r="AV9"/>
  <c r="AY9"/>
  <c r="AZ9"/>
  <c r="BB9"/>
  <c r="BC9"/>
  <c r="BD9"/>
  <c r="BE9"/>
  <c r="BF9"/>
  <c r="BG9"/>
  <c r="BH9"/>
  <c r="BI9"/>
  <c r="C10"/>
  <c r="D10"/>
  <c r="G10"/>
  <c r="H10"/>
  <c r="K10"/>
  <c r="L10"/>
  <c r="N10"/>
  <c r="O10"/>
  <c r="P10"/>
  <c r="Q10"/>
  <c r="R10"/>
  <c r="S10"/>
  <c r="T10"/>
  <c r="U10"/>
  <c r="W10"/>
  <c r="X10"/>
  <c r="AA10"/>
  <c r="AB10"/>
  <c r="AE10"/>
  <c r="AF10"/>
  <c r="AH10"/>
  <c r="AI10"/>
  <c r="AJ10"/>
  <c r="AK10"/>
  <c r="AL10"/>
  <c r="AM10"/>
  <c r="AN10"/>
  <c r="AO10"/>
  <c r="AQ10"/>
  <c r="AR10"/>
  <c r="AU10"/>
  <c r="AV10"/>
  <c r="AY10"/>
  <c r="AZ10"/>
  <c r="BB10"/>
  <c r="BC10"/>
  <c r="BD10"/>
  <c r="BE10"/>
  <c r="BF10"/>
  <c r="BG10"/>
  <c r="BH10"/>
  <c r="BI10"/>
  <c r="C11"/>
  <c r="D11"/>
  <c r="G11"/>
  <c r="H11"/>
  <c r="K11"/>
  <c r="L11"/>
  <c r="N11"/>
  <c r="O11"/>
  <c r="P11"/>
  <c r="Q11"/>
  <c r="R11"/>
  <c r="S11"/>
  <c r="T11"/>
  <c r="U11"/>
  <c r="W11"/>
  <c r="X11"/>
  <c r="AA11"/>
  <c r="AB11"/>
  <c r="AE11"/>
  <c r="AF11"/>
  <c r="AH11"/>
  <c r="AI11"/>
  <c r="AJ11"/>
  <c r="AK11"/>
  <c r="AL11"/>
  <c r="AM11"/>
  <c r="AN11"/>
  <c r="AO11"/>
  <c r="AQ11"/>
  <c r="AR11"/>
  <c r="AU11"/>
  <c r="AV11"/>
  <c r="AY11"/>
  <c r="AZ11"/>
  <c r="BB11"/>
  <c r="BC11"/>
  <c r="BD11"/>
  <c r="BE11"/>
  <c r="BF11"/>
  <c r="BG11"/>
  <c r="BH11"/>
  <c r="BI11"/>
  <c r="C14"/>
  <c r="D14"/>
  <c r="G14"/>
  <c r="H14"/>
  <c r="K14"/>
  <c r="L14"/>
  <c r="N14"/>
  <c r="O14"/>
  <c r="P14"/>
  <c r="Q14"/>
  <c r="R14"/>
  <c r="S14"/>
  <c r="T14"/>
  <c r="U14"/>
  <c r="W14"/>
  <c r="X14"/>
  <c r="AA14"/>
  <c r="AB14"/>
  <c r="AE14"/>
  <c r="AF14"/>
  <c r="AH14"/>
  <c r="AI14"/>
  <c r="AJ14"/>
  <c r="AK14"/>
  <c r="AL14"/>
  <c r="AM14"/>
  <c r="AN14"/>
  <c r="AO14"/>
  <c r="AQ14"/>
  <c r="AR14"/>
  <c r="AU14"/>
  <c r="AV14"/>
  <c r="AY14"/>
  <c r="AZ14"/>
  <c r="BB14"/>
  <c r="BC14"/>
  <c r="BD14"/>
  <c r="BE14"/>
  <c r="BF14"/>
  <c r="BG14"/>
  <c r="BH14"/>
  <c r="BI14"/>
  <c r="C15"/>
  <c r="D15"/>
  <c r="G15"/>
  <c r="H15"/>
  <c r="K15"/>
  <c r="L15"/>
  <c r="N15"/>
  <c r="O15"/>
  <c r="P15"/>
  <c r="Q15"/>
  <c r="R15"/>
  <c r="S15"/>
  <c r="T15"/>
  <c r="U15"/>
  <c r="W15"/>
  <c r="X15"/>
  <c r="AA15"/>
  <c r="AB15"/>
  <c r="AE15"/>
  <c r="AF15"/>
  <c r="AH15"/>
  <c r="AI15"/>
  <c r="AJ15"/>
  <c r="AK15"/>
  <c r="AL15"/>
  <c r="AM15"/>
  <c r="AN15"/>
  <c r="AO15"/>
  <c r="AQ15"/>
  <c r="AR15"/>
  <c r="AU15"/>
  <c r="AV15"/>
  <c r="AY15"/>
  <c r="AZ15"/>
  <c r="BB15"/>
  <c r="BC15"/>
  <c r="BD15"/>
  <c r="BE15"/>
  <c r="BF15"/>
  <c r="BG15"/>
  <c r="BH15"/>
  <c r="BI15"/>
  <c r="C16"/>
  <c r="D16"/>
  <c r="G16"/>
  <c r="H16"/>
  <c r="K16"/>
  <c r="L16"/>
  <c r="N16"/>
  <c r="O16"/>
  <c r="P16"/>
  <c r="Q16"/>
  <c r="R16"/>
  <c r="S16"/>
  <c r="T16"/>
  <c r="U16"/>
  <c r="W16"/>
  <c r="X16"/>
  <c r="AA16"/>
  <c r="AB16"/>
  <c r="AE16"/>
  <c r="AF16"/>
  <c r="AH16"/>
  <c r="AI16"/>
  <c r="AJ16"/>
  <c r="AK16"/>
  <c r="AL16"/>
  <c r="AM16"/>
  <c r="AN16"/>
  <c r="AO16"/>
  <c r="AQ16"/>
  <c r="AR16"/>
  <c r="AU16"/>
  <c r="AV16"/>
  <c r="AY16"/>
  <c r="AZ16"/>
  <c r="BB16"/>
  <c r="BC16"/>
  <c r="BD16"/>
  <c r="BE16"/>
  <c r="BF16"/>
  <c r="BG16"/>
  <c r="BH16"/>
  <c r="BI16"/>
  <c r="C17"/>
  <c r="D17"/>
  <c r="G17"/>
  <c r="H17"/>
  <c r="K17"/>
  <c r="L17"/>
  <c r="N17"/>
  <c r="O17"/>
  <c r="P17"/>
  <c r="Q17"/>
  <c r="R17"/>
  <c r="S17"/>
  <c r="T17"/>
  <c r="U17"/>
  <c r="W17"/>
  <c r="X17"/>
  <c r="AA17"/>
  <c r="AB17"/>
  <c r="AE17"/>
  <c r="AF17"/>
  <c r="AH17"/>
  <c r="AI17"/>
  <c r="AJ17"/>
  <c r="AK17"/>
  <c r="AL17"/>
  <c r="AM17"/>
  <c r="AN17"/>
  <c r="AO17"/>
  <c r="AQ17"/>
  <c r="AR17"/>
  <c r="AU17"/>
  <c r="AV17"/>
  <c r="AY17"/>
  <c r="AZ17"/>
  <c r="BB17"/>
  <c r="BC17"/>
  <c r="BD17"/>
  <c r="BE17"/>
  <c r="BF17"/>
  <c r="BG17"/>
  <c r="BH17"/>
  <c r="BI17"/>
  <c r="C18"/>
  <c r="D18"/>
  <c r="G18"/>
  <c r="H18"/>
  <c r="K18"/>
  <c r="L18"/>
  <c r="N18"/>
  <c r="O18"/>
  <c r="P18"/>
  <c r="Q18"/>
  <c r="R18"/>
  <c r="S18"/>
  <c r="T18"/>
  <c r="U18"/>
  <c r="W18"/>
  <c r="X18"/>
  <c r="AA18"/>
  <c r="AB18"/>
  <c r="AE18"/>
  <c r="AF18"/>
  <c r="AH18"/>
  <c r="AI18"/>
  <c r="AJ18"/>
  <c r="AK18"/>
  <c r="AL18"/>
  <c r="AM18"/>
  <c r="AN18"/>
  <c r="AO18"/>
  <c r="AQ18"/>
  <c r="AR18"/>
  <c r="AU18"/>
  <c r="AV18"/>
  <c r="AY18"/>
  <c r="AZ18"/>
  <c r="BB18"/>
  <c r="BC18"/>
  <c r="BD18"/>
  <c r="BE18"/>
  <c r="BF18"/>
  <c r="BG18"/>
  <c r="BH18"/>
  <c r="BI18"/>
  <c r="C19"/>
  <c r="D19"/>
  <c r="G19"/>
  <c r="H19"/>
  <c r="K19"/>
  <c r="L19"/>
  <c r="N19"/>
  <c r="O19"/>
  <c r="P19"/>
  <c r="Q19"/>
  <c r="R19"/>
  <c r="S19"/>
  <c r="T19"/>
  <c r="U19"/>
  <c r="W19"/>
  <c r="X19"/>
  <c r="AA19"/>
  <c r="AB19"/>
  <c r="AE19"/>
  <c r="AF19"/>
  <c r="AH19"/>
  <c r="AI19"/>
  <c r="AJ19"/>
  <c r="AK19"/>
  <c r="AL19"/>
  <c r="AM19"/>
  <c r="AN19"/>
  <c r="AO19"/>
  <c r="AQ19"/>
  <c r="AR19"/>
  <c r="AU19"/>
  <c r="AV19"/>
  <c r="AY19"/>
  <c r="AZ19"/>
  <c r="BB19"/>
  <c r="BC19"/>
  <c r="BD19"/>
  <c r="BE19"/>
  <c r="BF19"/>
  <c r="BG19"/>
  <c r="BH19"/>
  <c r="BI19"/>
  <c r="C20"/>
  <c r="D20"/>
  <c r="G20"/>
  <c r="H20"/>
  <c r="K20"/>
  <c r="L20"/>
  <c r="N20"/>
  <c r="O20"/>
  <c r="P20"/>
  <c r="Q20"/>
  <c r="R20"/>
  <c r="S20"/>
  <c r="T20"/>
  <c r="U20"/>
  <c r="W20"/>
  <c r="X20"/>
  <c r="AA20"/>
  <c r="AB20"/>
  <c r="AE20"/>
  <c r="AF20"/>
  <c r="AH20"/>
  <c r="AI20"/>
  <c r="AJ20"/>
  <c r="AK20"/>
  <c r="AL20"/>
  <c r="AM20"/>
  <c r="AN20"/>
  <c r="AO20"/>
  <c r="AQ20"/>
  <c r="AR20"/>
  <c r="AU20"/>
  <c r="AV20"/>
  <c r="AY20"/>
  <c r="AZ20"/>
  <c r="BB20"/>
  <c r="BC20"/>
  <c r="BD20"/>
  <c r="BE20"/>
  <c r="BF20"/>
  <c r="BG20"/>
  <c r="BH20"/>
  <c r="BI20"/>
  <c r="C21"/>
  <c r="D21"/>
  <c r="G21"/>
  <c r="H21"/>
  <c r="K21"/>
  <c r="L21"/>
  <c r="N21"/>
  <c r="O21"/>
  <c r="P21"/>
  <c r="Q21"/>
  <c r="R21"/>
  <c r="S21"/>
  <c r="T21"/>
  <c r="U21"/>
  <c r="W21"/>
  <c r="X21"/>
  <c r="AA21"/>
  <c r="AB21"/>
  <c r="AE21"/>
  <c r="AF21"/>
  <c r="AH21"/>
  <c r="AI21"/>
  <c r="AJ21"/>
  <c r="AK21"/>
  <c r="AL21"/>
  <c r="AM21"/>
  <c r="AN21"/>
  <c r="AO21"/>
  <c r="AQ21"/>
  <c r="AR21"/>
  <c r="AU21"/>
  <c r="AV21"/>
  <c r="AY21"/>
  <c r="AZ21"/>
  <c r="BB21"/>
  <c r="BC21"/>
  <c r="BD21"/>
  <c r="BE21"/>
  <c r="BF21"/>
  <c r="BG21"/>
  <c r="BH21"/>
  <c r="BI21"/>
</calcChain>
</file>

<file path=xl/sharedStrings.xml><?xml version="1.0" encoding="utf-8"?>
<sst xmlns="http://schemas.openxmlformats.org/spreadsheetml/2006/main" count="771" uniqueCount="314">
  <si>
    <t>gm_power</t>
  </si>
  <si>
    <t>PARAMETER</t>
  </si>
  <si>
    <t>V</t>
  </si>
  <si>
    <t>A/V</t>
  </si>
  <si>
    <t>ns</t>
  </si>
  <si>
    <t>mA</t>
  </si>
  <si>
    <t>V/ns</t>
  </si>
  <si>
    <t>LX_slew_rise</t>
  </si>
  <si>
    <t>LX_slew_fall</t>
  </si>
  <si>
    <t>nC</t>
  </si>
  <si>
    <t>AVOL</t>
  </si>
  <si>
    <t>dB</t>
  </si>
  <si>
    <t>gm_EA</t>
  </si>
  <si>
    <t>A</t>
  </si>
  <si>
    <t>Rz</t>
  </si>
  <si>
    <t>Cp</t>
  </si>
  <si>
    <t>MHz</t>
  </si>
  <si>
    <t>nF</t>
  </si>
  <si>
    <t>pF</t>
  </si>
  <si>
    <t>KHz</t>
  </si>
  <si>
    <t>mV</t>
  </si>
  <si>
    <t>VFB</t>
  </si>
  <si>
    <t>‒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</si>
  <si>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</si>
  <si>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%</t>
  </si>
  <si>
    <t>VFB tol</t>
  </si>
  <si>
    <t>Co_ESR</t>
  </si>
  <si>
    <t>Co_ESL</t>
  </si>
  <si>
    <t>nH</t>
  </si>
  <si>
    <t>VALUE</t>
  </si>
  <si>
    <t>COMPONENT</t>
  </si>
  <si>
    <t>MIN</t>
  </si>
  <si>
    <t>TYP</t>
  </si>
  <si>
    <t>MAX</t>
  </si>
  <si>
    <t>UNITS</t>
  </si>
  <si>
    <t>UVLO Hysteresis</t>
  </si>
  <si>
    <t>COMMENTS</t>
  </si>
  <si>
    <t>ms</t>
  </si>
  <si>
    <t>SS_I_source</t>
  </si>
  <si>
    <t>Fsw_tol</t>
  </si>
  <si>
    <t xml:space="preserve">Fsw = </t>
  </si>
  <si>
    <t>Fsw_max</t>
  </si>
  <si>
    <t>Cin_min</t>
  </si>
  <si>
    <t>fc =</t>
  </si>
  <si>
    <t>Input capacitance RMS current requirement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</si>
  <si>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ILo, target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</si>
  <si>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ILo_max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</si>
  <si>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ILo_typ</t>
    </r>
  </si>
  <si>
    <t>Calculated values</t>
  </si>
  <si>
    <t>Used to calculate Lo at typical Vin, Vout</t>
  </si>
  <si>
    <t>Vout, target</t>
  </si>
  <si>
    <t>RFB1_calc</t>
  </si>
  <si>
    <t>RFB2_calc</t>
  </si>
  <si>
    <t xml:space="preserve">RFB1 = </t>
  </si>
  <si>
    <t>RFB2 =</t>
  </si>
  <si>
    <t>Data sheet values</t>
  </si>
  <si>
    <t>Design supplied value</t>
  </si>
  <si>
    <t>Data sheet value</t>
  </si>
  <si>
    <t>C_SS_min</t>
  </si>
  <si>
    <t>Output inductor tolerances</t>
  </si>
  <si>
    <t>SS_release</t>
  </si>
  <si>
    <t>t_ss_typ</t>
  </si>
  <si>
    <t>SS_delay_typ</t>
  </si>
  <si>
    <t>Typical soft-start ramp time using actual C_SS</t>
  </si>
  <si>
    <t xml:space="preserve">C_SS = </t>
  </si>
  <si>
    <t>Recommended minimum soft-start capacitor</t>
  </si>
  <si>
    <r>
      <t>K</t>
    </r>
    <r>
      <rPr>
        <sz val="11"/>
        <color indexed="8"/>
        <rFont val="Calibri"/>
        <family val="2"/>
      </rPr>
      <t>Ω</t>
    </r>
  </si>
  <si>
    <t>Approximate soft start time (Vout ramp)</t>
  </si>
  <si>
    <r>
      <t>A</t>
    </r>
    <r>
      <rPr>
        <vertAlign val="subscript"/>
        <sz val="11"/>
        <color indexed="8"/>
        <rFont val="Calibri"/>
        <family val="2"/>
      </rPr>
      <t>DC</t>
    </r>
  </si>
  <si>
    <r>
      <t>A</t>
    </r>
    <r>
      <rPr>
        <vertAlign val="subscript"/>
        <sz val="11"/>
        <color indexed="8"/>
        <rFont val="Calibri"/>
        <family val="2"/>
      </rPr>
      <t>PP</t>
    </r>
  </si>
  <si>
    <r>
      <t>A</t>
    </r>
    <r>
      <rPr>
        <vertAlign val="subscript"/>
        <sz val="11"/>
        <color indexed="8"/>
        <rFont val="Calibri"/>
        <family val="2"/>
      </rPr>
      <t>PEAK</t>
    </r>
  </si>
  <si>
    <t>SS time, target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</si>
  <si>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</si>
  <si>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</si>
  <si>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indexed="8"/>
        <rFont val="Calibri"/>
        <family val="2"/>
      </rPr>
      <t>RMS</t>
    </r>
  </si>
  <si>
    <r>
      <t>Iout</t>
    </r>
    <r>
      <rPr>
        <b/>
        <vertAlign val="subscript"/>
        <sz val="11"/>
        <color indexed="8"/>
        <rFont val="Calibri"/>
        <family val="2"/>
      </rPr>
      <t>MAX</t>
    </r>
  </si>
  <si>
    <r>
      <t>% of Iout</t>
    </r>
    <r>
      <rPr>
        <vertAlign val="subscript"/>
        <sz val="11"/>
        <color indexed="8"/>
        <rFont val="Calibri"/>
        <family val="2"/>
      </rPr>
      <t>MAX</t>
    </r>
  </si>
  <si>
    <r>
      <t>fc</t>
    </r>
    <r>
      <rPr>
        <b/>
        <vertAlign val="subscript"/>
        <sz val="11"/>
        <color indexed="8"/>
        <rFont val="Calibri"/>
        <family val="2"/>
      </rPr>
      <t>MAX</t>
    </r>
  </si>
  <si>
    <t>RFB combo</t>
  </si>
  <si>
    <t>Recommended minimum input capacitance including DC bias</t>
  </si>
  <si>
    <r>
      <t>Typical delay from EN</t>
    </r>
    <r>
      <rPr>
        <sz val="11"/>
        <color indexed="8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 to when LX begins switching and Vout rises</t>
    </r>
  </si>
  <si>
    <t>Ω</t>
  </si>
  <si>
    <r>
      <t>f</t>
    </r>
    <r>
      <rPr>
        <b/>
        <vertAlign val="subscript"/>
        <sz val="11"/>
        <color indexed="8"/>
        <rFont val="Calibri"/>
        <family val="2"/>
      </rPr>
      <t>P1</t>
    </r>
  </si>
  <si>
    <r>
      <t>f</t>
    </r>
    <r>
      <rPr>
        <b/>
        <vertAlign val="subscript"/>
        <sz val="11"/>
        <color indexed="8"/>
        <rFont val="Calibri"/>
        <family val="2"/>
      </rPr>
      <t>Z1</t>
    </r>
  </si>
  <si>
    <t>Ro_EA</t>
  </si>
  <si>
    <r>
      <t>M</t>
    </r>
    <r>
      <rPr>
        <sz val="11"/>
        <color indexed="8"/>
        <rFont val="Calibri"/>
        <family val="2"/>
      </rPr>
      <t>Ω</t>
    </r>
  </si>
  <si>
    <t xml:space="preserve">Rz = </t>
  </si>
  <si>
    <t>Use the closest available 1% standard resister value</t>
  </si>
  <si>
    <r>
      <t>R_LOAD</t>
    </r>
    <r>
      <rPr>
        <b/>
        <vertAlign val="subscript"/>
        <sz val="11"/>
        <color indexed="8"/>
        <rFont val="Calibri"/>
        <family val="2"/>
      </rPr>
      <t>TYP</t>
    </r>
  </si>
  <si>
    <t>Zero formed by the output capacitance and its ESR</t>
  </si>
  <si>
    <t>Recommended FB resister from Vout to VFB</t>
  </si>
  <si>
    <t>Recommended FB resister from VFB to GND</t>
  </si>
  <si>
    <t>Desired output voltage</t>
  </si>
  <si>
    <t>Desired maximum output current</t>
  </si>
  <si>
    <t>Choose a standard resister value, or combination of values</t>
  </si>
  <si>
    <t>Iout</t>
  </si>
  <si>
    <t>Pin</t>
  </si>
  <si>
    <t>Chosen value, total R seen by the FB pin</t>
  </si>
  <si>
    <r>
      <t>m</t>
    </r>
    <r>
      <rPr>
        <sz val="11"/>
        <color indexed="8"/>
        <rFont val="Calibri"/>
        <family val="2"/>
      </rPr>
      <t>Ω</t>
    </r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</si>
  <si>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</si>
  <si>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t>T</t>
    </r>
    <r>
      <rPr>
        <b/>
        <vertAlign val="subscript"/>
        <sz val="11"/>
        <color indexed="8"/>
        <rFont val="Calibri"/>
        <family val="2"/>
      </rPr>
      <t>AMB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</si>
  <si>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MAX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</si>
  <si>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MIN</t>
    </r>
  </si>
  <si>
    <r>
      <t>t_on</t>
    </r>
    <r>
      <rPr>
        <b/>
        <vertAlign val="subscript"/>
        <sz val="11"/>
        <color indexed="8"/>
        <rFont val="Calibri"/>
        <family val="2"/>
      </rPr>
      <t>MIN</t>
    </r>
  </si>
  <si>
    <r>
      <t>t_off</t>
    </r>
    <r>
      <rPr>
        <b/>
        <vertAlign val="subscript"/>
        <sz val="11"/>
        <color indexed="8"/>
        <rFont val="Calibri"/>
        <family val="2"/>
      </rPr>
      <t>MIN</t>
    </r>
  </si>
  <si>
    <t>Vin</t>
  </si>
  <si>
    <t>TCR of RDSon</t>
  </si>
  <si>
    <r>
      <t xml:space="preserve">% / </t>
    </r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</si>
  <si>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A/V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</si>
  <si>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</t>
    </r>
  </si>
  <si>
    <t>Vo</t>
  </si>
  <si>
    <t>Capacitors</t>
  </si>
  <si>
    <t>Co_tol</t>
  </si>
  <si>
    <r>
      <t>m</t>
    </r>
    <r>
      <rPr>
        <sz val="11"/>
        <color theme="1"/>
        <rFont val="Calibri"/>
        <family val="2"/>
      </rPr>
      <t>Ω</t>
    </r>
  </si>
  <si>
    <t>µF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</si>
  <si>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</si>
  <si>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</t>
    </r>
  </si>
  <si>
    <t>Based on Kemet data + solder/tracks/vias</t>
  </si>
  <si>
    <t>Based on Murata data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</si>
  <si>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Vout</t>
    </r>
  </si>
  <si>
    <t>Co_num_actual =</t>
  </si>
  <si>
    <t>1x 10uF with DC bias</t>
  </si>
  <si>
    <t>DC bias coefficient</t>
  </si>
  <si>
    <t>Co_tot_min</t>
  </si>
  <si>
    <t>Output Capacitor Characterization:  10uF, 10%, 16V, X7R, 1206</t>
  </si>
  <si>
    <t>Voltage where transient data was obtained</t>
  </si>
  <si>
    <t>Worst case initial tolerance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</si>
  <si>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SW</t>
    </r>
  </si>
  <si>
    <t>Switching frequency used during measurement</t>
  </si>
  <si>
    <r>
      <t>mV</t>
    </r>
    <r>
      <rPr>
        <vertAlign val="subscript"/>
        <sz val="11"/>
        <color theme="1"/>
        <rFont val="Calibri"/>
        <family val="2"/>
        <scheme val="minor"/>
      </rPr>
      <t>PP</t>
    </r>
  </si>
  <si>
    <t>Estimated typical output voltage ripple</t>
  </si>
  <si>
    <t>pieces</t>
  </si>
  <si>
    <t>VARIABLES</t>
  </si>
  <si>
    <t>Lo_tolerance</t>
  </si>
  <si>
    <t>RFB2_tolerance</t>
  </si>
  <si>
    <t>RFB1_tolerance</t>
  </si>
  <si>
    <t xml:space="preserve"> Switching Frequency Determination:</t>
  </si>
  <si>
    <t xml:space="preserve"> Output Capacitor and Output Voltage Ripple:</t>
  </si>
  <si>
    <t xml:space="preserve"> Input Capacitor Requirements:</t>
  </si>
  <si>
    <t xml:space="preserve"> Soft Start Capacitor and Timing:</t>
  </si>
  <si>
    <t xml:space="preserve"> Compensation Components:</t>
  </si>
  <si>
    <t>Co_num_est</t>
  </si>
  <si>
    <t xml:space="preserve"> Output Inductor Calculations:</t>
  </si>
  <si>
    <t>Worst case maximum inductor ripple current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</si>
  <si>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JA</t>
    </r>
  </si>
  <si>
    <t>ILIM slope</t>
  </si>
  <si>
    <t>ILIM offset</t>
  </si>
  <si>
    <t>A / %</t>
  </si>
  <si>
    <r>
      <t xml:space="preserve">Choose C_SS considering </t>
    </r>
    <r>
      <rPr>
        <sz val="11"/>
        <color indexed="8"/>
        <rFont val="Calibri"/>
        <family val="2"/>
      </rPr>
      <t>C_SS_min</t>
    </r>
    <r>
      <rPr>
        <sz val="11"/>
        <color theme="1"/>
        <rFont val="Calibri"/>
        <family val="2"/>
        <scheme val="minor"/>
      </rPr>
      <t>, use next higher standard value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</si>
  <si>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</si>
  <si>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2</t>
    </r>
  </si>
  <si>
    <t>Curve fit, coefficient of V</t>
  </si>
  <si>
    <t>Measured transient step current</t>
  </si>
  <si>
    <t>Includes worst case IC &amp; component variations vs. temperature</t>
  </si>
  <si>
    <r>
      <t>Vout</t>
    </r>
    <r>
      <rPr>
        <sz val="11"/>
        <color theme="1"/>
        <rFont val="Calibri"/>
        <family val="2"/>
        <scheme val="minor"/>
      </rPr>
      <t xml:space="preserve">  (min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max)</t>
    </r>
  </si>
  <si>
    <r>
      <t>1% initial tolerance + 100ppm @ 60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rise</t>
    </r>
  </si>
  <si>
    <t>UVLO Multiplier</t>
  </si>
  <si>
    <t>Chosen value, allows for margin</t>
  </si>
  <si>
    <r>
      <t>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</si>
  <si>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Maximum current for this design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</si>
  <si>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Io/Io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</si>
  <si>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INSTRUCTIONS:   Enter design goals and component values in the white boxes.</t>
  </si>
  <si>
    <t>Transient current =</t>
  </si>
  <si>
    <t>Measured step current as a percent of full load</t>
  </si>
  <si>
    <t>Capacitors used during this measurement</t>
  </si>
  <si>
    <t>Maximum steady-state ambient temperature</t>
  </si>
  <si>
    <t>V  |  µF</t>
  </si>
  <si>
    <r>
      <t>µF/V</t>
    </r>
    <r>
      <rPr>
        <vertAlign val="superscript"/>
        <sz val="11"/>
        <color theme="1"/>
        <rFont val="Calibri"/>
        <family val="2"/>
      </rPr>
      <t>3</t>
    </r>
  </si>
  <si>
    <t>µF/V</t>
  </si>
  <si>
    <r>
      <t>µF/V</t>
    </r>
    <r>
      <rPr>
        <vertAlign val="superscript"/>
        <sz val="11"/>
        <color theme="1"/>
        <rFont val="Calibri"/>
        <family val="2"/>
      </rPr>
      <t>2</t>
    </r>
  </si>
  <si>
    <t>Curve fit, coefficient of 0V</t>
  </si>
  <si>
    <r>
      <t>Transient step current as a percent of Iout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, recommend starting with 50%</t>
    </r>
  </si>
  <si>
    <t>Calculated total output capacitance with tolerance and real DC bias</t>
  </si>
  <si>
    <t>Typical output inductor ripple current</t>
  </si>
  <si>
    <t>INSTRUCTIONS:  No values need to be entered here, all values are derived from the DESIGN tab</t>
  </si>
  <si>
    <t xml:space="preserve"> Typical &amp; Worst Case Output Voltage Calculations:</t>
  </si>
  <si>
    <t>These values are all derived from the data sheet or lab measurements.</t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</si>
  <si>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5% duty cycle, data sheet value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</si>
  <si>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90% duty cycle, data sheet value</t>
    </r>
  </si>
  <si>
    <t>Measured value, see LX curve to the right</t>
  </si>
  <si>
    <t>Curve fit value, slope</t>
  </si>
  <si>
    <t>Curve fit value, offset</t>
  </si>
  <si>
    <t>Lo_I_max</t>
  </si>
  <si>
    <t>The asynchronous diode must be rated to support at least this much current</t>
  </si>
  <si>
    <r>
      <t>Cin_I</t>
    </r>
    <r>
      <rPr>
        <b/>
        <vertAlign val="subscript"/>
        <sz val="11"/>
        <color theme="1"/>
        <rFont val="Calibri"/>
        <family val="2"/>
        <scheme val="minor"/>
      </rPr>
      <t>RMS</t>
    </r>
  </si>
  <si>
    <t xml:space="preserve"> Asynchronous Diode Requirement:</t>
  </si>
  <si>
    <r>
      <rPr>
        <i/>
        <sz val="11"/>
        <color theme="0"/>
        <rFont val="Calibri"/>
        <family val="2"/>
      </rPr>
      <t xml:space="preserve">**** Note:  The applications schematic is shown at the bottom of this TAB. ****
Schematic component values are shown in </t>
    </r>
    <r>
      <rPr>
        <b/>
        <i/>
        <sz val="11"/>
        <color rgb="FF0000FF"/>
        <rFont val="Calibri"/>
        <family val="2"/>
      </rPr>
      <t>BLUE</t>
    </r>
    <r>
      <rPr>
        <b/>
        <i/>
        <sz val="11"/>
        <color theme="1"/>
        <rFont val="Calibri"/>
        <family val="2"/>
      </rPr>
      <t>.</t>
    </r>
  </si>
  <si>
    <r>
      <t>K</t>
    </r>
    <r>
      <rPr>
        <b/>
        <sz val="11"/>
        <color rgb="FF0000FF"/>
        <rFont val="Calibri"/>
        <family val="2"/>
      </rPr>
      <t>Ω</t>
    </r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</si>
  <si>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FSET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</si>
  <si>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H</t>
    </r>
  </si>
  <si>
    <r>
      <t>I</t>
    </r>
    <r>
      <rPr>
        <b/>
        <vertAlign val="subscript"/>
        <sz val="11"/>
        <color rgb="FF0000FF"/>
        <rFont val="Calibri"/>
        <family val="2"/>
        <scheme val="minor"/>
      </rPr>
      <t>F,RMS</t>
    </r>
  </si>
  <si>
    <r>
      <t>A</t>
    </r>
    <r>
      <rPr>
        <b/>
        <vertAlign val="subscript"/>
        <sz val="11"/>
        <color rgb="FF0000FF"/>
        <rFont val="Calibri"/>
        <family val="2"/>
        <scheme val="minor"/>
      </rPr>
      <t>RMS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</si>
  <si>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F</t>
    </r>
  </si>
  <si>
    <t>Estimated number of 10uF/16V/X7R/1206 output capacitors required</t>
  </si>
  <si>
    <r>
      <t xml:space="preserve">Choose the number of </t>
    </r>
    <r>
      <rPr>
        <b/>
        <sz val="11"/>
        <color rgb="FF0000FF"/>
        <rFont val="Calibri"/>
        <family val="2"/>
        <scheme val="minor"/>
      </rPr>
      <t>10uF/16V/X7R/1206</t>
    </r>
    <r>
      <rPr>
        <sz val="11"/>
        <color theme="1"/>
        <rFont val="Calibri"/>
        <family val="2"/>
        <scheme val="minor"/>
      </rPr>
      <t xml:space="preserve"> output capacitors</t>
    </r>
  </si>
  <si>
    <t>IQ</t>
  </si>
  <si>
    <r>
      <t>P</t>
    </r>
    <r>
      <rPr>
        <b/>
        <vertAlign val="subscript"/>
        <sz val="10"/>
        <rFont val="Arial"/>
        <family val="2"/>
      </rPr>
      <t>DRIVER</t>
    </r>
  </si>
  <si>
    <t>Choose Fsw</t>
  </si>
  <si>
    <t>Fsw</t>
  </si>
  <si>
    <t>Recommended maximum PWM frequency, before possible pulse skipping</t>
  </si>
  <si>
    <t>UVLO Stop</t>
  </si>
  <si>
    <r>
      <t>SYNC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at Vin</t>
    </r>
    <r>
      <rPr>
        <b/>
        <vertAlign val="subscript"/>
        <sz val="11"/>
        <color theme="1"/>
        <rFont val="Calibri"/>
        <family val="2"/>
        <scheme val="minor"/>
      </rPr>
      <t>TYP</t>
    </r>
  </si>
  <si>
    <r>
      <t>m</t>
    </r>
    <r>
      <rPr>
        <b/>
        <sz val="11"/>
        <rFont val="Calibri"/>
        <family val="2"/>
      </rPr>
      <t>Ω</t>
    </r>
  </si>
  <si>
    <r>
      <t>Lo</t>
    </r>
    <r>
      <rPr>
        <b/>
        <vertAlign val="subscript"/>
        <sz val="11"/>
        <rFont val="Calibri"/>
        <family val="2"/>
        <scheme val="minor"/>
      </rPr>
      <t>DCR</t>
    </r>
    <r>
      <rPr>
        <b/>
        <sz val="11"/>
        <rFont val="Calibri"/>
        <family val="2"/>
        <scheme val="minor"/>
      </rPr>
      <t xml:space="preserve"> = 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</si>
  <si>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>DCR</t>
    </r>
  </si>
  <si>
    <t>Default DCR of the output inductor</t>
  </si>
  <si>
    <t>Step =</t>
  </si>
  <si>
    <t>T (°C)</t>
  </si>
  <si>
    <t>Non-convergence: set RESET = 1</t>
  </si>
  <si>
    <t xml:space="preserve">RESET = </t>
  </si>
  <si>
    <t>Snubber Component Calculations:</t>
  </si>
  <si>
    <t>Capacitance of D1</t>
  </si>
  <si>
    <t>Measured LX resonant freqeuncy</t>
  </si>
  <si>
    <r>
      <t>Estimated D1 capacitance at Vin</t>
    </r>
    <r>
      <rPr>
        <vertAlign val="subscript"/>
        <sz val="11"/>
        <color theme="1"/>
        <rFont val="Calibri"/>
        <family val="2"/>
        <scheme val="minor"/>
      </rPr>
      <t>TYP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</si>
  <si>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EQ</t>
    </r>
  </si>
  <si>
    <r>
      <t>LX resonance, F</t>
    </r>
    <r>
      <rPr>
        <b/>
        <vertAlign val="subscript"/>
        <sz val="11"/>
        <color theme="1"/>
        <rFont val="Calibri"/>
        <family val="2"/>
        <scheme val="minor"/>
      </rPr>
      <t>LX</t>
    </r>
  </si>
  <si>
    <r>
      <t>P</t>
    </r>
    <r>
      <rPr>
        <vertAlign val="subscript"/>
        <sz val="11"/>
        <color theme="1"/>
        <rFont val="Calibri"/>
        <family val="2"/>
        <scheme val="minor"/>
      </rPr>
      <t>SNUB</t>
    </r>
  </si>
  <si>
    <t>LX resonance period</t>
  </si>
  <si>
    <r>
      <t>LX resonance, T</t>
    </r>
    <r>
      <rPr>
        <b/>
        <vertAlign val="subscript"/>
        <sz val="11"/>
        <color theme="1"/>
        <rFont val="Calibri"/>
        <family val="2"/>
        <scheme val="minor"/>
      </rPr>
      <t>LX</t>
    </r>
  </si>
  <si>
    <t>mW</t>
  </si>
  <si>
    <t>Snubber resistance, use the closest available standard value</t>
  </si>
  <si>
    <t>Snubber capacitance, use the closest available standard value</t>
  </si>
  <si>
    <r>
      <t>Equivalent inductance, given F</t>
    </r>
    <r>
      <rPr>
        <vertAlign val="subscript"/>
        <sz val="11"/>
        <color theme="1"/>
        <rFont val="Calibri"/>
        <family val="2"/>
        <scheme val="minor"/>
      </rPr>
      <t>LX</t>
    </r>
    <r>
      <rPr>
        <sz val="11"/>
        <color theme="1"/>
        <rFont val="Calibri"/>
        <family val="2"/>
        <scheme val="minor"/>
      </rPr>
      <t xml:space="preserve"> and C</t>
    </r>
    <r>
      <rPr>
        <vertAlign val="subscript"/>
        <sz val="11"/>
        <color theme="1"/>
        <rFont val="Calibri"/>
        <family val="2"/>
        <scheme val="minor"/>
      </rPr>
      <t>TOTAL</t>
    </r>
  </si>
  <si>
    <t>Start with 2.5, decrease for more damping</t>
  </si>
  <si>
    <r>
      <t xml:space="preserve">Snubber </t>
    </r>
    <r>
      <rPr>
        <b/>
        <sz val="11"/>
        <color theme="1"/>
        <rFont val="Calibri"/>
        <family val="2"/>
      </rPr>
      <t>‒</t>
    </r>
    <r>
      <rPr>
        <b/>
        <sz val="11"/>
        <color theme="1"/>
        <rFont val="Calibri"/>
        <family val="2"/>
        <scheme val="minor"/>
      </rPr>
      <t>3dB freq.</t>
    </r>
  </si>
  <si>
    <r>
      <t>Snubber resistor power requirement at Vin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and Fsw</t>
    </r>
  </si>
  <si>
    <t>Capacitance, other</t>
  </si>
  <si>
    <t>Estimated FET + PCB trace capacitance</t>
  </si>
  <si>
    <t>TCR of Copper</t>
  </si>
  <si>
    <r>
      <t>%/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</si>
  <si>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Duty</t>
  </si>
  <si>
    <r>
      <rPr>
        <b/>
        <sz val="10"/>
        <rFont val="Calibri"/>
        <family val="2"/>
      </rPr>
      <t>Δ</t>
    </r>
    <r>
      <rPr>
        <b/>
        <sz val="10"/>
        <rFont val="Arial"/>
        <family val="2"/>
      </rPr>
      <t>IL</t>
    </r>
  </si>
  <si>
    <t>(RESET should normally be set to 0)</t>
  </si>
  <si>
    <t>Typical LX frequency measurement before snubber</t>
  </si>
  <si>
    <r>
      <t>Multiple of F</t>
    </r>
    <r>
      <rPr>
        <vertAlign val="subscript"/>
        <sz val="11"/>
        <color theme="1"/>
        <rFont val="Calibri"/>
        <family val="2"/>
      </rPr>
      <t>LX</t>
    </r>
  </si>
  <si>
    <t>Known value, used for inductor DCR</t>
  </si>
  <si>
    <t>EFF</t>
  </si>
  <si>
    <t>Vout</t>
  </si>
  <si>
    <r>
      <t>VO</t>
    </r>
    <r>
      <rPr>
        <b/>
        <vertAlign val="subscript"/>
        <sz val="10"/>
        <rFont val="Arial"/>
        <family val="2"/>
      </rPr>
      <t>SAT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</si>
  <si>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</si>
  <si>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MIN</t>
    </r>
  </si>
  <si>
    <t>System Duty Cycle</t>
  </si>
  <si>
    <r>
      <t>P</t>
    </r>
    <r>
      <rPr>
        <b/>
        <vertAlign val="subscript"/>
        <sz val="10"/>
        <rFont val="Arial"/>
        <family val="2"/>
      </rPr>
      <t>IC</t>
    </r>
  </si>
  <si>
    <r>
      <t>V</t>
    </r>
    <r>
      <rPr>
        <b/>
        <vertAlign val="subscript"/>
        <sz val="10"/>
        <rFont val="Arial"/>
        <family val="2"/>
      </rPr>
      <t>OUT</t>
    </r>
  </si>
  <si>
    <r>
      <t>P</t>
    </r>
    <r>
      <rPr>
        <b/>
        <vertAlign val="subscript"/>
        <sz val="10"/>
        <rFont val="Arial"/>
        <family val="2"/>
      </rPr>
      <t>IND</t>
    </r>
  </si>
  <si>
    <r>
      <t>P</t>
    </r>
    <r>
      <rPr>
        <b/>
        <vertAlign val="subscript"/>
        <sz val="10"/>
        <rFont val="Arial"/>
        <family val="2"/>
      </rPr>
      <t>IN</t>
    </r>
  </si>
  <si>
    <r>
      <t>P</t>
    </r>
    <r>
      <rPr>
        <b/>
        <vertAlign val="subscript"/>
        <sz val="10"/>
        <rFont val="Arial"/>
        <family val="2"/>
      </rPr>
      <t>OUT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</si>
  <si>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</si>
  <si>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</si>
  <si>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t>Enter the snubber resister value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</si>
  <si>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</si>
  <si>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C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</si>
  <si>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0"/>
        <rFont val="Arial"/>
        <family val="2"/>
      </rPr>
      <t>SNUB</t>
    </r>
  </si>
  <si>
    <r>
      <t>Maximum SYNC frequency at Vin</t>
    </r>
    <r>
      <rPr>
        <vertAlign val="subscript"/>
        <sz val="11"/>
        <color theme="1"/>
        <rFont val="Calibri"/>
        <family val="2"/>
        <scheme val="minor"/>
      </rPr>
      <t>TYP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based on Fsw, Duty Cycle</t>
    </r>
    <r>
      <rPr>
        <vertAlign val="subscript"/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  <scheme val="minor"/>
      </rPr>
      <t>, and t</t>
    </r>
    <r>
      <rPr>
        <vertAlign val="subscript"/>
        <sz val="11"/>
        <color theme="1"/>
        <rFont val="Calibri"/>
        <family val="2"/>
        <scheme val="minor"/>
      </rPr>
      <t>ON,TYP</t>
    </r>
  </si>
  <si>
    <t>Vin =</t>
  </si>
  <si>
    <r>
      <t xml:space="preserve"> Feedback Component Calculations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>RFB1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and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0000FF"/>
        <rFont val="Calibri"/>
        <family val="2"/>
        <scheme val="minor"/>
      </rPr>
      <t>RFB2</t>
    </r>
    <r>
      <rPr>
        <b/>
        <i/>
        <sz val="12"/>
        <color rgb="FFFF0000"/>
        <rFont val="Calibri"/>
        <family val="2"/>
        <scheme val="minor"/>
      </rPr>
      <t xml:space="preserve"> values for the remaining calculations to be accurate)</t>
    </r>
  </si>
  <si>
    <t>C =</t>
  </si>
  <si>
    <t>ESR =</t>
  </si>
  <si>
    <t>ESL =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</si>
  <si>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F</t>
    </r>
  </si>
  <si>
    <r>
      <t>m</t>
    </r>
    <r>
      <rPr>
        <sz val="11"/>
        <color theme="1"/>
        <rFont val="Calibri"/>
        <family val="2"/>
      </rPr>
      <t>Ω</t>
    </r>
  </si>
  <si>
    <t>Optional: Output Capacitors</t>
  </si>
  <si>
    <t>Used to calculate output ripple and set the compensation values</t>
  </si>
  <si>
    <t>Enter Values Manually</t>
  </si>
  <si>
    <t>No. =</t>
  </si>
  <si>
    <r>
      <t>TJ</t>
    </r>
    <r>
      <rPr>
        <b/>
        <vertAlign val="subscript"/>
        <sz val="10"/>
        <rFont val="Arial"/>
        <family val="2"/>
      </rPr>
      <t>IC</t>
    </r>
  </si>
  <si>
    <r>
      <t>(TYP | MAX) Minimum duty cycles at the chosen Fsw given t</t>
    </r>
    <r>
      <rPr>
        <vertAlign val="subscript"/>
        <sz val="11"/>
        <color theme="1"/>
        <rFont val="Calibri"/>
        <family val="2"/>
        <scheme val="minor"/>
      </rPr>
      <t>ON,TYP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ON,MAX</t>
    </r>
  </si>
  <si>
    <r>
      <t>(MIN | TYP) Maximum duty cycles at the chosen Fsw given t</t>
    </r>
    <r>
      <rPr>
        <vertAlign val="subscript"/>
        <sz val="11"/>
        <color theme="1"/>
        <rFont val="Calibri"/>
        <family val="2"/>
        <scheme val="minor"/>
      </rPr>
      <t>OFF,TYP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OFF,MAX</t>
    </r>
  </si>
  <si>
    <t>Enter the snubber capacitor value, enter "0" if no snubber is used</t>
  </si>
  <si>
    <t>Measured on Allegro EVB with 1x 10uF</t>
  </si>
  <si>
    <t>Thermal resistance</t>
  </si>
  <si>
    <r>
      <t>High Side RDS</t>
    </r>
    <r>
      <rPr>
        <b/>
        <vertAlign val="subscript"/>
        <sz val="11"/>
        <color theme="1"/>
        <rFont val="Calibri"/>
        <family val="2"/>
        <scheme val="minor"/>
      </rPr>
      <t>ON</t>
    </r>
    <r>
      <rPr>
        <b/>
        <sz val="11"/>
        <color theme="1"/>
        <rFont val="Calibri"/>
        <family val="2"/>
        <scheme val="minor"/>
      </rPr>
      <t xml:space="preserve"> @ 25C</t>
    </r>
  </si>
  <si>
    <t>Low Side RDSON @ 25C</t>
  </si>
  <si>
    <t>t_NO</t>
  </si>
  <si>
    <r>
      <t>P</t>
    </r>
    <r>
      <rPr>
        <b/>
        <vertAlign val="subscript"/>
        <sz val="10"/>
        <rFont val="Arial"/>
        <family val="2"/>
      </rPr>
      <t>DRV</t>
    </r>
  </si>
  <si>
    <t>HS</t>
  </si>
  <si>
    <t>LS</t>
  </si>
  <si>
    <t>Qg_High-Side FET</t>
  </si>
  <si>
    <t>Qg_Low-Side FET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</si>
  <si>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SD</t>
    </r>
    <r>
      <rPr>
        <b/>
        <sz val="11"/>
        <color theme="1"/>
        <rFont val="Calibri"/>
        <family val="2"/>
        <scheme val="minor"/>
      </rPr>
      <t xml:space="preserve"> of Low-Side FET</t>
    </r>
  </si>
  <si>
    <r>
      <t>P</t>
    </r>
    <r>
      <rPr>
        <b/>
        <vertAlign val="subscript"/>
        <sz val="10"/>
        <rFont val="Arial"/>
        <family val="2"/>
      </rPr>
      <t>NO</t>
    </r>
  </si>
  <si>
    <r>
      <t>RDS</t>
    </r>
    <r>
      <rPr>
        <b/>
        <vertAlign val="subscript"/>
        <sz val="10"/>
        <rFont val="Arial"/>
        <family val="2"/>
      </rPr>
      <t>ON</t>
    </r>
  </si>
  <si>
    <r>
      <t>P</t>
    </r>
    <r>
      <rPr>
        <b/>
        <vertAlign val="subscript"/>
        <sz val="10"/>
        <rFont val="Arial"/>
        <family val="2"/>
      </rPr>
      <t>SW</t>
    </r>
  </si>
  <si>
    <r>
      <t>P</t>
    </r>
    <r>
      <rPr>
        <b/>
        <vertAlign val="subscript"/>
        <sz val="10"/>
        <rFont val="Arial"/>
        <family val="2"/>
      </rPr>
      <t>COND</t>
    </r>
  </si>
  <si>
    <t>Range of system duty-cycles given Vin, Vout, Iout, etc</t>
  </si>
  <si>
    <t>Vout during dropout calculated with the worst case maximum OFF time at maximum ambient temperature</t>
  </si>
  <si>
    <t>Vout during dropout calculated with the typical OFF time at room temperature (25C)</t>
  </si>
  <si>
    <t>Lo (min | max)</t>
  </si>
  <si>
    <r>
      <t>Inductor's I</t>
    </r>
    <r>
      <rPr>
        <vertAlign val="subscript"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 xml:space="preserve"> should support this value</t>
    </r>
  </si>
  <si>
    <r>
      <t>Current margin (min) before possible limiting at V</t>
    </r>
    <r>
      <rPr>
        <vertAlign val="subscript"/>
        <sz val="11"/>
        <color theme="1"/>
        <rFont val="Calibri"/>
        <family val="2"/>
        <scheme val="minor"/>
      </rPr>
      <t>IN,TYP</t>
    </r>
    <r>
      <rPr>
        <sz val="11"/>
        <color theme="1"/>
        <rFont val="Calibri"/>
        <family val="2"/>
        <scheme val="minor"/>
      </rPr>
      <t xml:space="preserve"> &amp; D</t>
    </r>
    <r>
      <rPr>
        <vertAlign val="subscript"/>
        <sz val="11"/>
        <color theme="1"/>
        <rFont val="Calibri"/>
        <family val="2"/>
        <scheme val="minor"/>
      </rPr>
      <t>TYP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</si>
  <si>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IN,TYP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</si>
  <si>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IN,MIN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</si>
  <si>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t>Mhz</t>
  </si>
  <si>
    <r>
      <t>A/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</t>
    </r>
  </si>
  <si>
    <r>
      <t>Slope Comp (S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</si>
  <si>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t>Calculated Slope Compensation at chosen Fsw:</t>
  </si>
  <si>
    <r>
      <t>S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@ Fsw =</t>
    </r>
  </si>
  <si>
    <t>Enter Lo considering the recommended range &amp; value</t>
  </si>
  <si>
    <r>
      <t>Min. inductor to critically damp the two poles at Fsw/2 @ D</t>
    </r>
    <r>
      <rPr>
        <vertAlign val="subscript"/>
        <sz val="11"/>
        <color theme="1"/>
        <rFont val="Calibri"/>
        <family val="2"/>
        <scheme val="minor"/>
      </rPr>
      <t>MAX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</si>
  <si>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 xml:space="preserve"> RIDLEY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</rPr>
      <t>≥</t>
    </r>
  </si>
  <si>
    <r>
      <t>Inductor range, S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 40% to 110% of inductor down slope</t>
    </r>
  </si>
  <si>
    <r>
      <t xml:space="preserve">Current margin (min) before possible limiting at </t>
    </r>
    <r>
      <rPr>
        <b/>
        <sz val="11"/>
        <color theme="1"/>
        <rFont val="Calibri"/>
        <family val="2"/>
        <scheme val="minor"/>
      </rPr>
      <t>V</t>
    </r>
    <r>
      <rPr>
        <b/>
        <vertAlign val="subscript"/>
        <sz val="11"/>
        <color theme="1"/>
        <rFont val="Calibri"/>
        <family val="2"/>
        <scheme val="minor"/>
      </rPr>
      <t>IN,MIN</t>
    </r>
    <r>
      <rPr>
        <b/>
        <sz val="11"/>
        <color theme="1"/>
        <rFont val="Calibri"/>
        <family val="2"/>
        <scheme val="minor"/>
      </rPr>
      <t xml:space="preserve"> &amp; D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</si>
  <si>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Recommended maximum 0dB crossover frequency</t>
  </si>
  <si>
    <r>
      <t xml:space="preserve">Choose fc considering recommended </t>
    </r>
    <r>
      <rPr>
        <sz val="11"/>
        <color indexed="8"/>
        <rFont val="Calibri"/>
        <family val="2"/>
      </rPr>
      <t>fc</t>
    </r>
    <r>
      <rPr>
        <vertAlign val="subscript"/>
        <sz val="11"/>
        <color indexed="8"/>
        <rFont val="Calibri"/>
        <family val="2"/>
      </rPr>
      <t>MAX</t>
    </r>
  </si>
  <si>
    <r>
      <t xml:space="preserve">Average load current: </t>
    </r>
    <r>
      <rPr>
        <sz val="11"/>
        <color indexed="8"/>
        <rFont val="Calibri"/>
        <family val="2"/>
      </rPr>
      <t>Δ</t>
    </r>
    <r>
      <rPr>
        <sz val="11"/>
        <color theme="1"/>
        <rFont val="Calibri"/>
        <family val="2"/>
        <scheme val="minor"/>
      </rPr>
      <t>ILo/2 &lt; Iout &lt; Iout</t>
    </r>
    <r>
      <rPr>
        <vertAlign val="subscript"/>
        <sz val="11"/>
        <color indexed="8"/>
        <rFont val="Calibri"/>
        <family val="2"/>
      </rPr>
      <t>MAX</t>
    </r>
  </si>
  <si>
    <r>
      <t>Dominant pole formed by Co and R</t>
    </r>
    <r>
      <rPr>
        <vertAlign val="subscript"/>
        <sz val="11"/>
        <color theme="1"/>
        <rFont val="Calibri"/>
        <family val="2"/>
        <scheme val="minor"/>
      </rPr>
      <t>LOAD</t>
    </r>
    <r>
      <rPr>
        <sz val="11"/>
        <color theme="1"/>
        <rFont val="Calibri"/>
        <family val="2"/>
        <scheme val="minor"/>
      </rPr>
      <t>.</t>
    </r>
  </si>
  <si>
    <t>Recommended compensation resister to achieve chosen fc</t>
  </si>
  <si>
    <t>Enter the closest available 1% standard resister value</t>
  </si>
  <si>
    <t>Recommended range for the compensation capacitor</t>
  </si>
  <si>
    <t>Recommended HF compensation capacitor</t>
  </si>
  <si>
    <t>Cz (min, max)</t>
  </si>
  <si>
    <r>
      <t>L</t>
    </r>
    <r>
      <rPr>
        <b/>
        <vertAlign val="subscript"/>
        <sz val="11"/>
        <color rgb="FF0000FF"/>
        <rFont val="Calibri"/>
        <family val="2"/>
        <scheme val="minor"/>
      </rPr>
      <t>O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</si>
  <si>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Enter the output inductor's DCR, default is 10m</t>
    </r>
    <r>
      <rPr>
        <sz val="11"/>
        <rFont val="Calibri"/>
        <family val="2"/>
      </rPr>
      <t>Ω if left blank</t>
    </r>
  </si>
  <si>
    <t>ALLEGRO A8650 DESIGN SPREADSHEET - Rev. 0.1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</si>
</sst>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5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i/>
      <sz val="16"/>
      <color theme="0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0000FF"/>
      <name val="Calibri"/>
      <family val="2"/>
    </font>
    <font>
      <i/>
      <sz val="11"/>
      <color theme="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vertAlign val="subscript"/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0"/>
      <name val="Calibri"/>
      <family val="2"/>
    </font>
    <font>
      <b/>
      <vertAlign val="subscript"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sz val="12"/>
      <color rgb="FF0000FF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35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0" fontId="5" fillId="0" borderId="0" xfId="1" applyProtection="1"/>
    <xf numFmtId="0" fontId="7" fillId="0" borderId="0" xfId="0" applyFont="1"/>
    <xf numFmtId="0" fontId="0" fillId="6" borderId="3" xfId="0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165" fontId="0" fillId="7" borderId="2" xfId="0" applyNumberForma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2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165" fontId="0" fillId="7" borderId="0" xfId="0" applyNumberForma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left" indent="1"/>
    </xf>
    <xf numFmtId="0" fontId="0" fillId="7" borderId="10" xfId="0" applyFill="1" applyBorder="1" applyAlignment="1" applyProtection="1">
      <alignment horizontal="left" indent="1"/>
    </xf>
    <xf numFmtId="1" fontId="0" fillId="9" borderId="1" xfId="0" applyNumberFormat="1" applyFill="1" applyBorder="1" applyAlignment="1" applyProtection="1">
      <alignment horizontal="center"/>
      <protection locked="0"/>
    </xf>
    <xf numFmtId="0" fontId="8" fillId="6" borderId="13" xfId="0" applyFont="1" applyFill="1" applyBorder="1" applyAlignment="1" applyProtection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164" fontId="0" fillId="5" borderId="14" xfId="0" applyNumberFormat="1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left" indent="1"/>
    </xf>
    <xf numFmtId="0" fontId="0" fillId="5" borderId="14" xfId="0" applyFill="1" applyBorder="1"/>
    <xf numFmtId="0" fontId="0" fillId="5" borderId="20" xfId="0" applyFill="1" applyBorder="1"/>
    <xf numFmtId="165" fontId="0" fillId="5" borderId="14" xfId="0" applyNumberFormat="1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 applyAlignment="1">
      <alignment horizontal="left" indent="1"/>
    </xf>
    <xf numFmtId="0" fontId="0" fillId="5" borderId="22" xfId="0" applyFill="1" applyBorder="1"/>
    <xf numFmtId="0" fontId="0" fillId="5" borderId="23" xfId="0" applyFill="1" applyBorder="1"/>
    <xf numFmtId="0" fontId="9" fillId="8" borderId="16" xfId="0" applyFont="1" applyFill="1" applyBorder="1" applyAlignment="1">
      <alignment horizontal="left" vertical="center"/>
    </xf>
    <xf numFmtId="0" fontId="7" fillId="8" borderId="17" xfId="0" applyFont="1" applyFill="1" applyBorder="1" applyAlignment="1">
      <alignment horizontal="center"/>
    </xf>
    <xf numFmtId="0" fontId="7" fillId="8" borderId="17" xfId="0" applyFont="1" applyFill="1" applyBorder="1"/>
    <xf numFmtId="0" fontId="7" fillId="8" borderId="18" xfId="0" applyFont="1" applyFill="1" applyBorder="1"/>
    <xf numFmtId="0" fontId="0" fillId="5" borderId="14" xfId="0" applyFill="1" applyBorder="1" applyAlignment="1">
      <alignment horizontal="left"/>
    </xf>
    <xf numFmtId="0" fontId="0" fillId="9" borderId="1" xfId="0" applyFill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1" fillId="8" borderId="27" xfId="0" applyFont="1" applyFill="1" applyBorder="1" applyAlignment="1" applyProtection="1">
      <alignment horizontal="center"/>
    </xf>
    <xf numFmtId="0" fontId="11" fillId="8" borderId="28" xfId="0" applyFont="1" applyFill="1" applyBorder="1" applyAlignment="1" applyProtection="1">
      <alignment horizontal="center"/>
    </xf>
    <xf numFmtId="0" fontId="7" fillId="6" borderId="19" xfId="0" applyFont="1" applyFill="1" applyBorder="1" applyAlignment="1" applyProtection="1">
      <alignment horizontal="center"/>
    </xf>
    <xf numFmtId="0" fontId="7" fillId="7" borderId="40" xfId="0" applyFont="1" applyFill="1" applyBorder="1" applyAlignment="1" applyProtection="1">
      <alignment horizontal="center"/>
    </xf>
    <xf numFmtId="0" fontId="0" fillId="7" borderId="41" xfId="0" applyFill="1" applyBorder="1" applyProtection="1"/>
    <xf numFmtId="166" fontId="0" fillId="7" borderId="41" xfId="0" applyNumberFormat="1" applyFill="1" applyBorder="1" applyAlignment="1" applyProtection="1">
      <alignment horizontal="center"/>
    </xf>
    <xf numFmtId="0" fontId="7" fillId="7" borderId="42" xfId="0" applyFont="1" applyFill="1" applyBorder="1" applyAlignment="1" applyProtection="1">
      <alignment horizontal="center"/>
    </xf>
    <xf numFmtId="2" fontId="0" fillId="7" borderId="36" xfId="0" applyNumberFormat="1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33" xfId="0" applyFill="1" applyBorder="1" applyAlignment="1" applyProtection="1">
      <alignment horizontal="left" indent="1"/>
    </xf>
    <xf numFmtId="0" fontId="0" fillId="7" borderId="36" xfId="0" applyFill="1" applyBorder="1" applyProtection="1"/>
    <xf numFmtId="0" fontId="0" fillId="7" borderId="37" xfId="0" applyFill="1" applyBorder="1" applyProtection="1"/>
    <xf numFmtId="0" fontId="8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</xf>
    <xf numFmtId="0" fontId="8" fillId="6" borderId="33" xfId="0" applyFont="1" applyFill="1" applyBorder="1" applyAlignment="1" applyProtection="1">
      <alignment horizontal="center" vertical="center"/>
    </xf>
    <xf numFmtId="0" fontId="8" fillId="6" borderId="34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1" fontId="0" fillId="9" borderId="1" xfId="0" applyNumberForma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7" fillId="7" borderId="42" xfId="0" applyFont="1" applyFill="1" applyBorder="1" applyAlignment="1" applyProtection="1">
      <alignment horizontal="center" vertical="center"/>
    </xf>
    <xf numFmtId="165" fontId="0" fillId="7" borderId="36" xfId="0" applyNumberFormat="1" applyFill="1" applyBorder="1" applyAlignment="1" applyProtection="1">
      <alignment horizontal="center" vertical="center"/>
    </xf>
    <xf numFmtId="0" fontId="0" fillId="7" borderId="36" xfId="0" applyFill="1" applyBorder="1" applyAlignment="1" applyProtection="1">
      <alignment horizontal="center" vertical="center"/>
    </xf>
    <xf numFmtId="0" fontId="0" fillId="7" borderId="34" xfId="0" applyFill="1" applyBorder="1" applyAlignment="1" applyProtection="1">
      <alignment horizontal="left" vertical="center" indent="1"/>
    </xf>
    <xf numFmtId="0" fontId="0" fillId="7" borderId="36" xfId="0" applyFill="1" applyBorder="1" applyAlignment="1" applyProtection="1">
      <alignment vertical="center"/>
    </xf>
    <xf numFmtId="0" fontId="0" fillId="7" borderId="37" xfId="0" applyFill="1" applyBorder="1" applyAlignment="1" applyProtection="1">
      <alignment vertical="center"/>
    </xf>
    <xf numFmtId="0" fontId="0" fillId="7" borderId="34" xfId="0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left" vertical="center" wrapText="1"/>
    </xf>
    <xf numFmtId="0" fontId="0" fillId="7" borderId="41" xfId="0" applyFont="1" applyFill="1" applyBorder="1" applyAlignment="1" applyProtection="1">
      <alignment horizontal="left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7" xfId="0" applyFill="1" applyBorder="1" applyAlignment="1" applyProtection="1">
      <alignment horizontal="left" vertical="center" indent="1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165" fontId="0" fillId="5" borderId="14" xfId="0" applyNumberFormat="1" applyFill="1" applyBorder="1" applyAlignment="1">
      <alignment horizontal="center"/>
    </xf>
    <xf numFmtId="0" fontId="11" fillId="8" borderId="26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0" fontId="0" fillId="5" borderId="19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2" fontId="0" fillId="5" borderId="14" xfId="0" applyNumberFormat="1" applyFont="1" applyFill="1" applyBorder="1" applyAlignment="1">
      <alignment horizontal="center"/>
    </xf>
    <xf numFmtId="164" fontId="0" fillId="9" borderId="1" xfId="0" applyNumberFormat="1" applyFill="1" applyBorder="1" applyAlignment="1" applyProtection="1">
      <alignment horizontal="center"/>
      <protection locked="0"/>
    </xf>
    <xf numFmtId="164" fontId="0" fillId="7" borderId="0" xfId="0" applyNumberFormat="1" applyFill="1" applyBorder="1" applyAlignment="1" applyProtection="1">
      <alignment horizontal="center"/>
    </xf>
    <xf numFmtId="165" fontId="0" fillId="7" borderId="0" xfId="0" applyNumberForma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indent="1"/>
    </xf>
    <xf numFmtId="0" fontId="17" fillId="7" borderId="40" xfId="0" applyFont="1" applyFill="1" applyBorder="1" applyAlignment="1" applyProtection="1">
      <alignment horizontal="left" vertical="center"/>
    </xf>
    <xf numFmtId="0" fontId="24" fillId="7" borderId="40" xfId="0" applyFont="1" applyFill="1" applyBorder="1" applyAlignment="1" applyProtection="1">
      <alignment horizontal="center"/>
    </xf>
    <xf numFmtId="2" fontId="24" fillId="7" borderId="0" xfId="0" applyNumberFormat="1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/>
    </xf>
    <xf numFmtId="2" fontId="24" fillId="9" borderId="1" xfId="0" applyNumberFormat="1" applyFont="1" applyFill="1" applyBorder="1" applyAlignment="1" applyProtection="1">
      <alignment horizontal="center"/>
      <protection locked="0"/>
    </xf>
    <xf numFmtId="0" fontId="24" fillId="7" borderId="42" xfId="0" applyFont="1" applyFill="1" applyBorder="1" applyAlignment="1" applyProtection="1">
      <alignment horizontal="center"/>
    </xf>
    <xf numFmtId="0" fontId="24" fillId="7" borderId="36" xfId="0" applyFont="1" applyFill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/>
    </xf>
    <xf numFmtId="0" fontId="24" fillId="7" borderId="40" xfId="0" applyFont="1" applyFill="1" applyBorder="1" applyAlignment="1" applyProtection="1">
      <alignment horizontal="center" vertical="center"/>
    </xf>
    <xf numFmtId="2" fontId="24" fillId="7" borderId="0" xfId="0" applyNumberFormat="1" applyFont="1" applyFill="1" applyBorder="1" applyAlignment="1" applyProtection="1">
      <alignment horizontal="center" vertical="center"/>
    </xf>
    <xf numFmtId="165" fontId="24" fillId="9" borderId="1" xfId="0" applyNumberFormat="1" applyFont="1" applyFill="1" applyBorder="1" applyAlignment="1" applyProtection="1">
      <alignment horizontal="center"/>
      <protection locked="0"/>
    </xf>
    <xf numFmtId="0" fontId="0" fillId="7" borderId="10" xfId="0" applyFont="1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0" fontId="0" fillId="7" borderId="41" xfId="0" applyFont="1" applyFill="1" applyBorder="1" applyProtection="1"/>
    <xf numFmtId="165" fontId="0" fillId="7" borderId="0" xfId="0" applyNumberFormat="1" applyFont="1" applyFill="1" applyBorder="1" applyAlignment="1" applyProtection="1">
      <alignment horizontal="center"/>
    </xf>
    <xf numFmtId="1" fontId="24" fillId="9" borderId="1" xfId="0" applyNumberFormat="1" applyFont="1" applyFill="1" applyBorder="1" applyAlignment="1" applyProtection="1">
      <alignment horizontal="center"/>
      <protection locked="0"/>
    </xf>
    <xf numFmtId="164" fontId="8" fillId="5" borderId="14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0" fontId="33" fillId="7" borderId="40" xfId="0" applyFont="1" applyFill="1" applyBorder="1" applyAlignment="1" applyProtection="1">
      <alignment horizontal="center"/>
    </xf>
    <xf numFmtId="0" fontId="35" fillId="7" borderId="0" xfId="0" applyFont="1" applyFill="1" applyBorder="1" applyProtection="1"/>
    <xf numFmtId="0" fontId="35" fillId="7" borderId="41" xfId="0" applyFont="1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165" fontId="31" fillId="7" borderId="0" xfId="0" applyNumberFormat="1" applyFont="1" applyFill="1" applyBorder="1" applyAlignment="1" applyProtection="1">
      <alignment horizontal="center" vertical="center"/>
    </xf>
    <xf numFmtId="0" fontId="39" fillId="8" borderId="40" xfId="0" applyFont="1" applyFill="1" applyBorder="1" applyAlignment="1">
      <alignment horizontal="center"/>
    </xf>
    <xf numFmtId="2" fontId="39" fillId="8" borderId="8" xfId="0" applyNumberFormat="1" applyFont="1" applyFill="1" applyBorder="1" applyAlignment="1">
      <alignment horizontal="center"/>
    </xf>
    <xf numFmtId="2" fontId="39" fillId="2" borderId="0" xfId="0" applyNumberFormat="1" applyFont="1" applyFill="1" applyBorder="1" applyAlignment="1">
      <alignment horizontal="center"/>
    </xf>
    <xf numFmtId="164" fontId="39" fillId="2" borderId="0" xfId="0" applyNumberFormat="1" applyFont="1" applyFill="1" applyBorder="1" applyAlignment="1">
      <alignment horizontal="center"/>
    </xf>
    <xf numFmtId="2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/>
    </xf>
    <xf numFmtId="2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/>
    </xf>
    <xf numFmtId="0" fontId="39" fillId="0" borderId="0" xfId="0" applyFont="1"/>
    <xf numFmtId="0" fontId="39" fillId="8" borderId="42" xfId="0" applyFont="1" applyFill="1" applyBorder="1" applyAlignment="1">
      <alignment horizontal="center"/>
    </xf>
    <xf numFmtId="2" fontId="39" fillId="8" borderId="35" xfId="0" applyNumberFormat="1" applyFont="1" applyFill="1" applyBorder="1" applyAlignment="1">
      <alignment horizontal="center"/>
    </xf>
    <xf numFmtId="2" fontId="39" fillId="2" borderId="36" xfId="0" applyNumberFormat="1" applyFont="1" applyFill="1" applyBorder="1" applyAlignment="1">
      <alignment horizontal="center"/>
    </xf>
    <xf numFmtId="164" fontId="39" fillId="2" borderId="36" xfId="0" applyNumberFormat="1" applyFont="1" applyFill="1" applyBorder="1" applyAlignment="1">
      <alignment horizontal="center"/>
    </xf>
    <xf numFmtId="2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/>
    </xf>
    <xf numFmtId="2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/>
    </xf>
    <xf numFmtId="0" fontId="40" fillId="0" borderId="0" xfId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0" fontId="31" fillId="7" borderId="0" xfId="0" applyFont="1" applyFill="1" applyBorder="1" applyAlignment="1" applyProtection="1">
      <alignment horizontal="left" vertical="center"/>
    </xf>
    <xf numFmtId="0" fontId="11" fillId="8" borderId="16" xfId="0" applyFont="1" applyFill="1" applyBorder="1" applyAlignment="1" applyProtection="1">
      <alignment horizontal="center" vertical="center" wrapText="1"/>
    </xf>
    <xf numFmtId="0" fontId="0" fillId="6" borderId="12" xfId="0" applyFill="1" applyBorder="1" applyAlignment="1" applyProtection="1">
      <alignment horizontal="center"/>
    </xf>
    <xf numFmtId="0" fontId="8" fillId="6" borderId="50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  <xf numFmtId="0" fontId="0" fillId="7" borderId="36" xfId="0" applyFill="1" applyBorder="1"/>
    <xf numFmtId="0" fontId="0" fillId="7" borderId="37" xfId="0" applyFill="1" applyBorder="1"/>
    <xf numFmtId="0" fontId="0" fillId="7" borderId="4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4" xfId="0" applyFill="1" applyBorder="1" applyAlignment="1">
      <alignment horizontal="left" indent="1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1" fontId="0" fillId="7" borderId="36" xfId="0" applyNumberForma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</xf>
    <xf numFmtId="0" fontId="8" fillId="6" borderId="43" xfId="0" applyFont="1" applyFill="1" applyBorder="1" applyAlignment="1" applyProtection="1">
      <alignment horizontal="center" vertical="center"/>
    </xf>
    <xf numFmtId="0" fontId="0" fillId="5" borderId="21" xfId="0" applyFill="1" applyBorder="1" applyAlignment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32" fillId="0" borderId="0" xfId="1" applyFont="1" applyBorder="1" applyAlignment="1" applyProtection="1">
      <alignment horizontal="center" vertical="center"/>
    </xf>
    <xf numFmtId="0" fontId="32" fillId="0" borderId="0" xfId="1" applyFont="1" applyBorder="1" applyAlignment="1" applyProtection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vertical="center"/>
    </xf>
    <xf numFmtId="0" fontId="39" fillId="8" borderId="38" xfId="0" applyFont="1" applyFill="1" applyBorder="1" applyAlignment="1">
      <alignment horizontal="center"/>
    </xf>
    <xf numFmtId="2" fontId="39" fillId="8" borderId="52" xfId="0" applyNumberFormat="1" applyFont="1" applyFill="1" applyBorder="1" applyAlignment="1">
      <alignment horizontal="center"/>
    </xf>
    <xf numFmtId="2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 vertical="center"/>
    </xf>
    <xf numFmtId="165" fontId="39" fillId="2" borderId="2" xfId="0" applyNumberFormat="1" applyFont="1" applyFill="1" applyBorder="1" applyAlignment="1">
      <alignment horizontal="center" vertical="center"/>
    </xf>
    <xf numFmtId="164" fontId="39" fillId="2" borderId="0" xfId="0" applyNumberFormat="1" applyFont="1" applyFill="1" applyBorder="1" applyAlignment="1">
      <alignment horizontal="center" vertical="center"/>
    </xf>
    <xf numFmtId="165" fontId="39" fillId="2" borderId="0" xfId="0" applyNumberFormat="1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center" vertical="center"/>
    </xf>
    <xf numFmtId="165" fontId="39" fillId="2" borderId="36" xfId="0" applyNumberFormat="1" applyFont="1" applyFill="1" applyBorder="1" applyAlignment="1">
      <alignment horizontal="center" vertical="center"/>
    </xf>
    <xf numFmtId="164" fontId="39" fillId="2" borderId="39" xfId="0" applyNumberFormat="1" applyFont="1" applyFill="1" applyBorder="1" applyAlignment="1">
      <alignment horizontal="center"/>
    </xf>
    <xf numFmtId="164" fontId="39" fillId="2" borderId="41" xfId="0" applyNumberFormat="1" applyFont="1" applyFill="1" applyBorder="1" applyAlignment="1">
      <alignment horizontal="center"/>
    </xf>
    <xf numFmtId="165" fontId="39" fillId="2" borderId="2" xfId="0" applyNumberFormat="1" applyFont="1" applyFill="1" applyBorder="1" applyAlignment="1">
      <alignment horizontal="center"/>
    </xf>
    <xf numFmtId="165" fontId="39" fillId="2" borderId="0" xfId="0" applyNumberFormat="1" applyFont="1" applyFill="1" applyBorder="1" applyAlignment="1">
      <alignment horizontal="center"/>
    </xf>
    <xf numFmtId="165" fontId="39" fillId="2" borderId="36" xfId="0" applyNumberFormat="1" applyFont="1" applyFill="1" applyBorder="1" applyAlignment="1">
      <alignment horizontal="center"/>
    </xf>
    <xf numFmtId="2" fontId="39" fillId="3" borderId="53" xfId="0" applyNumberFormat="1" applyFont="1" applyFill="1" applyBorder="1" applyAlignment="1">
      <alignment horizontal="center"/>
    </xf>
    <xf numFmtId="2" fontId="39" fillId="3" borderId="2" xfId="0" applyNumberFormat="1" applyFont="1" applyFill="1" applyBorder="1" applyAlignment="1">
      <alignment horizontal="center"/>
    </xf>
    <xf numFmtId="165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 vertical="center"/>
    </xf>
    <xf numFmtId="165" fontId="39" fillId="3" borderId="2" xfId="0" applyNumberFormat="1" applyFont="1" applyFill="1" applyBorder="1" applyAlignment="1">
      <alignment horizontal="center" vertical="center"/>
    </xf>
    <xf numFmtId="2" fontId="39" fillId="3" borderId="7" xfId="0" applyNumberFormat="1" applyFont="1" applyFill="1" applyBorder="1" applyAlignment="1">
      <alignment horizontal="center"/>
    </xf>
    <xf numFmtId="165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 vertical="center"/>
    </xf>
    <xf numFmtId="165" fontId="39" fillId="3" borderId="0" xfId="0" applyNumberFormat="1" applyFont="1" applyFill="1" applyBorder="1" applyAlignment="1">
      <alignment horizontal="center" vertical="center"/>
    </xf>
    <xf numFmtId="2" fontId="39" fillId="3" borderId="34" xfId="0" applyNumberFormat="1" applyFont="1" applyFill="1" applyBorder="1" applyAlignment="1">
      <alignment horizontal="center"/>
    </xf>
    <xf numFmtId="165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 vertical="center"/>
    </xf>
    <xf numFmtId="165" fontId="39" fillId="3" borderId="36" xfId="0" applyNumberFormat="1" applyFont="1" applyFill="1" applyBorder="1" applyAlignment="1">
      <alignment horizontal="center" vertical="center"/>
    </xf>
    <xf numFmtId="2" fontId="39" fillId="4" borderId="38" xfId="0" applyNumberFormat="1" applyFont="1" applyFill="1" applyBorder="1" applyAlignment="1">
      <alignment horizontal="center"/>
    </xf>
    <xf numFmtId="2" fontId="39" fillId="4" borderId="2" xfId="0" applyNumberFormat="1" applyFont="1" applyFill="1" applyBorder="1" applyAlignment="1">
      <alignment horizontal="center"/>
    </xf>
    <xf numFmtId="165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 vertical="center"/>
    </xf>
    <xf numFmtId="165" fontId="39" fillId="4" borderId="2" xfId="0" applyNumberFormat="1" applyFont="1" applyFill="1" applyBorder="1" applyAlignment="1">
      <alignment horizontal="center" vertical="center"/>
    </xf>
    <xf numFmtId="2" fontId="39" fillId="4" borderId="40" xfId="0" applyNumberFormat="1" applyFont="1" applyFill="1" applyBorder="1" applyAlignment="1">
      <alignment horizontal="center"/>
    </xf>
    <xf numFmtId="165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 vertical="center"/>
    </xf>
    <xf numFmtId="165" fontId="39" fillId="4" borderId="0" xfId="0" applyNumberFormat="1" applyFont="1" applyFill="1" applyBorder="1" applyAlignment="1">
      <alignment horizontal="center" vertical="center"/>
    </xf>
    <xf numFmtId="2" fontId="39" fillId="4" borderId="42" xfId="0" applyNumberFormat="1" applyFont="1" applyFill="1" applyBorder="1" applyAlignment="1">
      <alignment horizontal="center"/>
    </xf>
    <xf numFmtId="165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 vertical="center"/>
    </xf>
    <xf numFmtId="165" fontId="39" fillId="4" borderId="36" xfId="0" applyNumberFormat="1" applyFont="1" applyFill="1" applyBorder="1" applyAlignment="1">
      <alignment horizontal="center" vertical="center"/>
    </xf>
    <xf numFmtId="0" fontId="6" fillId="8" borderId="36" xfId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left"/>
    </xf>
    <xf numFmtId="0" fontId="40" fillId="0" borderId="0" xfId="1" applyFont="1" applyAlignment="1" applyProtection="1">
      <alignment horizontal="left" vertical="center"/>
    </xf>
    <xf numFmtId="0" fontId="32" fillId="0" borderId="0" xfId="0" applyFont="1" applyAlignment="1">
      <alignment horizontal="left"/>
    </xf>
    <xf numFmtId="0" fontId="7" fillId="7" borderId="0" xfId="0" applyFont="1" applyFill="1" applyBorder="1" applyProtection="1"/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165" fontId="8" fillId="7" borderId="0" xfId="0" applyNumberFormat="1" applyFont="1" applyFill="1" applyBorder="1" applyAlignment="1" applyProtection="1">
      <alignment horizontal="center" vertical="center"/>
    </xf>
    <xf numFmtId="165" fontId="0" fillId="7" borderId="0" xfId="0" applyNumberFormat="1" applyFont="1" applyFill="1" applyAlignment="1" applyProtection="1">
      <alignment horizontal="center"/>
    </xf>
    <xf numFmtId="0" fontId="38" fillId="8" borderId="36" xfId="0" applyFont="1" applyFill="1" applyBorder="1" applyAlignment="1">
      <alignment horizontal="center" vertical="center"/>
    </xf>
    <xf numFmtId="0" fontId="38" fillId="8" borderId="42" xfId="0" applyFont="1" applyFill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0" fontId="38" fillId="8" borderId="55" xfId="0" applyFont="1" applyFill="1" applyBorder="1" applyAlignment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51" xfId="0" applyFont="1" applyFill="1" applyBorder="1" applyAlignment="1" applyProtection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/>
      <protection locked="0"/>
    </xf>
    <xf numFmtId="0" fontId="12" fillId="7" borderId="0" xfId="0" applyFont="1" applyFill="1" applyBorder="1" applyAlignment="1" applyProtection="1">
      <alignment horizontal="center"/>
    </xf>
    <xf numFmtId="1" fontId="7" fillId="7" borderId="0" xfId="0" applyNumberFormat="1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2" fontId="24" fillId="0" borderId="1" xfId="0" applyNumberFormat="1" applyFont="1" applyFill="1" applyBorder="1" applyAlignment="1" applyProtection="1">
      <alignment horizontal="center"/>
      <protection locked="0"/>
    </xf>
    <xf numFmtId="0" fontId="8" fillId="6" borderId="15" xfId="0" applyFont="1" applyFill="1" applyBorder="1" applyAlignment="1" applyProtection="1">
      <alignment horizontal="center"/>
    </xf>
    <xf numFmtId="165" fontId="0" fillId="6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45" fillId="0" borderId="0" xfId="0" applyFont="1" applyAlignment="1">
      <alignment vertical="center"/>
    </xf>
    <xf numFmtId="2" fontId="45" fillId="8" borderId="2" xfId="0" applyNumberFormat="1" applyFont="1" applyFill="1" applyBorder="1" applyAlignment="1">
      <alignment horizontal="left" vertical="center"/>
    </xf>
    <xf numFmtId="2" fontId="45" fillId="8" borderId="2" xfId="0" applyNumberFormat="1" applyFont="1" applyFill="1" applyBorder="1" applyAlignment="1">
      <alignment horizontal="center" vertical="center"/>
    </xf>
    <xf numFmtId="165" fontId="45" fillId="8" borderId="2" xfId="0" applyNumberFormat="1" applyFont="1" applyFill="1" applyBorder="1" applyAlignment="1">
      <alignment horizontal="center" vertical="center"/>
    </xf>
    <xf numFmtId="164" fontId="45" fillId="8" borderId="2" xfId="0" applyNumberFormat="1" applyFont="1" applyFill="1" applyBorder="1" applyAlignment="1">
      <alignment horizontal="center" vertical="center"/>
    </xf>
    <xf numFmtId="164" fontId="45" fillId="8" borderId="39" xfId="0" applyNumberFormat="1" applyFont="1" applyFill="1" applyBorder="1" applyAlignment="1">
      <alignment horizontal="center" vertical="center"/>
    </xf>
    <xf numFmtId="0" fontId="38" fillId="8" borderId="35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vertical="center"/>
    </xf>
    <xf numFmtId="0" fontId="46" fillId="8" borderId="38" xfId="0" applyFont="1" applyFill="1" applyBorder="1" applyAlignment="1">
      <alignment horizontal="left" vertical="center"/>
    </xf>
    <xf numFmtId="0" fontId="46" fillId="8" borderId="2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17" fillId="7" borderId="0" xfId="0" applyNumberFormat="1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7" fillId="7" borderId="40" xfId="0" applyFont="1" applyFill="1" applyBorder="1" applyAlignment="1" applyProtection="1">
      <alignment horizontal="center" vertical="center"/>
    </xf>
    <xf numFmtId="165" fontId="0" fillId="9" borderId="1" xfId="0" applyNumberFormat="1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horizontal="center" vertical="center"/>
    </xf>
    <xf numFmtId="0" fontId="0" fillId="7" borderId="37" xfId="0" applyFill="1" applyBorder="1" applyAlignment="1" applyProtection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 applyProtection="1">
      <alignment horizontal="center" vertical="center"/>
      <protection locked="0"/>
    </xf>
    <xf numFmtId="1" fontId="24" fillId="0" borderId="1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center"/>
    </xf>
    <xf numFmtId="0" fontId="12" fillId="5" borderId="14" xfId="0" applyFont="1" applyFill="1" applyBorder="1" applyAlignment="1">
      <alignment horizontal="center"/>
    </xf>
    <xf numFmtId="1" fontId="7" fillId="5" borderId="14" xfId="0" applyNumberFormat="1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 indent="1"/>
    </xf>
    <xf numFmtId="165" fontId="38" fillId="8" borderId="37" xfId="0" applyNumberFormat="1" applyFont="1" applyFill="1" applyBorder="1" applyAlignment="1">
      <alignment horizontal="center" vertical="center"/>
    </xf>
    <xf numFmtId="2" fontId="39" fillId="8" borderId="38" xfId="0" applyNumberFormat="1" applyFont="1" applyFill="1" applyBorder="1" applyAlignment="1">
      <alignment horizontal="center"/>
    </xf>
    <xf numFmtId="165" fontId="39" fillId="8" borderId="2" xfId="0" applyNumberFormat="1" applyFont="1" applyFill="1" applyBorder="1" applyAlignment="1">
      <alignment horizontal="center"/>
    </xf>
    <xf numFmtId="164" fontId="39" fillId="8" borderId="2" xfId="0" applyNumberFormat="1" applyFont="1" applyFill="1" applyBorder="1" applyAlignment="1">
      <alignment horizontal="center"/>
    </xf>
    <xf numFmtId="165" fontId="39" fillId="8" borderId="39" xfId="0" applyNumberFormat="1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0" xfId="0" applyFont="1" applyFill="1"/>
    <xf numFmtId="0" fontId="38" fillId="8" borderId="0" xfId="0" applyFont="1" applyFill="1" applyBorder="1" applyAlignment="1">
      <alignment horizontal="left" vertical="center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0" fontId="0" fillId="7" borderId="0" xfId="0" applyFill="1" applyBorder="1" applyAlignment="1" applyProtection="1">
      <alignment horizontal="center" vertical="center"/>
    </xf>
    <xf numFmtId="0" fontId="24" fillId="7" borderId="0" xfId="0" applyFont="1" applyFill="1" applyBorder="1" applyAlignment="1" applyProtection="1">
      <alignment horizontal="center" vertical="center"/>
    </xf>
    <xf numFmtId="0" fontId="33" fillId="7" borderId="0" xfId="0" applyFont="1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left" vertical="center" indent="1"/>
    </xf>
    <xf numFmtId="0" fontId="35" fillId="7" borderId="10" xfId="0" applyFont="1" applyFill="1" applyBorder="1" applyAlignment="1" applyProtection="1">
      <alignment horizontal="left" vertical="center" inden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7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0" fillId="0" borderId="40" xfId="0" applyBorder="1" applyAlignment="1">
      <alignment horizontal="center" vertical="center"/>
    </xf>
    <xf numFmtId="0" fontId="38" fillId="8" borderId="0" xfId="0" applyFont="1" applyFill="1" applyBorder="1" applyAlignment="1">
      <alignment horizontal="center"/>
    </xf>
    <xf numFmtId="0" fontId="0" fillId="8" borderId="39" xfId="0" applyFont="1" applyFill="1" applyBorder="1" applyAlignment="1"/>
    <xf numFmtId="0" fontId="48" fillId="8" borderId="38" xfId="0" applyFont="1" applyFill="1" applyBorder="1" applyAlignment="1">
      <alignment horizontal="center"/>
    </xf>
    <xf numFmtId="165" fontId="48" fillId="8" borderId="2" xfId="0" applyNumberFormat="1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38" fillId="8" borderId="39" xfId="0" applyFont="1" applyFill="1" applyBorder="1" applyAlignment="1">
      <alignment horizontal="center"/>
    </xf>
    <xf numFmtId="0" fontId="0" fillId="0" borderId="0" xfId="0" applyFont="1" applyAlignment="1"/>
    <xf numFmtId="0" fontId="39" fillId="0" borderId="0" xfId="0" applyFont="1" applyAlignment="1"/>
    <xf numFmtId="164" fontId="39" fillId="2" borderId="37" xfId="0" applyNumberFormat="1" applyFont="1" applyFill="1" applyBorder="1" applyAlignment="1">
      <alignment horizontal="center"/>
    </xf>
    <xf numFmtId="164" fontId="39" fillId="3" borderId="39" xfId="0" applyNumberFormat="1" applyFont="1" applyFill="1" applyBorder="1" applyAlignment="1">
      <alignment horizontal="center"/>
    </xf>
    <xf numFmtId="164" fontId="39" fillId="3" borderId="41" xfId="0" applyNumberFormat="1" applyFont="1" applyFill="1" applyBorder="1" applyAlignment="1">
      <alignment horizontal="center"/>
    </xf>
    <xf numFmtId="164" fontId="39" fillId="3" borderId="37" xfId="0" applyNumberFormat="1" applyFont="1" applyFill="1" applyBorder="1" applyAlignment="1">
      <alignment horizontal="center"/>
    </xf>
    <xf numFmtId="164" fontId="39" fillId="4" borderId="39" xfId="0" applyNumberFormat="1" applyFont="1" applyFill="1" applyBorder="1" applyAlignment="1">
      <alignment horizontal="center"/>
    </xf>
    <xf numFmtId="164" fontId="39" fillId="4" borderId="41" xfId="0" applyNumberFormat="1" applyFont="1" applyFill="1" applyBorder="1" applyAlignment="1">
      <alignment horizontal="center"/>
    </xf>
    <xf numFmtId="164" fontId="39" fillId="4" borderId="37" xfId="0" applyNumberFormat="1" applyFont="1" applyFill="1" applyBorder="1" applyAlignment="1">
      <alignment horizontal="center"/>
    </xf>
    <xf numFmtId="0" fontId="38" fillId="8" borderId="40" xfId="0" applyFont="1" applyFill="1" applyBorder="1" applyAlignment="1">
      <alignment horizontal="center" vertical="center"/>
    </xf>
    <xf numFmtId="0" fontId="38" fillId="8" borderId="40" xfId="0" applyFont="1" applyFill="1" applyBorder="1" applyAlignment="1">
      <alignment horizontal="center"/>
    </xf>
    <xf numFmtId="2" fontId="0" fillId="9" borderId="1" xfId="0" applyNumberFormat="1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</xf>
    <xf numFmtId="0" fontId="8" fillId="6" borderId="29" xfId="0" applyFont="1" applyFill="1" applyBorder="1" applyAlignment="1" applyProtection="1">
      <alignment horizontal="center" vertical="center"/>
    </xf>
    <xf numFmtId="165" fontId="8" fillId="6" borderId="3" xfId="0" applyNumberFormat="1" applyFont="1" applyFill="1" applyBorder="1" applyAlignment="1" applyProtection="1">
      <alignment horizontal="center" vertical="center"/>
    </xf>
    <xf numFmtId="165" fontId="8" fillId="6" borderId="54" xfId="0" applyNumberFormat="1" applyFont="1" applyFill="1" applyBorder="1" applyAlignment="1" applyProtection="1">
      <alignment horizontal="center" vertical="center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2" fontId="0" fillId="9" borderId="24" xfId="0" applyNumberFormat="1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</xf>
    <xf numFmtId="0" fontId="7" fillId="6" borderId="25" xfId="0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24" fillId="7" borderId="36" xfId="0" applyFont="1" applyFill="1" applyBorder="1" applyAlignment="1" applyProtection="1">
      <alignment horizontal="center" vertical="center"/>
    </xf>
    <xf numFmtId="0" fontId="0" fillId="7" borderId="33" xfId="0" applyFill="1" applyBorder="1" applyAlignment="1" applyProtection="1">
      <alignment horizontal="left" vertical="center" indent="1"/>
    </xf>
    <xf numFmtId="165" fontId="50" fillId="9" borderId="1" xfId="0" applyNumberFormat="1" applyFont="1" applyFill="1" applyBorder="1" applyAlignment="1" applyProtection="1">
      <alignment horizontal="center" vertical="center"/>
      <protection locked="0"/>
    </xf>
    <xf numFmtId="1" fontId="50" fillId="9" borderId="1" xfId="0" applyNumberFormat="1" applyFont="1" applyFill="1" applyBorder="1" applyAlignment="1" applyProtection="1">
      <alignment horizontal="center" vertical="center"/>
      <protection locked="0"/>
    </xf>
    <xf numFmtId="2" fontId="39" fillId="2" borderId="38" xfId="0" applyNumberFormat="1" applyFont="1" applyFill="1" applyBorder="1" applyAlignment="1">
      <alignment horizontal="center" vertical="center"/>
    </xf>
    <xf numFmtId="165" fontId="39" fillId="2" borderId="39" xfId="0" applyNumberFormat="1" applyFont="1" applyFill="1" applyBorder="1" applyAlignment="1">
      <alignment horizontal="center" vertical="center"/>
    </xf>
    <xf numFmtId="2" fontId="39" fillId="2" borderId="40" xfId="0" applyNumberFormat="1" applyFont="1" applyFill="1" applyBorder="1" applyAlignment="1">
      <alignment horizontal="center" vertical="center"/>
    </xf>
    <xf numFmtId="165" fontId="39" fillId="2" borderId="41" xfId="0" applyNumberFormat="1" applyFont="1" applyFill="1" applyBorder="1" applyAlignment="1">
      <alignment horizontal="center" vertical="center"/>
    </xf>
    <xf numFmtId="165" fontId="39" fillId="2" borderId="37" xfId="0" applyNumberFormat="1" applyFont="1" applyFill="1" applyBorder="1" applyAlignment="1">
      <alignment horizontal="center" vertical="center"/>
    </xf>
    <xf numFmtId="2" fontId="39" fillId="2" borderId="42" xfId="0" applyNumberFormat="1" applyFont="1" applyFill="1" applyBorder="1" applyAlignment="1">
      <alignment horizontal="center" vertical="center"/>
    </xf>
    <xf numFmtId="2" fontId="39" fillId="3" borderId="38" xfId="0" applyNumberFormat="1" applyFont="1" applyFill="1" applyBorder="1" applyAlignment="1">
      <alignment horizontal="center" vertical="center"/>
    </xf>
    <xf numFmtId="165" fontId="39" fillId="3" borderId="39" xfId="0" applyNumberFormat="1" applyFont="1" applyFill="1" applyBorder="1" applyAlignment="1">
      <alignment horizontal="center" vertical="center"/>
    </xf>
    <xf numFmtId="2" fontId="39" fillId="3" borderId="40" xfId="0" applyNumberFormat="1" applyFont="1" applyFill="1" applyBorder="1" applyAlignment="1">
      <alignment horizontal="center" vertical="center"/>
    </xf>
    <xf numFmtId="165" fontId="39" fillId="3" borderId="41" xfId="0" applyNumberFormat="1" applyFont="1" applyFill="1" applyBorder="1" applyAlignment="1">
      <alignment horizontal="center" vertical="center"/>
    </xf>
    <xf numFmtId="165" fontId="39" fillId="3" borderId="37" xfId="0" applyNumberFormat="1" applyFont="1" applyFill="1" applyBorder="1" applyAlignment="1">
      <alignment horizontal="center" vertical="center"/>
    </xf>
    <xf numFmtId="2" fontId="39" fillId="3" borderId="7" xfId="0" applyNumberFormat="1" applyFont="1" applyFill="1" applyBorder="1" applyAlignment="1">
      <alignment horizontal="center" vertical="center"/>
    </xf>
    <xf numFmtId="2" fontId="39" fillId="3" borderId="34" xfId="0" applyNumberFormat="1" applyFont="1" applyFill="1" applyBorder="1" applyAlignment="1">
      <alignment horizontal="center" vertical="center"/>
    </xf>
    <xf numFmtId="2" fontId="39" fillId="4" borderId="38" xfId="0" applyNumberFormat="1" applyFont="1" applyFill="1" applyBorder="1" applyAlignment="1">
      <alignment horizontal="center" vertical="center"/>
    </xf>
    <xf numFmtId="165" fontId="39" fillId="4" borderId="39" xfId="0" applyNumberFormat="1" applyFont="1" applyFill="1" applyBorder="1" applyAlignment="1">
      <alignment horizontal="center" vertical="center"/>
    </xf>
    <xf numFmtId="2" fontId="39" fillId="4" borderId="40" xfId="0" applyNumberFormat="1" applyFont="1" applyFill="1" applyBorder="1" applyAlignment="1">
      <alignment horizontal="center" vertical="center"/>
    </xf>
    <xf numFmtId="165" fontId="39" fillId="4" borderId="41" xfId="0" applyNumberFormat="1" applyFont="1" applyFill="1" applyBorder="1" applyAlignment="1">
      <alignment horizontal="center" vertical="center"/>
    </xf>
    <xf numFmtId="2" fontId="39" fillId="4" borderId="42" xfId="0" applyNumberFormat="1" applyFont="1" applyFill="1" applyBorder="1" applyAlignment="1">
      <alignment horizontal="center" vertical="center"/>
    </xf>
    <xf numFmtId="165" fontId="39" fillId="4" borderId="37" xfId="0" applyNumberFormat="1" applyFont="1" applyFill="1" applyBorder="1" applyAlignment="1">
      <alignment horizontal="center" vertical="center"/>
    </xf>
    <xf numFmtId="0" fontId="0" fillId="6" borderId="13" xfId="0" applyFill="1" applyBorder="1" applyAlignment="1" applyProtection="1">
      <alignment horizontal="left" vertical="center" indent="1"/>
    </xf>
    <xf numFmtId="0" fontId="0" fillId="6" borderId="14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7" fillId="7" borderId="38" xfId="0" applyFont="1" applyFill="1" applyBorder="1" applyAlignment="1" applyProtection="1">
      <alignment horizontal="left" vertical="center" wrapText="1"/>
    </xf>
    <xf numFmtId="0" fontId="17" fillId="7" borderId="2" xfId="0" applyFont="1" applyFill="1" applyBorder="1" applyAlignment="1" applyProtection="1">
      <alignment horizontal="left" vertical="center" wrapText="1"/>
    </xf>
    <xf numFmtId="0" fontId="17" fillId="7" borderId="39" xfId="0" applyFont="1" applyFill="1" applyBorder="1" applyAlignment="1" applyProtection="1">
      <alignment horizontal="left" vertical="center" wrapText="1"/>
    </xf>
    <xf numFmtId="0" fontId="11" fillId="8" borderId="29" xfId="0" applyFont="1" applyFill="1" applyBorder="1" applyAlignment="1" applyProtection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18" xfId="0" applyFont="1" applyFill="1" applyBorder="1" applyAlignment="1" applyProtection="1">
      <alignment horizontal="center" vertical="center"/>
    </xf>
    <xf numFmtId="0" fontId="0" fillId="6" borderId="13" xfId="0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0" fontId="0" fillId="6" borderId="20" xfId="0" applyFill="1" applyBorder="1" applyAlignment="1">
      <alignment horizontal="left" vertical="center" indent="1"/>
    </xf>
    <xf numFmtId="0" fontId="21" fillId="11" borderId="45" xfId="0" applyFont="1" applyFill="1" applyBorder="1" applyAlignment="1" applyProtection="1">
      <alignment horizontal="center" vertical="center" wrapText="1"/>
    </xf>
    <xf numFmtId="0" fontId="12" fillId="11" borderId="44" xfId="0" applyFont="1" applyFill="1" applyBorder="1" applyAlignment="1" applyProtection="1">
      <alignment horizontal="center" vertical="center"/>
    </xf>
    <xf numFmtId="0" fontId="12" fillId="11" borderId="46" xfId="0" applyFont="1" applyFill="1" applyBorder="1" applyAlignment="1" applyProtection="1">
      <alignment horizontal="center" vertical="center"/>
    </xf>
    <xf numFmtId="0" fontId="27" fillId="10" borderId="45" xfId="0" applyFont="1" applyFill="1" applyBorder="1" applyAlignment="1" applyProtection="1">
      <alignment horizontal="center" vertical="center"/>
    </xf>
    <xf numFmtId="0" fontId="27" fillId="10" borderId="44" xfId="0" applyFont="1" applyFill="1" applyBorder="1" applyAlignment="1" applyProtection="1">
      <alignment horizontal="center" vertical="center"/>
    </xf>
    <xf numFmtId="0" fontId="27" fillId="10" borderId="46" xfId="0" applyFont="1" applyFill="1" applyBorder="1" applyAlignment="1" applyProtection="1">
      <alignment horizontal="center" vertical="center"/>
    </xf>
    <xf numFmtId="0" fontId="28" fillId="12" borderId="45" xfId="0" applyFont="1" applyFill="1" applyBorder="1" applyAlignment="1" applyProtection="1">
      <alignment horizontal="center" vertical="center"/>
    </xf>
    <xf numFmtId="0" fontId="28" fillId="12" borderId="44" xfId="0" applyFont="1" applyFill="1" applyBorder="1" applyAlignment="1" applyProtection="1">
      <alignment horizontal="center" vertical="center"/>
    </xf>
    <xf numFmtId="0" fontId="28" fillId="12" borderId="46" xfId="0" applyFont="1" applyFill="1" applyBorder="1" applyAlignment="1" applyProtection="1">
      <alignment horizontal="center" vertical="center"/>
    </xf>
    <xf numFmtId="0" fontId="11" fillId="8" borderId="29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/>
    </xf>
    <xf numFmtId="0" fontId="11" fillId="8" borderId="18" xfId="0" applyFont="1" applyFill="1" applyBorder="1" applyAlignment="1" applyProtection="1">
      <alignment horizontal="center"/>
    </xf>
    <xf numFmtId="0" fontId="0" fillId="6" borderId="13" xfId="0" applyFont="1" applyFill="1" applyBorder="1" applyAlignment="1" applyProtection="1">
      <alignment horizontal="left" vertical="center" indent="1"/>
    </xf>
    <xf numFmtId="0" fontId="0" fillId="6" borderId="14" xfId="0" applyFont="1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horizontal="left" vertical="center" indent="1"/>
    </xf>
    <xf numFmtId="0" fontId="15" fillId="0" borderId="0" xfId="0" applyFont="1" applyAlignment="1" applyProtection="1">
      <alignment horizontal="center"/>
    </xf>
    <xf numFmtId="165" fontId="35" fillId="9" borderId="45" xfId="0" applyNumberFormat="1" applyFont="1" applyFill="1" applyBorder="1" applyAlignment="1" applyProtection="1">
      <alignment horizontal="center"/>
      <protection locked="0"/>
    </xf>
    <xf numFmtId="165" fontId="35" fillId="9" borderId="46" xfId="0" applyNumberFormat="1" applyFont="1" applyFill="1" applyBorder="1" applyAlignment="1" applyProtection="1">
      <alignment horizontal="center"/>
      <protection locked="0"/>
    </xf>
    <xf numFmtId="2" fontId="0" fillId="7" borderId="0" xfId="0" applyNumberFormat="1" applyFill="1" applyBorder="1" applyAlignment="1" applyProtection="1">
      <alignment horizontal="center"/>
    </xf>
    <xf numFmtId="1" fontId="0" fillId="7" borderId="0" xfId="0" applyNumberFormat="1" applyFill="1" applyBorder="1" applyAlignment="1" applyProtection="1">
      <alignment horizontal="center" vertical="center"/>
    </xf>
    <xf numFmtId="1" fontId="0" fillId="9" borderId="45" xfId="0" applyNumberFormat="1" applyFill="1" applyBorder="1" applyAlignment="1" applyProtection="1">
      <alignment horizontal="center" vertical="center"/>
      <protection locked="0"/>
    </xf>
    <xf numFmtId="1" fontId="0" fillId="9" borderId="46" xfId="0" applyNumberFormat="1" applyFill="1" applyBorder="1" applyAlignment="1" applyProtection="1">
      <alignment horizontal="center" vertical="center"/>
      <protection locked="0"/>
    </xf>
    <xf numFmtId="165" fontId="0" fillId="7" borderId="0" xfId="0" applyNumberFormat="1" applyFill="1" applyBorder="1" applyAlignment="1" applyProtection="1">
      <alignment horizontal="center" vertical="center"/>
    </xf>
    <xf numFmtId="2" fontId="0" fillId="7" borderId="0" xfId="0" applyNumberFormat="1" applyFill="1" applyBorder="1" applyAlignment="1" applyProtection="1">
      <alignment horizontal="center" vertical="center"/>
    </xf>
    <xf numFmtId="2" fontId="0" fillId="7" borderId="36" xfId="0" applyNumberFormat="1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left" vertical="center" indent="1"/>
    </xf>
    <xf numFmtId="0" fontId="0" fillId="6" borderId="5" xfId="0" applyFill="1" applyBorder="1" applyAlignment="1" applyProtection="1">
      <alignment horizontal="left" vertical="center" indent="1"/>
    </xf>
    <xf numFmtId="0" fontId="0" fillId="6" borderId="31" xfId="0" applyFill="1" applyBorder="1" applyAlignment="1" applyProtection="1">
      <alignment horizontal="left" vertical="center" indent="1"/>
    </xf>
    <xf numFmtId="0" fontId="0" fillId="6" borderId="43" xfId="0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3" xfId="0" applyFill="1" applyBorder="1" applyAlignment="1" applyProtection="1">
      <alignment horizontal="left" vertical="center" indent="1"/>
    </xf>
    <xf numFmtId="0" fontId="17" fillId="7" borderId="40" xfId="0" applyFont="1" applyFill="1" applyBorder="1" applyAlignment="1" applyProtection="1">
      <alignment horizontal="left" vertical="center" wrapText="1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2" fontId="24" fillId="9" borderId="45" xfId="0" applyNumberFormat="1" applyFont="1" applyFill="1" applyBorder="1" applyAlignment="1" applyProtection="1">
      <alignment horizontal="center"/>
      <protection locked="0"/>
    </xf>
    <xf numFmtId="2" fontId="24" fillId="9" borderId="46" xfId="0" applyNumberFormat="1" applyFont="1" applyFill="1" applyBorder="1" applyAlignment="1" applyProtection="1">
      <alignment horizontal="center"/>
      <protection locked="0"/>
    </xf>
    <xf numFmtId="2" fontId="24" fillId="9" borderId="45" xfId="0" applyNumberFormat="1" applyFont="1" applyFill="1" applyBorder="1" applyAlignment="1" applyProtection="1">
      <alignment horizontal="center" vertical="center"/>
      <protection locked="0"/>
    </xf>
    <xf numFmtId="2" fontId="24" fillId="9" borderId="46" xfId="0" applyNumberFormat="1" applyFont="1" applyFill="1" applyBorder="1" applyAlignment="1" applyProtection="1">
      <alignment horizontal="center" vertical="center"/>
      <protection locked="0"/>
    </xf>
    <xf numFmtId="1" fontId="24" fillId="7" borderId="36" xfId="0" applyNumberFormat="1" applyFont="1" applyFill="1" applyBorder="1" applyAlignment="1" applyProtection="1">
      <alignment horizontal="center" vertical="center"/>
    </xf>
    <xf numFmtId="0" fontId="17" fillId="7" borderId="4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/>
    </xf>
    <xf numFmtId="0" fontId="17" fillId="7" borderId="41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horizontal="center" vertical="center"/>
    </xf>
    <xf numFmtId="0" fontId="17" fillId="7" borderId="39" xfId="0" applyFont="1" applyFill="1" applyBorder="1" applyAlignment="1" applyProtection="1">
      <alignment horizontal="center" vertical="center"/>
    </xf>
    <xf numFmtId="0" fontId="49" fillId="7" borderId="4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21" fillId="11" borderId="42" xfId="0" applyFont="1" applyFill="1" applyBorder="1" applyAlignment="1" applyProtection="1">
      <alignment horizontal="center" vertical="center" wrapText="1"/>
    </xf>
    <xf numFmtId="0" fontId="12" fillId="11" borderId="36" xfId="0" applyFont="1" applyFill="1" applyBorder="1" applyAlignment="1" applyProtection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0" fontId="0" fillId="6" borderId="13" xfId="0" applyFill="1" applyBorder="1" applyAlignment="1" applyProtection="1">
      <alignment horizontal="left" indent="1"/>
    </xf>
    <xf numFmtId="0" fontId="0" fillId="6" borderId="14" xfId="0" applyFill="1" applyBorder="1" applyAlignment="1" applyProtection="1">
      <alignment horizontal="left" indent="1"/>
    </xf>
    <xf numFmtId="0" fontId="0" fillId="6" borderId="20" xfId="0" applyFill="1" applyBorder="1" applyAlignment="1" applyProtection="1">
      <alignment horizontal="left" indent="1"/>
    </xf>
    <xf numFmtId="0" fontId="19" fillId="10" borderId="45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0" fontId="19" fillId="10" borderId="46" xfId="0" applyFont="1" applyFill="1" applyBorder="1" applyAlignment="1">
      <alignment horizontal="center" vertical="center"/>
    </xf>
    <xf numFmtId="0" fontId="19" fillId="10" borderId="36" xfId="0" applyFont="1" applyFill="1" applyBorder="1" applyAlignment="1">
      <alignment horizontal="center" vertical="center"/>
    </xf>
    <xf numFmtId="0" fontId="40" fillId="0" borderId="0" xfId="1" applyFont="1" applyAlignment="1" applyProtection="1">
      <alignment horizontal="center" vertical="center"/>
    </xf>
    <xf numFmtId="0" fontId="9" fillId="8" borderId="17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"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0000FF"/>
      <color rgb="FF99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8876765404324461"/>
          <c:y val="1.80560612374706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651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3.4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Efficiency!$U$4:$U$11</c:f>
              <c:numCache>
                <c:formatCode>0.0</c:formatCode>
                <c:ptCount val="8"/>
                <c:pt idx="0">
                  <c:v>81.78382869931373</c:v>
                </c:pt>
                <c:pt idx="1">
                  <c:v>87.076644375973572</c:v>
                </c:pt>
                <c:pt idx="2">
                  <c:v>88.357536616968332</c:v>
                </c:pt>
                <c:pt idx="3">
                  <c:v>88.502269550547638</c:v>
                </c:pt>
                <c:pt idx="4">
                  <c:v>88.153008163482525</c:v>
                </c:pt>
                <c:pt idx="5">
                  <c:v>87.5290803467459</c:v>
                </c:pt>
                <c:pt idx="6">
                  <c:v>86.721289903285026</c:v>
                </c:pt>
                <c:pt idx="7">
                  <c:v>85.769676849244021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5.0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Efficiency!$AO$4:$AO$11</c:f>
              <c:numCache>
                <c:formatCode>0.0</c:formatCode>
                <c:ptCount val="8"/>
                <c:pt idx="0">
                  <c:v>75.093759380950488</c:v>
                </c:pt>
                <c:pt idx="1">
                  <c:v>82.387963862362014</c:v>
                </c:pt>
                <c:pt idx="2">
                  <c:v>84.566684526305579</c:v>
                </c:pt>
                <c:pt idx="3">
                  <c:v>85.230929798567246</c:v>
                </c:pt>
                <c:pt idx="4">
                  <c:v>85.22921565023789</c:v>
                </c:pt>
                <c:pt idx="5">
                  <c:v>84.86112900501665</c:v>
                </c:pt>
                <c:pt idx="6">
                  <c:v>84.255611407055312</c:v>
                </c:pt>
                <c:pt idx="7">
                  <c:v>83.473716440681187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5.5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Efficiency!$BI$4:$BI$11</c:f>
              <c:numCache>
                <c:formatCode>0.0</c:formatCode>
                <c:ptCount val="8"/>
                <c:pt idx="0">
                  <c:v>72.834531900636321</c:v>
                </c:pt>
                <c:pt idx="1">
                  <c:v>80.718912923090613</c:v>
                </c:pt>
                <c:pt idx="2">
                  <c:v>83.179463423791105</c:v>
                </c:pt>
                <c:pt idx="3">
                  <c:v>84.008797178204119</c:v>
                </c:pt>
                <c:pt idx="4">
                  <c:v>84.116684928207803</c:v>
                </c:pt>
                <c:pt idx="5">
                  <c:v>83.827540880359152</c:v>
                </c:pt>
                <c:pt idx="6">
                  <c:v>83.282284308225215</c:v>
                </c:pt>
                <c:pt idx="7">
                  <c:v>82.548532181546278</c:v>
                </c:pt>
              </c:numCache>
            </c:numRef>
          </c:yVal>
          <c:smooth val="1"/>
        </c:ser>
        <c:axId val="205788672"/>
        <c:axId val="205790592"/>
      </c:scatterChart>
      <c:valAx>
        <c:axId val="205788672"/>
        <c:scaling>
          <c:orientation val="minMax"/>
          <c:max val="2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248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790592"/>
        <c:crosses val="autoZero"/>
        <c:crossBetween val="midCat"/>
        <c:majorUnit val="0.25"/>
        <c:minorUnit val="0.125"/>
      </c:valAx>
      <c:valAx>
        <c:axId val="205790592"/>
        <c:scaling>
          <c:orientation val="minMax"/>
          <c:max val="95"/>
          <c:min val="6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0813E-2"/>
              <c:y val="0.279266409690420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788672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30768028996377"/>
          <c:y val="0.68932428425526249"/>
          <c:w val="0.12461751371987591"/>
          <c:h val="0.1578844644419481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3718035245594304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684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3.4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Efficiency!$B$14:$B$21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Efficiency!$U$14:$U$21</c:f>
              <c:numCache>
                <c:formatCode>0.0</c:formatCode>
                <c:ptCount val="8"/>
                <c:pt idx="0">
                  <c:v>81.331583887224227</c:v>
                </c:pt>
                <c:pt idx="1">
                  <c:v>86.191495940427274</c:v>
                </c:pt>
                <c:pt idx="2">
                  <c:v>87.023291117170544</c:v>
                </c:pt>
                <c:pt idx="3">
                  <c:v>86.719824506996218</c:v>
                </c:pt>
                <c:pt idx="4">
                  <c:v>85.924812020976333</c:v>
                </c:pt>
                <c:pt idx="5">
                  <c:v>84.855889880353871</c:v>
                </c:pt>
                <c:pt idx="6">
                  <c:v>83.601100406272991</c:v>
                </c:pt>
                <c:pt idx="7">
                  <c:v>82.197145275854439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5.0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Efficiency!$V$14:$V$21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Efficiency!$AO$14:$AO$21</c:f>
              <c:numCache>
                <c:formatCode>0.0</c:formatCode>
                <c:ptCount val="8"/>
                <c:pt idx="0">
                  <c:v>74.762939884115127</c:v>
                </c:pt>
                <c:pt idx="1">
                  <c:v>81.646942802498288</c:v>
                </c:pt>
                <c:pt idx="2">
                  <c:v>83.406733693157619</c:v>
                </c:pt>
                <c:pt idx="3">
                  <c:v>83.655640826133975</c:v>
                </c:pt>
                <c:pt idx="4">
                  <c:v>83.243213951679181</c:v>
                </c:pt>
                <c:pt idx="5">
                  <c:v>82.46769403495793</c:v>
                </c:pt>
                <c:pt idx="6">
                  <c:v>81.455968277575124</c:v>
                </c:pt>
                <c:pt idx="7">
                  <c:v>80.266751548793266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5.5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Efficiency!$AP$14:$AP$21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Efficiency!$BI$14:$BI$21</c:f>
              <c:numCache>
                <c:formatCode>0.0</c:formatCode>
                <c:ptCount val="8"/>
                <c:pt idx="0">
                  <c:v>72.420717515779671</c:v>
                </c:pt>
                <c:pt idx="1">
                  <c:v>79.944611748188905</c:v>
                </c:pt>
                <c:pt idx="2">
                  <c:v>82.014267687643468</c:v>
                </c:pt>
                <c:pt idx="3">
                  <c:v>82.448115452838977</c:v>
                </c:pt>
                <c:pt idx="4">
                  <c:v>82.161407537416878</c:v>
                </c:pt>
                <c:pt idx="5">
                  <c:v>81.47911012287571</c:v>
                </c:pt>
                <c:pt idx="6">
                  <c:v>80.541090287093255</c:v>
                </c:pt>
                <c:pt idx="7">
                  <c:v>79.413265004465629</c:v>
                </c:pt>
              </c:numCache>
            </c:numRef>
          </c:yVal>
          <c:smooth val="1"/>
        </c:ser>
        <c:axId val="206189696"/>
        <c:axId val="206191616"/>
      </c:scatterChart>
      <c:valAx>
        <c:axId val="206189696"/>
        <c:scaling>
          <c:orientation val="minMax"/>
          <c:max val="2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275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191616"/>
        <c:crosses val="autoZero"/>
        <c:crossBetween val="midCat"/>
        <c:majorUnit val="0.25"/>
        <c:minorUnit val="0.125"/>
      </c:valAx>
      <c:valAx>
        <c:axId val="206191616"/>
        <c:scaling>
          <c:orientation val="minMax"/>
          <c:max val="95"/>
          <c:min val="6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0827E-2"/>
              <c:y val="0.279266409690420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189696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109267591551061"/>
          <c:y val="0.68932428425526249"/>
          <c:w val="0.12461751371987591"/>
          <c:h val="0.15788446444194823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3043432070991213"/>
          <c:y val="2.08453859585544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684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3.4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Efficiency!$N$4:$N$11</c:f>
              <c:numCache>
                <c:formatCode>0.0</c:formatCode>
                <c:ptCount val="8"/>
                <c:pt idx="0">
                  <c:v>29.522710860272483</c:v>
                </c:pt>
                <c:pt idx="1">
                  <c:v>31.058859709928846</c:v>
                </c:pt>
                <c:pt idx="2">
                  <c:v>33.078309642216595</c:v>
                </c:pt>
                <c:pt idx="3">
                  <c:v>35.612179829917956</c:v>
                </c:pt>
                <c:pt idx="4">
                  <c:v>38.702397590309374</c:v>
                </c:pt>
                <c:pt idx="5">
                  <c:v>42.40383536559677</c:v>
                </c:pt>
                <c:pt idx="6">
                  <c:v>46.787326566577995</c:v>
                </c:pt>
                <c:pt idx="7">
                  <c:v>51.943920412297302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5.0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Efficiency!$AH$4:$AH$11</c:f>
              <c:numCache>
                <c:formatCode>0.0</c:formatCode>
                <c:ptCount val="8"/>
                <c:pt idx="0">
                  <c:v>31.568809065996625</c:v>
                </c:pt>
                <c:pt idx="1">
                  <c:v>33.574053193784074</c:v>
                </c:pt>
                <c:pt idx="2">
                  <c:v>36.055640217306056</c:v>
                </c:pt>
                <c:pt idx="3">
                  <c:v>39.046117237825754</c:v>
                </c:pt>
                <c:pt idx="4">
                  <c:v>42.588148665361018</c:v>
                </c:pt>
                <c:pt idx="5">
                  <c:v>46.736433791930239</c:v>
                </c:pt>
                <c:pt idx="6">
                  <c:v>51.560359274892953</c:v>
                </c:pt>
                <c:pt idx="7">
                  <c:v>57.147661838841387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5.5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Efficiency!$BB$4:$BB$11</c:f>
              <c:numCache>
                <c:formatCode>0.0</c:formatCode>
                <c:ptCount val="8"/>
                <c:pt idx="0">
                  <c:v>32.341207431919266</c:v>
                </c:pt>
                <c:pt idx="1">
                  <c:v>34.537914536044774</c:v>
                </c:pt>
                <c:pt idx="2">
                  <c:v>37.212409333526665</c:v>
                </c:pt>
                <c:pt idx="3">
                  <c:v>40.398504949144709</c:v>
                </c:pt>
                <c:pt idx="4">
                  <c:v>44.140126574589139</c:v>
                </c:pt>
                <c:pt idx="5">
                  <c:v>48.493237093959671</c:v>
                </c:pt>
                <c:pt idx="6">
                  <c:v>53.528487396989604</c:v>
                </c:pt>
                <c:pt idx="7">
                  <c:v>59.334860041272087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Efficiency!$G$72:$G$73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Efficiency!$H$72:$H$73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axId val="206452224"/>
        <c:axId val="206454144"/>
      </c:scatterChart>
      <c:valAx>
        <c:axId val="206452224"/>
        <c:scaling>
          <c:orientation val="minMax"/>
          <c:max val="2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275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454144"/>
        <c:crosses val="autoZero"/>
        <c:crossBetween val="midCat"/>
        <c:majorUnit val="0.25"/>
        <c:minorUnit val="0.125"/>
      </c:valAx>
      <c:valAx>
        <c:axId val="206454144"/>
        <c:scaling>
          <c:orientation val="minMax"/>
          <c:max val="16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321E-3"/>
              <c:y val="0.265319408295720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452224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267997750281216"/>
          <c:y val="0.15375943069877848"/>
          <c:w val="0.16859142607174121"/>
          <c:h val="0.15946166770994641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High Ambient</a:t>
            </a:r>
            <a:endParaRPr lang="en-US"/>
          </a:p>
        </c:rich>
      </c:tx>
      <c:layout>
        <c:manualLayout>
          <c:xMode val="edge"/>
          <c:yMode val="edge"/>
          <c:x val="0.2728946381702288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706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3.4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Efficiency!$B$14:$B$21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Efficiency!$N$14:$N$21</c:f>
              <c:numCache>
                <c:formatCode>0.0</c:formatCode>
                <c:ptCount val="8"/>
                <c:pt idx="0">
                  <c:v>109.66302180490838</c:v>
                </c:pt>
                <c:pt idx="1">
                  <c:v>111.5421621974221</c:v>
                </c:pt>
                <c:pt idx="2">
                  <c:v>114.14343961679781</c:v>
                </c:pt>
                <c:pt idx="3">
                  <c:v>117.51227739905167</c:v>
                </c:pt>
                <c:pt idx="4">
                  <c:v>121.71079477176768</c:v>
                </c:pt>
                <c:pt idx="5">
                  <c:v>126.82131416292621</c:v>
                </c:pt>
                <c:pt idx="6">
                  <c:v>132.9513879659213</c:v>
                </c:pt>
                <c:pt idx="7">
                  <c:v>140.24103208195913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5.0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Efficiency!$V$14:$V$21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Efficiency!$AH$14:$AH$21</c:f>
              <c:numCache>
                <c:formatCode>0.0</c:formatCode>
                <c:ptCount val="8"/>
                <c:pt idx="0">
                  <c:v>111.68956990368922</c:v>
                </c:pt>
                <c:pt idx="1">
                  <c:v>114.02382269688987</c:v>
                </c:pt>
                <c:pt idx="2">
                  <c:v>117.06211994261855</c:v>
                </c:pt>
                <c:pt idx="3">
                  <c:v>120.84879253562461</c:v>
                </c:pt>
                <c:pt idx="4">
                  <c:v>125.44323971246496</c:v>
                </c:pt>
                <c:pt idx="5">
                  <c:v>130.92281179238699</c:v>
                </c:pt>
                <c:pt idx="6">
                  <c:v>137.38685146623735</c:v>
                </c:pt>
                <c:pt idx="7">
                  <c:v>144.96235191738853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5.5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Efficiency!$AP$14:$AP$21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Efficiency!$BB$14:$BB$21</c:f>
              <c:numCache>
                <c:formatCode>0.0</c:formatCode>
                <c:ptCount val="8"/>
                <c:pt idx="0">
                  <c:v>112.50408094782516</c:v>
                </c:pt>
                <c:pt idx="1">
                  <c:v>115.03007056487894</c:v>
                </c:pt>
                <c:pt idx="2">
                  <c:v>118.2599479414439</c:v>
                </c:pt>
                <c:pt idx="3">
                  <c:v>122.23898919061139</c:v>
                </c:pt>
                <c:pt idx="4">
                  <c:v>127.02741080843548</c:v>
                </c:pt>
                <c:pt idx="5">
                  <c:v>132.70321054849623</c:v>
                </c:pt>
                <c:pt idx="6">
                  <c:v>139.36613125788813</c:v>
                </c:pt>
                <c:pt idx="7">
                  <c:v>147.14318354138808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Efficiency!$G$72:$G$73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Efficiency!$H$72:$H$73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axId val="200349568"/>
        <c:axId val="200355840"/>
      </c:scatterChart>
      <c:valAx>
        <c:axId val="200349568"/>
        <c:scaling>
          <c:orientation val="minMax"/>
          <c:max val="2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303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355840"/>
        <c:crosses val="autoZero"/>
        <c:crossBetween val="midCat"/>
        <c:majorUnit val="0.25"/>
        <c:minorUnit val="0.125"/>
      </c:valAx>
      <c:valAx>
        <c:axId val="200355840"/>
        <c:scaling>
          <c:orientation val="minMax"/>
          <c:max val="16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356E-3"/>
              <c:y val="0.265319408295720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349568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9339426321709783"/>
          <c:y val="0.67258788258162294"/>
          <c:w val="0.14875015623047141"/>
          <c:h val="0.15946166770994641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Typical Vout </a:t>
            </a:r>
            <a:r>
              <a:rPr lang="en-US" sz="1200" baseline="0"/>
              <a:t>vs Vin at 100%, 66%, and 33% Load at Room Temp.</a:t>
            </a:r>
            <a:endParaRPr lang="en-US" sz="1200"/>
          </a:p>
        </c:rich>
      </c:tx>
      <c:layout>
        <c:manualLayout>
          <c:xMode val="edge"/>
          <c:yMode val="edge"/>
          <c:x val="0.17410714285714327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684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Dropout!$C$5</c:f>
              <c:strCache>
                <c:ptCount val="1"/>
                <c:pt idx="0">
                  <c:v>2.00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Dropout!$B$5:$B$45</c:f>
              <c:numCache>
                <c:formatCode>0.00</c:formatCode>
                <c:ptCount val="41"/>
                <c:pt idx="0">
                  <c:v>4.9999999999999947</c:v>
                </c:pt>
                <c:pt idx="1">
                  <c:v>4.9254999999999951</c:v>
                </c:pt>
                <c:pt idx="2">
                  <c:v>4.8509999999999955</c:v>
                </c:pt>
                <c:pt idx="3">
                  <c:v>4.776499999999996</c:v>
                </c:pt>
                <c:pt idx="4">
                  <c:v>4.7019999999999964</c:v>
                </c:pt>
                <c:pt idx="5">
                  <c:v>4.6274999999999968</c:v>
                </c:pt>
                <c:pt idx="6">
                  <c:v>4.5529999999999973</c:v>
                </c:pt>
                <c:pt idx="7">
                  <c:v>4.4784999999999977</c:v>
                </c:pt>
                <c:pt idx="8">
                  <c:v>4.4039999999999981</c:v>
                </c:pt>
                <c:pt idx="9">
                  <c:v>4.3294999999999986</c:v>
                </c:pt>
                <c:pt idx="10">
                  <c:v>4.254999999999999</c:v>
                </c:pt>
                <c:pt idx="11">
                  <c:v>4.1804999999999994</c:v>
                </c:pt>
                <c:pt idx="12">
                  <c:v>4.1059999999999999</c:v>
                </c:pt>
                <c:pt idx="13">
                  <c:v>4.0315000000000003</c:v>
                </c:pt>
                <c:pt idx="14">
                  <c:v>3.9570000000000003</c:v>
                </c:pt>
                <c:pt idx="15">
                  <c:v>3.8825000000000003</c:v>
                </c:pt>
                <c:pt idx="16">
                  <c:v>3.8080000000000003</c:v>
                </c:pt>
                <c:pt idx="17">
                  <c:v>3.7335000000000003</c:v>
                </c:pt>
                <c:pt idx="18">
                  <c:v>3.6590000000000003</c:v>
                </c:pt>
                <c:pt idx="19">
                  <c:v>3.5845000000000002</c:v>
                </c:pt>
                <c:pt idx="20">
                  <c:v>3.5100000000000002</c:v>
                </c:pt>
                <c:pt idx="21">
                  <c:v>3.4355000000000002</c:v>
                </c:pt>
                <c:pt idx="22">
                  <c:v>3.3610000000000002</c:v>
                </c:pt>
                <c:pt idx="23">
                  <c:v>3.2865000000000002</c:v>
                </c:pt>
                <c:pt idx="24">
                  <c:v>3.2120000000000002</c:v>
                </c:pt>
                <c:pt idx="25">
                  <c:v>3.1375000000000002</c:v>
                </c:pt>
                <c:pt idx="26">
                  <c:v>3.0630000000000002</c:v>
                </c:pt>
                <c:pt idx="27">
                  <c:v>2.9885000000000002</c:v>
                </c:pt>
                <c:pt idx="28">
                  <c:v>2.9140000000000001</c:v>
                </c:pt>
                <c:pt idx="29">
                  <c:v>2.8395000000000001</c:v>
                </c:pt>
                <c:pt idx="30">
                  <c:v>2.7650000000000001</c:v>
                </c:pt>
                <c:pt idx="31">
                  <c:v>2.6905000000000001</c:v>
                </c:pt>
                <c:pt idx="32">
                  <c:v>2.6160000000000001</c:v>
                </c:pt>
                <c:pt idx="33">
                  <c:v>2.5415000000000001</c:v>
                </c:pt>
                <c:pt idx="34">
                  <c:v>2.4670000000000001</c:v>
                </c:pt>
                <c:pt idx="35">
                  <c:v>2.3925000000000001</c:v>
                </c:pt>
                <c:pt idx="36">
                  <c:v>2.3180000000000001</c:v>
                </c:pt>
                <c:pt idx="37">
                  <c:v>2.2435</c:v>
                </c:pt>
                <c:pt idx="38">
                  <c:v>2.169</c:v>
                </c:pt>
                <c:pt idx="39">
                  <c:v>2.0945</c:v>
                </c:pt>
                <c:pt idx="40">
                  <c:v>2.02</c:v>
                </c:pt>
              </c:numCache>
            </c:numRef>
          </c:xVal>
          <c:yVal>
            <c:numRef>
              <c:f>Dropout!$Q$5:$Q$45</c:f>
              <c:numCache>
                <c:formatCode>0.000</c:formatCode>
                <c:ptCount val="41"/>
                <c:pt idx="0">
                  <c:v>1.7973333333333334</c:v>
                </c:pt>
                <c:pt idx="1">
                  <c:v>1.7973333333333334</c:v>
                </c:pt>
                <c:pt idx="2">
                  <c:v>1.7973333333333334</c:v>
                </c:pt>
                <c:pt idx="3">
                  <c:v>1.7973333333333334</c:v>
                </c:pt>
                <c:pt idx="4">
                  <c:v>1.7973333333333334</c:v>
                </c:pt>
                <c:pt idx="5">
                  <c:v>1.7973333333333334</c:v>
                </c:pt>
                <c:pt idx="6">
                  <c:v>1.7973333333333334</c:v>
                </c:pt>
                <c:pt idx="7">
                  <c:v>1.7973333333333334</c:v>
                </c:pt>
                <c:pt idx="8">
                  <c:v>1.7973333333333334</c:v>
                </c:pt>
                <c:pt idx="9">
                  <c:v>1.7973333333333334</c:v>
                </c:pt>
                <c:pt idx="10">
                  <c:v>1.7973333333333334</c:v>
                </c:pt>
                <c:pt idx="11">
                  <c:v>1.7973333333333334</c:v>
                </c:pt>
                <c:pt idx="12">
                  <c:v>1.7973333333333334</c:v>
                </c:pt>
                <c:pt idx="13">
                  <c:v>1.7973333333333334</c:v>
                </c:pt>
                <c:pt idx="14">
                  <c:v>1.7973333333333334</c:v>
                </c:pt>
                <c:pt idx="15">
                  <c:v>1.7973333333333334</c:v>
                </c:pt>
                <c:pt idx="16">
                  <c:v>1.7973333333333334</c:v>
                </c:pt>
                <c:pt idx="17">
                  <c:v>1.7973333333333334</c:v>
                </c:pt>
                <c:pt idx="18">
                  <c:v>1.7973333333333334</c:v>
                </c:pt>
                <c:pt idx="19">
                  <c:v>1.7973333333333334</c:v>
                </c:pt>
                <c:pt idx="20">
                  <c:v>1.7973333333333334</c:v>
                </c:pt>
                <c:pt idx="21">
                  <c:v>1.7973333333333334</c:v>
                </c:pt>
                <c:pt idx="22">
                  <c:v>1.7973333333333334</c:v>
                </c:pt>
                <c:pt idx="23">
                  <c:v>1.7973333333333334</c:v>
                </c:pt>
                <c:pt idx="24">
                  <c:v>1.7973333333333334</c:v>
                </c:pt>
                <c:pt idx="25">
                  <c:v>1.7973333333333334</c:v>
                </c:pt>
                <c:pt idx="26">
                  <c:v>1.7973333333333334</c:v>
                </c:pt>
                <c:pt idx="27">
                  <c:v>1.7973333333333334</c:v>
                </c:pt>
                <c:pt idx="28">
                  <c:v>1.7973333333333334</c:v>
                </c:pt>
                <c:pt idx="29">
                  <c:v>1.7973333333333334</c:v>
                </c:pt>
                <c:pt idx="30">
                  <c:v>1.7973333333333334</c:v>
                </c:pt>
                <c:pt idx="31">
                  <c:v>1.7973333333333334</c:v>
                </c:pt>
                <c:pt idx="32">
                  <c:v>1.7973333333333334</c:v>
                </c:pt>
                <c:pt idx="33">
                  <c:v>1.7973333333333334</c:v>
                </c:pt>
                <c:pt idx="34">
                  <c:v>1.7973333333333334</c:v>
                </c:pt>
                <c:pt idx="35">
                  <c:v>1.7973333333333334</c:v>
                </c:pt>
                <c:pt idx="36">
                  <c:v>1.7973333333333334</c:v>
                </c:pt>
                <c:pt idx="37">
                  <c:v>1.7973333333333334</c:v>
                </c:pt>
                <c:pt idx="38">
                  <c:v>1.7568002205466788</c:v>
                </c:pt>
                <c:pt idx="39">
                  <c:v>1.6899385213471103</c:v>
                </c:pt>
                <c:pt idx="40">
                  <c:v>1.6230724452935219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Dropout!$R$5</c:f>
              <c:strCache>
                <c:ptCount val="1"/>
                <c:pt idx="0">
                  <c:v>1.33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Dropout!$B$5:$B$45</c:f>
              <c:numCache>
                <c:formatCode>0.00</c:formatCode>
                <c:ptCount val="41"/>
                <c:pt idx="0">
                  <c:v>4.9999999999999947</c:v>
                </c:pt>
                <c:pt idx="1">
                  <c:v>4.9254999999999951</c:v>
                </c:pt>
                <c:pt idx="2">
                  <c:v>4.8509999999999955</c:v>
                </c:pt>
                <c:pt idx="3">
                  <c:v>4.776499999999996</c:v>
                </c:pt>
                <c:pt idx="4">
                  <c:v>4.7019999999999964</c:v>
                </c:pt>
                <c:pt idx="5">
                  <c:v>4.6274999999999968</c:v>
                </c:pt>
                <c:pt idx="6">
                  <c:v>4.5529999999999973</c:v>
                </c:pt>
                <c:pt idx="7">
                  <c:v>4.4784999999999977</c:v>
                </c:pt>
                <c:pt idx="8">
                  <c:v>4.4039999999999981</c:v>
                </c:pt>
                <c:pt idx="9">
                  <c:v>4.3294999999999986</c:v>
                </c:pt>
                <c:pt idx="10">
                  <c:v>4.254999999999999</c:v>
                </c:pt>
                <c:pt idx="11">
                  <c:v>4.1804999999999994</c:v>
                </c:pt>
                <c:pt idx="12">
                  <c:v>4.1059999999999999</c:v>
                </c:pt>
                <c:pt idx="13">
                  <c:v>4.0315000000000003</c:v>
                </c:pt>
                <c:pt idx="14">
                  <c:v>3.9570000000000003</c:v>
                </c:pt>
                <c:pt idx="15">
                  <c:v>3.8825000000000003</c:v>
                </c:pt>
                <c:pt idx="16">
                  <c:v>3.8080000000000003</c:v>
                </c:pt>
                <c:pt idx="17">
                  <c:v>3.7335000000000003</c:v>
                </c:pt>
                <c:pt idx="18">
                  <c:v>3.6590000000000003</c:v>
                </c:pt>
                <c:pt idx="19">
                  <c:v>3.5845000000000002</c:v>
                </c:pt>
                <c:pt idx="20">
                  <c:v>3.5100000000000002</c:v>
                </c:pt>
                <c:pt idx="21">
                  <c:v>3.4355000000000002</c:v>
                </c:pt>
                <c:pt idx="22">
                  <c:v>3.3610000000000002</c:v>
                </c:pt>
                <c:pt idx="23">
                  <c:v>3.2865000000000002</c:v>
                </c:pt>
                <c:pt idx="24">
                  <c:v>3.2120000000000002</c:v>
                </c:pt>
                <c:pt idx="25">
                  <c:v>3.1375000000000002</c:v>
                </c:pt>
                <c:pt idx="26">
                  <c:v>3.0630000000000002</c:v>
                </c:pt>
                <c:pt idx="27">
                  <c:v>2.9885000000000002</c:v>
                </c:pt>
                <c:pt idx="28">
                  <c:v>2.9140000000000001</c:v>
                </c:pt>
                <c:pt idx="29">
                  <c:v>2.8395000000000001</c:v>
                </c:pt>
                <c:pt idx="30">
                  <c:v>2.7650000000000001</c:v>
                </c:pt>
                <c:pt idx="31">
                  <c:v>2.6905000000000001</c:v>
                </c:pt>
                <c:pt idx="32">
                  <c:v>2.6160000000000001</c:v>
                </c:pt>
                <c:pt idx="33">
                  <c:v>2.5415000000000001</c:v>
                </c:pt>
                <c:pt idx="34">
                  <c:v>2.4670000000000001</c:v>
                </c:pt>
                <c:pt idx="35">
                  <c:v>2.3925000000000001</c:v>
                </c:pt>
                <c:pt idx="36">
                  <c:v>2.3180000000000001</c:v>
                </c:pt>
                <c:pt idx="37">
                  <c:v>2.2435</c:v>
                </c:pt>
                <c:pt idx="38">
                  <c:v>2.169</c:v>
                </c:pt>
                <c:pt idx="39">
                  <c:v>2.0945</c:v>
                </c:pt>
                <c:pt idx="40">
                  <c:v>2.02</c:v>
                </c:pt>
              </c:numCache>
            </c:numRef>
          </c:xVal>
          <c:yVal>
            <c:numRef>
              <c:f>Dropout!$AF$5:$AF$45</c:f>
              <c:numCache>
                <c:formatCode>0.000</c:formatCode>
                <c:ptCount val="41"/>
                <c:pt idx="0">
                  <c:v>1.7973333333333334</c:v>
                </c:pt>
                <c:pt idx="1">
                  <c:v>1.7973333333333334</c:v>
                </c:pt>
                <c:pt idx="2">
                  <c:v>1.7973333333333334</c:v>
                </c:pt>
                <c:pt idx="3">
                  <c:v>1.7973333333333334</c:v>
                </c:pt>
                <c:pt idx="4">
                  <c:v>1.7973333333333334</c:v>
                </c:pt>
                <c:pt idx="5">
                  <c:v>1.7973333333333334</c:v>
                </c:pt>
                <c:pt idx="6">
                  <c:v>1.7973333333333334</c:v>
                </c:pt>
                <c:pt idx="7">
                  <c:v>1.7973333333333334</c:v>
                </c:pt>
                <c:pt idx="8">
                  <c:v>1.7973333333333334</c:v>
                </c:pt>
                <c:pt idx="9">
                  <c:v>1.7973333333333334</c:v>
                </c:pt>
                <c:pt idx="10">
                  <c:v>1.7973333333333334</c:v>
                </c:pt>
                <c:pt idx="11">
                  <c:v>1.7973333333333334</c:v>
                </c:pt>
                <c:pt idx="12">
                  <c:v>1.7973333333333334</c:v>
                </c:pt>
                <c:pt idx="13">
                  <c:v>1.7973333333333334</c:v>
                </c:pt>
                <c:pt idx="14">
                  <c:v>1.7973333333333334</c:v>
                </c:pt>
                <c:pt idx="15">
                  <c:v>1.7973333333333334</c:v>
                </c:pt>
                <c:pt idx="16">
                  <c:v>1.7973333333333334</c:v>
                </c:pt>
                <c:pt idx="17">
                  <c:v>1.7973333333333334</c:v>
                </c:pt>
                <c:pt idx="18">
                  <c:v>1.7973333333333334</c:v>
                </c:pt>
                <c:pt idx="19">
                  <c:v>1.7973333333333334</c:v>
                </c:pt>
                <c:pt idx="20">
                  <c:v>1.7973333333333334</c:v>
                </c:pt>
                <c:pt idx="21">
                  <c:v>1.7973333333333334</c:v>
                </c:pt>
                <c:pt idx="22">
                  <c:v>1.7973333333333334</c:v>
                </c:pt>
                <c:pt idx="23">
                  <c:v>1.7973333333333334</c:v>
                </c:pt>
                <c:pt idx="24">
                  <c:v>1.7973333333333334</c:v>
                </c:pt>
                <c:pt idx="25">
                  <c:v>1.7973333333333334</c:v>
                </c:pt>
                <c:pt idx="26">
                  <c:v>1.7973333333333334</c:v>
                </c:pt>
                <c:pt idx="27">
                  <c:v>1.7973333333333334</c:v>
                </c:pt>
                <c:pt idx="28">
                  <c:v>1.7973333333333334</c:v>
                </c:pt>
                <c:pt idx="29">
                  <c:v>1.7973333333333334</c:v>
                </c:pt>
                <c:pt idx="30">
                  <c:v>1.7973333333333334</c:v>
                </c:pt>
                <c:pt idx="31">
                  <c:v>1.7973333333333334</c:v>
                </c:pt>
                <c:pt idx="32">
                  <c:v>1.7973333333333334</c:v>
                </c:pt>
                <c:pt idx="33">
                  <c:v>1.7973333333333334</c:v>
                </c:pt>
                <c:pt idx="34">
                  <c:v>1.7973333333333334</c:v>
                </c:pt>
                <c:pt idx="35">
                  <c:v>1.7973333333333334</c:v>
                </c:pt>
                <c:pt idx="36">
                  <c:v>1.7973333333333334</c:v>
                </c:pt>
                <c:pt idx="37">
                  <c:v>1.7973333333333334</c:v>
                </c:pt>
                <c:pt idx="38">
                  <c:v>1.7973333333333334</c:v>
                </c:pt>
                <c:pt idx="39">
                  <c:v>1.7629959078326458</c:v>
                </c:pt>
                <c:pt idx="40">
                  <c:v>1.6960408315897479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Dropout!$AG$5</c:f>
              <c:strCache>
                <c:ptCount val="1"/>
                <c:pt idx="0">
                  <c:v>0.67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Dropout!$B$5:$B$45</c:f>
              <c:numCache>
                <c:formatCode>0.00</c:formatCode>
                <c:ptCount val="41"/>
                <c:pt idx="0">
                  <c:v>4.9999999999999947</c:v>
                </c:pt>
                <c:pt idx="1">
                  <c:v>4.9254999999999951</c:v>
                </c:pt>
                <c:pt idx="2">
                  <c:v>4.8509999999999955</c:v>
                </c:pt>
                <c:pt idx="3">
                  <c:v>4.776499999999996</c:v>
                </c:pt>
                <c:pt idx="4">
                  <c:v>4.7019999999999964</c:v>
                </c:pt>
                <c:pt idx="5">
                  <c:v>4.6274999999999968</c:v>
                </c:pt>
                <c:pt idx="6">
                  <c:v>4.5529999999999973</c:v>
                </c:pt>
                <c:pt idx="7">
                  <c:v>4.4784999999999977</c:v>
                </c:pt>
                <c:pt idx="8">
                  <c:v>4.4039999999999981</c:v>
                </c:pt>
                <c:pt idx="9">
                  <c:v>4.3294999999999986</c:v>
                </c:pt>
                <c:pt idx="10">
                  <c:v>4.254999999999999</c:v>
                </c:pt>
                <c:pt idx="11">
                  <c:v>4.1804999999999994</c:v>
                </c:pt>
                <c:pt idx="12">
                  <c:v>4.1059999999999999</c:v>
                </c:pt>
                <c:pt idx="13">
                  <c:v>4.0315000000000003</c:v>
                </c:pt>
                <c:pt idx="14">
                  <c:v>3.9570000000000003</c:v>
                </c:pt>
                <c:pt idx="15">
                  <c:v>3.8825000000000003</c:v>
                </c:pt>
                <c:pt idx="16">
                  <c:v>3.8080000000000003</c:v>
                </c:pt>
                <c:pt idx="17">
                  <c:v>3.7335000000000003</c:v>
                </c:pt>
                <c:pt idx="18">
                  <c:v>3.6590000000000003</c:v>
                </c:pt>
                <c:pt idx="19">
                  <c:v>3.5845000000000002</c:v>
                </c:pt>
                <c:pt idx="20">
                  <c:v>3.5100000000000002</c:v>
                </c:pt>
                <c:pt idx="21">
                  <c:v>3.4355000000000002</c:v>
                </c:pt>
                <c:pt idx="22">
                  <c:v>3.3610000000000002</c:v>
                </c:pt>
                <c:pt idx="23">
                  <c:v>3.2865000000000002</c:v>
                </c:pt>
                <c:pt idx="24">
                  <c:v>3.2120000000000002</c:v>
                </c:pt>
                <c:pt idx="25">
                  <c:v>3.1375000000000002</c:v>
                </c:pt>
                <c:pt idx="26">
                  <c:v>3.0630000000000002</c:v>
                </c:pt>
                <c:pt idx="27">
                  <c:v>2.9885000000000002</c:v>
                </c:pt>
                <c:pt idx="28">
                  <c:v>2.9140000000000001</c:v>
                </c:pt>
                <c:pt idx="29">
                  <c:v>2.8395000000000001</c:v>
                </c:pt>
                <c:pt idx="30">
                  <c:v>2.7650000000000001</c:v>
                </c:pt>
                <c:pt idx="31">
                  <c:v>2.6905000000000001</c:v>
                </c:pt>
                <c:pt idx="32">
                  <c:v>2.6160000000000001</c:v>
                </c:pt>
                <c:pt idx="33">
                  <c:v>2.5415000000000001</c:v>
                </c:pt>
                <c:pt idx="34">
                  <c:v>2.4670000000000001</c:v>
                </c:pt>
                <c:pt idx="35">
                  <c:v>2.3925000000000001</c:v>
                </c:pt>
                <c:pt idx="36">
                  <c:v>2.3180000000000001</c:v>
                </c:pt>
                <c:pt idx="37">
                  <c:v>2.2435</c:v>
                </c:pt>
                <c:pt idx="38">
                  <c:v>2.169</c:v>
                </c:pt>
                <c:pt idx="39">
                  <c:v>2.0945</c:v>
                </c:pt>
                <c:pt idx="40">
                  <c:v>2.02</c:v>
                </c:pt>
              </c:numCache>
            </c:numRef>
          </c:xVal>
          <c:yVal>
            <c:numRef>
              <c:f>Dropout!$AU$5:$AU$45</c:f>
              <c:numCache>
                <c:formatCode>0.000</c:formatCode>
                <c:ptCount val="41"/>
                <c:pt idx="0">
                  <c:v>1.7973333333333334</c:v>
                </c:pt>
                <c:pt idx="1">
                  <c:v>1.7973333333333334</c:v>
                </c:pt>
                <c:pt idx="2">
                  <c:v>1.7973333333333334</c:v>
                </c:pt>
                <c:pt idx="3">
                  <c:v>1.7973333333333334</c:v>
                </c:pt>
                <c:pt idx="4">
                  <c:v>1.7973333333333334</c:v>
                </c:pt>
                <c:pt idx="5">
                  <c:v>1.7973333333333334</c:v>
                </c:pt>
                <c:pt idx="6">
                  <c:v>1.7973333333333334</c:v>
                </c:pt>
                <c:pt idx="7">
                  <c:v>1.7973333333333334</c:v>
                </c:pt>
                <c:pt idx="8">
                  <c:v>1.7973333333333334</c:v>
                </c:pt>
                <c:pt idx="9">
                  <c:v>1.7973333333333334</c:v>
                </c:pt>
                <c:pt idx="10">
                  <c:v>1.7973333333333334</c:v>
                </c:pt>
                <c:pt idx="11">
                  <c:v>1.7973333333333334</c:v>
                </c:pt>
                <c:pt idx="12">
                  <c:v>1.7973333333333334</c:v>
                </c:pt>
                <c:pt idx="13">
                  <c:v>1.7973333333333334</c:v>
                </c:pt>
                <c:pt idx="14">
                  <c:v>1.7973333333333334</c:v>
                </c:pt>
                <c:pt idx="15">
                  <c:v>1.7973333333333334</c:v>
                </c:pt>
                <c:pt idx="16">
                  <c:v>1.7973333333333334</c:v>
                </c:pt>
                <c:pt idx="17">
                  <c:v>1.7973333333333334</c:v>
                </c:pt>
                <c:pt idx="18">
                  <c:v>1.7973333333333334</c:v>
                </c:pt>
                <c:pt idx="19">
                  <c:v>1.7973333333333334</c:v>
                </c:pt>
                <c:pt idx="20">
                  <c:v>1.7973333333333334</c:v>
                </c:pt>
                <c:pt idx="21">
                  <c:v>1.7973333333333334</c:v>
                </c:pt>
                <c:pt idx="22">
                  <c:v>1.7973333333333334</c:v>
                </c:pt>
                <c:pt idx="23">
                  <c:v>1.7973333333333334</c:v>
                </c:pt>
                <c:pt idx="24">
                  <c:v>1.7973333333333334</c:v>
                </c:pt>
                <c:pt idx="25">
                  <c:v>1.7973333333333334</c:v>
                </c:pt>
                <c:pt idx="26">
                  <c:v>1.7973333333333334</c:v>
                </c:pt>
                <c:pt idx="27">
                  <c:v>1.7973333333333334</c:v>
                </c:pt>
                <c:pt idx="28">
                  <c:v>1.7973333333333334</c:v>
                </c:pt>
                <c:pt idx="29">
                  <c:v>1.7973333333333334</c:v>
                </c:pt>
                <c:pt idx="30">
                  <c:v>1.7973333333333334</c:v>
                </c:pt>
                <c:pt idx="31">
                  <c:v>1.7973333333333334</c:v>
                </c:pt>
                <c:pt idx="32">
                  <c:v>1.7973333333333334</c:v>
                </c:pt>
                <c:pt idx="33">
                  <c:v>1.7973333333333334</c:v>
                </c:pt>
                <c:pt idx="34">
                  <c:v>1.7973333333333334</c:v>
                </c:pt>
                <c:pt idx="35">
                  <c:v>1.7973333333333334</c:v>
                </c:pt>
                <c:pt idx="36">
                  <c:v>1.7973333333333334</c:v>
                </c:pt>
                <c:pt idx="37">
                  <c:v>1.7973333333333334</c:v>
                </c:pt>
                <c:pt idx="38">
                  <c:v>1.7973333333333334</c:v>
                </c:pt>
                <c:pt idx="39">
                  <c:v>1.7973333333333334</c:v>
                </c:pt>
                <c:pt idx="40">
                  <c:v>1.7594154325805471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Dropout!$G$115:$G$116</c:f>
              <c:numCache>
                <c:formatCode>General</c:formatCode>
                <c:ptCount val="2"/>
                <c:pt idx="0">
                  <c:v>3.4</c:v>
                </c:pt>
                <c:pt idx="1">
                  <c:v>3.4</c:v>
                </c:pt>
              </c:numCache>
            </c:numRef>
          </c:xVal>
          <c:yVal>
            <c:numRef>
              <c:f>Dropout!$H$115:$H$116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yVal>
          <c:smooth val="1"/>
        </c:ser>
        <c:axId val="207324288"/>
        <c:axId val="207326208"/>
      </c:scatterChart>
      <c:valAx>
        <c:axId val="207324288"/>
        <c:scaling>
          <c:orientation val="minMax"/>
          <c:max val="4.4000000000000004"/>
          <c:min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275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326208"/>
        <c:crosses val="autoZero"/>
        <c:crossBetween val="midCat"/>
        <c:majorUnit val="0.2"/>
        <c:minorUnit val="0.1"/>
      </c:valAx>
      <c:valAx>
        <c:axId val="207326208"/>
        <c:scaling>
          <c:orientation val="minMax"/>
          <c:max val="3.4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5.7845894263217094E-3"/>
              <c:y val="0.3322650149902813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324288"/>
        <c:crosses val="autoZero"/>
        <c:crossBetween val="midCat"/>
        <c:majorUnit val="0.2"/>
        <c:min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458473940757421"/>
          <c:y val="0.11749722707255744"/>
          <c:w val="0.1468136795400575"/>
          <c:h val="0.18177686994146669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Worst Case Vout 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388788901387327"/>
          <c:y val="2.36347862374943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8706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Dropout!$C$49</c:f>
              <c:strCache>
                <c:ptCount val="1"/>
                <c:pt idx="0">
                  <c:v>2.00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Dropout!$B$49:$B$89</c:f>
              <c:numCache>
                <c:formatCode>0.00</c:formatCode>
                <c:ptCount val="41"/>
                <c:pt idx="0">
                  <c:v>4.9999999999999947</c:v>
                </c:pt>
                <c:pt idx="1">
                  <c:v>4.9254999999999951</c:v>
                </c:pt>
                <c:pt idx="2">
                  <c:v>4.8509999999999955</c:v>
                </c:pt>
                <c:pt idx="3">
                  <c:v>4.776499999999996</c:v>
                </c:pt>
                <c:pt idx="4">
                  <c:v>4.7019999999999964</c:v>
                </c:pt>
                <c:pt idx="5">
                  <c:v>4.6274999999999968</c:v>
                </c:pt>
                <c:pt idx="6">
                  <c:v>4.5529999999999973</c:v>
                </c:pt>
                <c:pt idx="7">
                  <c:v>4.4784999999999977</c:v>
                </c:pt>
                <c:pt idx="8">
                  <c:v>4.4039999999999981</c:v>
                </c:pt>
                <c:pt idx="9">
                  <c:v>4.3294999999999986</c:v>
                </c:pt>
                <c:pt idx="10">
                  <c:v>4.254999999999999</c:v>
                </c:pt>
                <c:pt idx="11">
                  <c:v>4.1804999999999994</c:v>
                </c:pt>
                <c:pt idx="12">
                  <c:v>4.1059999999999999</c:v>
                </c:pt>
                <c:pt idx="13">
                  <c:v>4.0315000000000003</c:v>
                </c:pt>
                <c:pt idx="14">
                  <c:v>3.9570000000000003</c:v>
                </c:pt>
                <c:pt idx="15">
                  <c:v>3.8825000000000003</c:v>
                </c:pt>
                <c:pt idx="16">
                  <c:v>3.8080000000000003</c:v>
                </c:pt>
                <c:pt idx="17">
                  <c:v>3.7335000000000003</c:v>
                </c:pt>
                <c:pt idx="18">
                  <c:v>3.6590000000000003</c:v>
                </c:pt>
                <c:pt idx="19">
                  <c:v>3.5845000000000002</c:v>
                </c:pt>
                <c:pt idx="20">
                  <c:v>3.5100000000000002</c:v>
                </c:pt>
                <c:pt idx="21">
                  <c:v>3.4355000000000002</c:v>
                </c:pt>
                <c:pt idx="22">
                  <c:v>3.3610000000000002</c:v>
                </c:pt>
                <c:pt idx="23">
                  <c:v>3.2865000000000002</c:v>
                </c:pt>
                <c:pt idx="24">
                  <c:v>3.2120000000000002</c:v>
                </c:pt>
                <c:pt idx="25">
                  <c:v>3.1375000000000002</c:v>
                </c:pt>
                <c:pt idx="26">
                  <c:v>3.0630000000000002</c:v>
                </c:pt>
                <c:pt idx="27">
                  <c:v>2.9885000000000002</c:v>
                </c:pt>
                <c:pt idx="28">
                  <c:v>2.9140000000000001</c:v>
                </c:pt>
                <c:pt idx="29">
                  <c:v>2.8395000000000001</c:v>
                </c:pt>
                <c:pt idx="30">
                  <c:v>2.7650000000000001</c:v>
                </c:pt>
                <c:pt idx="31">
                  <c:v>2.6905000000000001</c:v>
                </c:pt>
                <c:pt idx="32">
                  <c:v>2.6160000000000001</c:v>
                </c:pt>
                <c:pt idx="33">
                  <c:v>2.5415000000000001</c:v>
                </c:pt>
                <c:pt idx="34">
                  <c:v>2.4670000000000001</c:v>
                </c:pt>
                <c:pt idx="35">
                  <c:v>2.3925000000000001</c:v>
                </c:pt>
                <c:pt idx="36">
                  <c:v>2.3180000000000001</c:v>
                </c:pt>
                <c:pt idx="37">
                  <c:v>2.2435</c:v>
                </c:pt>
                <c:pt idx="38">
                  <c:v>2.169</c:v>
                </c:pt>
                <c:pt idx="39">
                  <c:v>2.0945</c:v>
                </c:pt>
                <c:pt idx="40">
                  <c:v>2.02</c:v>
                </c:pt>
              </c:numCache>
            </c:numRef>
          </c:xVal>
          <c:yVal>
            <c:numRef>
              <c:f>Dropout!$Q$49:$Q$89</c:f>
              <c:numCache>
                <c:formatCode>0.000</c:formatCode>
                <c:ptCount val="41"/>
                <c:pt idx="0">
                  <c:v>1.7973333333333334</c:v>
                </c:pt>
                <c:pt idx="1">
                  <c:v>1.7973333333333334</c:v>
                </c:pt>
                <c:pt idx="2">
                  <c:v>1.7973333333333334</c:v>
                </c:pt>
                <c:pt idx="3">
                  <c:v>1.7973333333333334</c:v>
                </c:pt>
                <c:pt idx="4">
                  <c:v>1.7973333333333334</c:v>
                </c:pt>
                <c:pt idx="5">
                  <c:v>1.7973333333333334</c:v>
                </c:pt>
                <c:pt idx="6">
                  <c:v>1.7973333333333334</c:v>
                </c:pt>
                <c:pt idx="7">
                  <c:v>1.7973333333333334</c:v>
                </c:pt>
                <c:pt idx="8">
                  <c:v>1.7973333333333334</c:v>
                </c:pt>
                <c:pt idx="9">
                  <c:v>1.7973333333333334</c:v>
                </c:pt>
                <c:pt idx="10">
                  <c:v>1.7973333333333334</c:v>
                </c:pt>
                <c:pt idx="11">
                  <c:v>1.7973333333333334</c:v>
                </c:pt>
                <c:pt idx="12">
                  <c:v>1.7973333333333334</c:v>
                </c:pt>
                <c:pt idx="13">
                  <c:v>1.7973333333333334</c:v>
                </c:pt>
                <c:pt idx="14">
                  <c:v>1.7973333333333334</c:v>
                </c:pt>
                <c:pt idx="15">
                  <c:v>1.7973333333333334</c:v>
                </c:pt>
                <c:pt idx="16">
                  <c:v>1.7973333333333334</c:v>
                </c:pt>
                <c:pt idx="17">
                  <c:v>1.7973333333333334</c:v>
                </c:pt>
                <c:pt idx="18">
                  <c:v>1.7973333333333334</c:v>
                </c:pt>
                <c:pt idx="19">
                  <c:v>1.7973333333333334</c:v>
                </c:pt>
                <c:pt idx="20">
                  <c:v>1.7973333333333334</c:v>
                </c:pt>
                <c:pt idx="21">
                  <c:v>1.7973333333333334</c:v>
                </c:pt>
                <c:pt idx="22">
                  <c:v>1.7973333333333334</c:v>
                </c:pt>
                <c:pt idx="23">
                  <c:v>1.7973333333333334</c:v>
                </c:pt>
                <c:pt idx="24">
                  <c:v>1.7973333333333334</c:v>
                </c:pt>
                <c:pt idx="25">
                  <c:v>1.7973333333333334</c:v>
                </c:pt>
                <c:pt idx="26">
                  <c:v>1.7973333333333334</c:v>
                </c:pt>
                <c:pt idx="27">
                  <c:v>1.7973333333333334</c:v>
                </c:pt>
                <c:pt idx="28">
                  <c:v>1.7973333333333334</c:v>
                </c:pt>
                <c:pt idx="29">
                  <c:v>1.7973333333333334</c:v>
                </c:pt>
                <c:pt idx="30">
                  <c:v>1.7973333333333334</c:v>
                </c:pt>
                <c:pt idx="31">
                  <c:v>1.7973333333333334</c:v>
                </c:pt>
                <c:pt idx="32">
                  <c:v>1.7973333333333334</c:v>
                </c:pt>
                <c:pt idx="33">
                  <c:v>1.7973333333333334</c:v>
                </c:pt>
                <c:pt idx="34">
                  <c:v>1.7973333333333334</c:v>
                </c:pt>
                <c:pt idx="35">
                  <c:v>1.7973333333333334</c:v>
                </c:pt>
                <c:pt idx="36">
                  <c:v>1.7971413235067357</c:v>
                </c:pt>
                <c:pt idx="37">
                  <c:v>1.7302908047726531</c:v>
                </c:pt>
                <c:pt idx="38">
                  <c:v>1.6634355071447968</c:v>
                </c:pt>
                <c:pt idx="39">
                  <c:v>1.5965754335414577</c:v>
                </c:pt>
                <c:pt idx="40">
                  <c:v>1.5297105867533132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Dropout!$R$49</c:f>
              <c:strCache>
                <c:ptCount val="1"/>
                <c:pt idx="0">
                  <c:v>1.33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Dropout!$B$49:$B$89</c:f>
              <c:numCache>
                <c:formatCode>0.00</c:formatCode>
                <c:ptCount val="41"/>
                <c:pt idx="0">
                  <c:v>4.9999999999999947</c:v>
                </c:pt>
                <c:pt idx="1">
                  <c:v>4.9254999999999951</c:v>
                </c:pt>
                <c:pt idx="2">
                  <c:v>4.8509999999999955</c:v>
                </c:pt>
                <c:pt idx="3">
                  <c:v>4.776499999999996</c:v>
                </c:pt>
                <c:pt idx="4">
                  <c:v>4.7019999999999964</c:v>
                </c:pt>
                <c:pt idx="5">
                  <c:v>4.6274999999999968</c:v>
                </c:pt>
                <c:pt idx="6">
                  <c:v>4.5529999999999973</c:v>
                </c:pt>
                <c:pt idx="7">
                  <c:v>4.4784999999999977</c:v>
                </c:pt>
                <c:pt idx="8">
                  <c:v>4.4039999999999981</c:v>
                </c:pt>
                <c:pt idx="9">
                  <c:v>4.3294999999999986</c:v>
                </c:pt>
                <c:pt idx="10">
                  <c:v>4.254999999999999</c:v>
                </c:pt>
                <c:pt idx="11">
                  <c:v>4.1804999999999994</c:v>
                </c:pt>
                <c:pt idx="12">
                  <c:v>4.1059999999999999</c:v>
                </c:pt>
                <c:pt idx="13">
                  <c:v>4.0315000000000003</c:v>
                </c:pt>
                <c:pt idx="14">
                  <c:v>3.9570000000000003</c:v>
                </c:pt>
                <c:pt idx="15">
                  <c:v>3.8825000000000003</c:v>
                </c:pt>
                <c:pt idx="16">
                  <c:v>3.8080000000000003</c:v>
                </c:pt>
                <c:pt idx="17">
                  <c:v>3.7335000000000003</c:v>
                </c:pt>
                <c:pt idx="18">
                  <c:v>3.6590000000000003</c:v>
                </c:pt>
                <c:pt idx="19">
                  <c:v>3.5845000000000002</c:v>
                </c:pt>
                <c:pt idx="20">
                  <c:v>3.5100000000000002</c:v>
                </c:pt>
                <c:pt idx="21">
                  <c:v>3.4355000000000002</c:v>
                </c:pt>
                <c:pt idx="22">
                  <c:v>3.3610000000000002</c:v>
                </c:pt>
                <c:pt idx="23">
                  <c:v>3.2865000000000002</c:v>
                </c:pt>
                <c:pt idx="24">
                  <c:v>3.2120000000000002</c:v>
                </c:pt>
                <c:pt idx="25">
                  <c:v>3.1375000000000002</c:v>
                </c:pt>
                <c:pt idx="26">
                  <c:v>3.0630000000000002</c:v>
                </c:pt>
                <c:pt idx="27">
                  <c:v>2.9885000000000002</c:v>
                </c:pt>
                <c:pt idx="28">
                  <c:v>2.9140000000000001</c:v>
                </c:pt>
                <c:pt idx="29">
                  <c:v>2.8395000000000001</c:v>
                </c:pt>
                <c:pt idx="30">
                  <c:v>2.7650000000000001</c:v>
                </c:pt>
                <c:pt idx="31">
                  <c:v>2.6905000000000001</c:v>
                </c:pt>
                <c:pt idx="32">
                  <c:v>2.6160000000000001</c:v>
                </c:pt>
                <c:pt idx="33">
                  <c:v>2.5415000000000001</c:v>
                </c:pt>
                <c:pt idx="34">
                  <c:v>2.4670000000000001</c:v>
                </c:pt>
                <c:pt idx="35">
                  <c:v>2.3925000000000001</c:v>
                </c:pt>
                <c:pt idx="36">
                  <c:v>2.3180000000000001</c:v>
                </c:pt>
                <c:pt idx="37">
                  <c:v>2.2435</c:v>
                </c:pt>
                <c:pt idx="38">
                  <c:v>2.169</c:v>
                </c:pt>
                <c:pt idx="39">
                  <c:v>2.0945</c:v>
                </c:pt>
                <c:pt idx="40">
                  <c:v>2.02</c:v>
                </c:pt>
              </c:numCache>
            </c:numRef>
          </c:xVal>
          <c:yVal>
            <c:numRef>
              <c:f>Dropout!$AF$49:$AF$89</c:f>
              <c:numCache>
                <c:formatCode>0.000</c:formatCode>
                <c:ptCount val="41"/>
                <c:pt idx="0">
                  <c:v>1.7973333333333334</c:v>
                </c:pt>
                <c:pt idx="1">
                  <c:v>1.7973333333333334</c:v>
                </c:pt>
                <c:pt idx="2">
                  <c:v>1.7973333333333334</c:v>
                </c:pt>
                <c:pt idx="3">
                  <c:v>1.7973333333333334</c:v>
                </c:pt>
                <c:pt idx="4">
                  <c:v>1.7973333333333334</c:v>
                </c:pt>
                <c:pt idx="5">
                  <c:v>1.7973333333333334</c:v>
                </c:pt>
                <c:pt idx="6">
                  <c:v>1.7973333333333334</c:v>
                </c:pt>
                <c:pt idx="7">
                  <c:v>1.7973333333333334</c:v>
                </c:pt>
                <c:pt idx="8">
                  <c:v>1.7973333333333334</c:v>
                </c:pt>
                <c:pt idx="9">
                  <c:v>1.7973333333333334</c:v>
                </c:pt>
                <c:pt idx="10">
                  <c:v>1.7973333333333334</c:v>
                </c:pt>
                <c:pt idx="11">
                  <c:v>1.7973333333333334</c:v>
                </c:pt>
                <c:pt idx="12">
                  <c:v>1.7973333333333334</c:v>
                </c:pt>
                <c:pt idx="13">
                  <c:v>1.7973333333333334</c:v>
                </c:pt>
                <c:pt idx="14">
                  <c:v>1.7973333333333334</c:v>
                </c:pt>
                <c:pt idx="15">
                  <c:v>1.7973333333333334</c:v>
                </c:pt>
                <c:pt idx="16">
                  <c:v>1.7973333333333334</c:v>
                </c:pt>
                <c:pt idx="17">
                  <c:v>1.7973333333333334</c:v>
                </c:pt>
                <c:pt idx="18">
                  <c:v>1.7973333333333334</c:v>
                </c:pt>
                <c:pt idx="19">
                  <c:v>1.7973333333333334</c:v>
                </c:pt>
                <c:pt idx="20">
                  <c:v>1.7973333333333334</c:v>
                </c:pt>
                <c:pt idx="21">
                  <c:v>1.7973333333333334</c:v>
                </c:pt>
                <c:pt idx="22">
                  <c:v>1.7973333333333334</c:v>
                </c:pt>
                <c:pt idx="23">
                  <c:v>1.7973333333333334</c:v>
                </c:pt>
                <c:pt idx="24">
                  <c:v>1.7973333333333334</c:v>
                </c:pt>
                <c:pt idx="25">
                  <c:v>1.7973333333333334</c:v>
                </c:pt>
                <c:pt idx="26">
                  <c:v>1.7973333333333334</c:v>
                </c:pt>
                <c:pt idx="27">
                  <c:v>1.7973333333333334</c:v>
                </c:pt>
                <c:pt idx="28">
                  <c:v>1.7973333333333334</c:v>
                </c:pt>
                <c:pt idx="29">
                  <c:v>1.7973333333333334</c:v>
                </c:pt>
                <c:pt idx="30">
                  <c:v>1.7973333333333334</c:v>
                </c:pt>
                <c:pt idx="31">
                  <c:v>1.7973333333333334</c:v>
                </c:pt>
                <c:pt idx="32">
                  <c:v>1.7973333333333334</c:v>
                </c:pt>
                <c:pt idx="33">
                  <c:v>1.7973333333333334</c:v>
                </c:pt>
                <c:pt idx="34">
                  <c:v>1.7973333333333334</c:v>
                </c:pt>
                <c:pt idx="35">
                  <c:v>1.7973333333333334</c:v>
                </c:pt>
                <c:pt idx="36">
                  <c:v>1.7973333333333334</c:v>
                </c:pt>
                <c:pt idx="37">
                  <c:v>1.7973333333333334</c:v>
                </c:pt>
                <c:pt idx="38">
                  <c:v>1.771100074701236</c:v>
                </c:pt>
                <c:pt idx="39">
                  <c:v>1.7041479660585783</c:v>
                </c:pt>
                <c:pt idx="40">
                  <c:v>1.6371936520642958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Dropout!$AG$49</c:f>
              <c:strCache>
                <c:ptCount val="1"/>
                <c:pt idx="0">
                  <c:v>0.67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Dropout!$B$49:$B$89</c:f>
              <c:numCache>
                <c:formatCode>0.00</c:formatCode>
                <c:ptCount val="41"/>
                <c:pt idx="0">
                  <c:v>4.9999999999999947</c:v>
                </c:pt>
                <c:pt idx="1">
                  <c:v>4.9254999999999951</c:v>
                </c:pt>
                <c:pt idx="2">
                  <c:v>4.8509999999999955</c:v>
                </c:pt>
                <c:pt idx="3">
                  <c:v>4.776499999999996</c:v>
                </c:pt>
                <c:pt idx="4">
                  <c:v>4.7019999999999964</c:v>
                </c:pt>
                <c:pt idx="5">
                  <c:v>4.6274999999999968</c:v>
                </c:pt>
                <c:pt idx="6">
                  <c:v>4.5529999999999973</c:v>
                </c:pt>
                <c:pt idx="7">
                  <c:v>4.4784999999999977</c:v>
                </c:pt>
                <c:pt idx="8">
                  <c:v>4.4039999999999981</c:v>
                </c:pt>
                <c:pt idx="9">
                  <c:v>4.3294999999999986</c:v>
                </c:pt>
                <c:pt idx="10">
                  <c:v>4.254999999999999</c:v>
                </c:pt>
                <c:pt idx="11">
                  <c:v>4.1804999999999994</c:v>
                </c:pt>
                <c:pt idx="12">
                  <c:v>4.1059999999999999</c:v>
                </c:pt>
                <c:pt idx="13">
                  <c:v>4.0315000000000003</c:v>
                </c:pt>
                <c:pt idx="14">
                  <c:v>3.9570000000000003</c:v>
                </c:pt>
                <c:pt idx="15">
                  <c:v>3.8825000000000003</c:v>
                </c:pt>
                <c:pt idx="16">
                  <c:v>3.8080000000000003</c:v>
                </c:pt>
                <c:pt idx="17">
                  <c:v>3.7335000000000003</c:v>
                </c:pt>
                <c:pt idx="18">
                  <c:v>3.6590000000000003</c:v>
                </c:pt>
                <c:pt idx="19">
                  <c:v>3.5845000000000002</c:v>
                </c:pt>
                <c:pt idx="20">
                  <c:v>3.5100000000000002</c:v>
                </c:pt>
                <c:pt idx="21">
                  <c:v>3.4355000000000002</c:v>
                </c:pt>
                <c:pt idx="22">
                  <c:v>3.3610000000000002</c:v>
                </c:pt>
                <c:pt idx="23">
                  <c:v>3.2865000000000002</c:v>
                </c:pt>
                <c:pt idx="24">
                  <c:v>3.2120000000000002</c:v>
                </c:pt>
                <c:pt idx="25">
                  <c:v>3.1375000000000002</c:v>
                </c:pt>
                <c:pt idx="26">
                  <c:v>3.0630000000000002</c:v>
                </c:pt>
                <c:pt idx="27">
                  <c:v>2.9885000000000002</c:v>
                </c:pt>
                <c:pt idx="28">
                  <c:v>2.9140000000000001</c:v>
                </c:pt>
                <c:pt idx="29">
                  <c:v>2.8395000000000001</c:v>
                </c:pt>
                <c:pt idx="30">
                  <c:v>2.7650000000000001</c:v>
                </c:pt>
                <c:pt idx="31">
                  <c:v>2.6905000000000001</c:v>
                </c:pt>
                <c:pt idx="32">
                  <c:v>2.6160000000000001</c:v>
                </c:pt>
                <c:pt idx="33">
                  <c:v>2.5415000000000001</c:v>
                </c:pt>
                <c:pt idx="34">
                  <c:v>2.4670000000000001</c:v>
                </c:pt>
                <c:pt idx="35">
                  <c:v>2.3925000000000001</c:v>
                </c:pt>
                <c:pt idx="36">
                  <c:v>2.3180000000000001</c:v>
                </c:pt>
                <c:pt idx="37">
                  <c:v>2.2435</c:v>
                </c:pt>
                <c:pt idx="38">
                  <c:v>2.169</c:v>
                </c:pt>
                <c:pt idx="39">
                  <c:v>2.0945</c:v>
                </c:pt>
                <c:pt idx="40">
                  <c:v>2.02</c:v>
                </c:pt>
              </c:numCache>
            </c:numRef>
          </c:xVal>
          <c:yVal>
            <c:numRef>
              <c:f>Dropout!$AU$49:$AU$89</c:f>
              <c:numCache>
                <c:formatCode>0.000</c:formatCode>
                <c:ptCount val="41"/>
                <c:pt idx="0">
                  <c:v>1.7973333333333334</c:v>
                </c:pt>
                <c:pt idx="1">
                  <c:v>1.7973333333333334</c:v>
                </c:pt>
                <c:pt idx="2">
                  <c:v>1.7973333333333334</c:v>
                </c:pt>
                <c:pt idx="3">
                  <c:v>1.7973333333333334</c:v>
                </c:pt>
                <c:pt idx="4">
                  <c:v>1.7973333333333334</c:v>
                </c:pt>
                <c:pt idx="5">
                  <c:v>1.7973333333333334</c:v>
                </c:pt>
                <c:pt idx="6">
                  <c:v>1.7973333333333334</c:v>
                </c:pt>
                <c:pt idx="7">
                  <c:v>1.7973333333333334</c:v>
                </c:pt>
                <c:pt idx="8">
                  <c:v>1.7973333333333334</c:v>
                </c:pt>
                <c:pt idx="9">
                  <c:v>1.7973333333333334</c:v>
                </c:pt>
                <c:pt idx="10">
                  <c:v>1.7973333333333334</c:v>
                </c:pt>
                <c:pt idx="11">
                  <c:v>1.7973333333333334</c:v>
                </c:pt>
                <c:pt idx="12">
                  <c:v>1.7973333333333334</c:v>
                </c:pt>
                <c:pt idx="13">
                  <c:v>1.7973333333333334</c:v>
                </c:pt>
                <c:pt idx="14">
                  <c:v>1.7973333333333334</c:v>
                </c:pt>
                <c:pt idx="15">
                  <c:v>1.7973333333333334</c:v>
                </c:pt>
                <c:pt idx="16">
                  <c:v>1.7973333333333334</c:v>
                </c:pt>
                <c:pt idx="17">
                  <c:v>1.7973333333333334</c:v>
                </c:pt>
                <c:pt idx="18">
                  <c:v>1.7973333333333334</c:v>
                </c:pt>
                <c:pt idx="19">
                  <c:v>1.7973333333333334</c:v>
                </c:pt>
                <c:pt idx="20">
                  <c:v>1.7973333333333334</c:v>
                </c:pt>
                <c:pt idx="21">
                  <c:v>1.7973333333333334</c:v>
                </c:pt>
                <c:pt idx="22">
                  <c:v>1.7973333333333334</c:v>
                </c:pt>
                <c:pt idx="23">
                  <c:v>1.7973333333333334</c:v>
                </c:pt>
                <c:pt idx="24">
                  <c:v>1.7973333333333334</c:v>
                </c:pt>
                <c:pt idx="25">
                  <c:v>1.7973333333333334</c:v>
                </c:pt>
                <c:pt idx="26">
                  <c:v>1.7973333333333334</c:v>
                </c:pt>
                <c:pt idx="27">
                  <c:v>1.7973333333333334</c:v>
                </c:pt>
                <c:pt idx="28">
                  <c:v>1.7973333333333334</c:v>
                </c:pt>
                <c:pt idx="29">
                  <c:v>1.7973333333333334</c:v>
                </c:pt>
                <c:pt idx="30">
                  <c:v>1.7973333333333334</c:v>
                </c:pt>
                <c:pt idx="31">
                  <c:v>1.7973333333333334</c:v>
                </c:pt>
                <c:pt idx="32">
                  <c:v>1.7973333333333334</c:v>
                </c:pt>
                <c:pt idx="33">
                  <c:v>1.7973333333333334</c:v>
                </c:pt>
                <c:pt idx="34">
                  <c:v>1.7973333333333334</c:v>
                </c:pt>
                <c:pt idx="35">
                  <c:v>1.7973333333333334</c:v>
                </c:pt>
                <c:pt idx="36">
                  <c:v>1.7973333333333334</c:v>
                </c:pt>
                <c:pt idx="37">
                  <c:v>1.7973333333333334</c:v>
                </c:pt>
                <c:pt idx="38">
                  <c:v>1.7973333333333334</c:v>
                </c:pt>
                <c:pt idx="39">
                  <c:v>1.7973333333333334</c:v>
                </c:pt>
                <c:pt idx="40">
                  <c:v>1.7309200922645196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Dropout!$G$115:$G$116</c:f>
              <c:numCache>
                <c:formatCode>General</c:formatCode>
                <c:ptCount val="2"/>
                <c:pt idx="0">
                  <c:v>3.4</c:v>
                </c:pt>
                <c:pt idx="1">
                  <c:v>3.4</c:v>
                </c:pt>
              </c:numCache>
            </c:numRef>
          </c:xVal>
          <c:yVal>
            <c:numRef>
              <c:f>Dropout!$H$115:$H$116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yVal>
          <c:smooth val="1"/>
        </c:ser>
        <c:axId val="207401344"/>
        <c:axId val="207403264"/>
      </c:scatterChart>
      <c:valAx>
        <c:axId val="207401344"/>
        <c:scaling>
          <c:orientation val="minMax"/>
          <c:max val="4.4000000000000004"/>
          <c:min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303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3264"/>
        <c:crosses val="autoZero"/>
        <c:crossBetween val="midCat"/>
        <c:majorUnit val="0.2"/>
        <c:minorUnit val="0.1"/>
      </c:valAx>
      <c:valAx>
        <c:axId val="207403264"/>
        <c:scaling>
          <c:orientation val="minMax"/>
          <c:max val="3.4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5.7845894263217094E-3"/>
              <c:y val="0.3378438155481616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1344"/>
        <c:crosses val="autoZero"/>
        <c:crossBetween val="midCat"/>
        <c:majorUnit val="0.2"/>
        <c:min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664823147106647"/>
          <c:y val="0.11470782679361732"/>
          <c:w val="0.15673431446069391"/>
          <c:h val="0.17619806938358637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DC Bias</a:t>
            </a:r>
            <a:r>
              <a:rPr lang="en-US" sz="1600" baseline="0"/>
              <a:t> Effect on 10uF/16V/X7R/1206</a:t>
            </a:r>
            <a:endParaRPr lang="en-US" sz="1600"/>
          </a:p>
        </c:rich>
      </c:tx>
      <c:layout>
        <c:manualLayout>
          <c:xMode val="edge"/>
          <c:yMode val="edge"/>
          <c:x val="0.14362228054826573"/>
          <c:y val="2.1798365122615852E-2"/>
        </c:manualLayout>
      </c:layout>
    </c:title>
    <c:plotArea>
      <c:layout>
        <c:manualLayout>
          <c:layoutTarget val="inner"/>
          <c:xMode val="edge"/>
          <c:yMode val="edge"/>
          <c:x val="0.13811863517060374"/>
          <c:y val="0.12319251646677735"/>
          <c:w val="0.82715987168270944"/>
          <c:h val="0.72752930406860061"/>
        </c:manualLayout>
      </c:layout>
      <c:scatterChart>
        <c:scatterStyle val="lineMarker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poly"/>
            <c:order val="3"/>
            <c:dispEq val="1"/>
            <c:trendlineLbl>
              <c:layout>
                <c:manualLayout>
                  <c:x val="-0.17416739574219958"/>
                  <c:y val="4.7561343660380277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FF0000"/>
                        </a:solidFill>
                      </a:defRPr>
                    </a:pPr>
                    <a:r>
                      <a:rPr lang="en-US" sz="1200" baseline="0"/>
                      <a:t>y = 0.0034x</a:t>
                    </a:r>
                    <a:r>
                      <a:rPr lang="en-US" sz="1200" baseline="30000"/>
                      <a:t>3</a:t>
                    </a:r>
                    <a:r>
                      <a:rPr lang="en-US" sz="1200" baseline="0"/>
                      <a:t> - 0.0743x</a:t>
                    </a:r>
                    <a:r>
                      <a:rPr lang="en-US" sz="1200" baseline="30000"/>
                      <a:t>2</a:t>
                    </a:r>
                    <a:r>
                      <a:rPr lang="en-US" sz="1200" baseline="0"/>
                      <a:t> + 0.0683x + 9.947</a:t>
                    </a:r>
                    <a:endParaRPr lang="en-US" sz="1200"/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Constants!$B$49:$B$53</c:f>
              <c:numCache>
                <c:formatCode>0.0</c:formatCode>
                <c:ptCount val="5"/>
                <c:pt idx="0">
                  <c:v>0.8</c:v>
                </c:pt>
                <c:pt idx="1">
                  <c:v>2</c:v>
                </c:pt>
                <c:pt idx="2">
                  <c:v>3.3</c:v>
                </c:pt>
                <c:pt idx="3">
                  <c:v>5</c:v>
                </c:pt>
                <c:pt idx="4">
                  <c:v>8</c:v>
                </c:pt>
              </c:numCache>
            </c:numRef>
          </c:xVal>
          <c:yVal>
            <c:numRef>
              <c:f>Constants!$C$49:$C$53</c:f>
              <c:numCache>
                <c:formatCode>0.00</c:formatCode>
                <c:ptCount val="5"/>
                <c:pt idx="0">
                  <c:v>9.9600000000000009</c:v>
                </c:pt>
                <c:pt idx="1">
                  <c:v>9.8000000000000007</c:v>
                </c:pt>
                <c:pt idx="2">
                  <c:v>9.5</c:v>
                </c:pt>
                <c:pt idx="3">
                  <c:v>8.85</c:v>
                </c:pt>
                <c:pt idx="4">
                  <c:v>7.48</c:v>
                </c:pt>
              </c:numCache>
            </c:numRef>
          </c:yVal>
        </c:ser>
        <c:axId val="207452416"/>
        <c:axId val="207470976"/>
      </c:scatterChart>
      <c:valAx>
        <c:axId val="207452416"/>
        <c:scaling>
          <c:orientation val="minMax"/>
          <c:max val="8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DC Bias (V)</a:t>
                </a:r>
              </a:p>
            </c:rich>
          </c:tx>
          <c:layout>
            <c:manualLayout>
              <c:xMode val="edge"/>
              <c:yMode val="edge"/>
              <c:x val="0.44261184018664335"/>
              <c:y val="0.91745256638560457"/>
            </c:manualLayout>
          </c:layout>
        </c:title>
        <c:numFmt formatCode="0" sourceLinked="0"/>
        <c:tickLblPos val="nextTo"/>
        <c:spPr>
          <a:ln>
            <a:solidFill>
              <a:schemeClr val="tx1"/>
            </a:solidFill>
          </a:ln>
        </c:spPr>
        <c:crossAx val="207470976"/>
        <c:crosses val="autoZero"/>
        <c:crossBetween val="midCat"/>
        <c:majorUnit val="1"/>
        <c:minorUnit val="1"/>
      </c:valAx>
      <c:valAx>
        <c:axId val="207470976"/>
        <c:scaling>
          <c:orientation val="minMax"/>
          <c:max val="10.5"/>
          <c:min val="7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Capacitance</a:t>
                </a:r>
              </a:p>
            </c:rich>
          </c:tx>
          <c:layout>
            <c:manualLayout>
              <c:xMode val="edge"/>
              <c:yMode val="edge"/>
              <c:x val="1.1942840478273547E-2"/>
              <c:y val="0.36412996059416497"/>
            </c:manualLayout>
          </c:layout>
        </c:title>
        <c:numFmt formatCode="0.0" sourceLinked="0"/>
        <c:tickLblPos val="nextTo"/>
        <c:crossAx val="2074524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05144356955828"/>
          <c:y val="0.14972044025831921"/>
          <c:w val="0.2491294117647059"/>
          <c:h val="0.12401320662871176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Minimum Current Limit</a:t>
            </a:r>
          </a:p>
        </c:rich>
      </c:tx>
      <c:layout>
        <c:manualLayout>
          <c:xMode val="edge"/>
          <c:yMode val="edge"/>
          <c:x val="0.2609016999260903"/>
          <c:y val="1.0899182561307902E-2"/>
        </c:manualLayout>
      </c:layout>
    </c:title>
    <c:plotArea>
      <c:layout>
        <c:manualLayout>
          <c:layoutTarget val="inner"/>
          <c:xMode val="edge"/>
          <c:yMode val="edge"/>
          <c:x val="0.132258323585386"/>
          <c:y val="0.10866027305170062"/>
          <c:w val="0.81528175940313463"/>
          <c:h val="0.72752930406860061"/>
        </c:manualLayout>
      </c:layout>
      <c:scatterChart>
        <c:scatterStyle val="lineMarker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  <c:dispEq val="1"/>
            <c:trendlineLbl>
              <c:layout>
                <c:manualLayout>
                  <c:x val="-0.43048181061624596"/>
                  <c:y val="2.798057599748260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="1" baseline="0">
                        <a:solidFill>
                          <a:srgbClr val="FF0000"/>
                        </a:solidFill>
                      </a:rPr>
                      <a:t>y = -0.0141x + 3.5706</a:t>
                    </a:r>
                    <a:endParaRPr lang="en-US" sz="1200" b="1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Constants!$A$32:$A$33</c:f>
              <c:numCache>
                <c:formatCode>General</c:formatCode>
                <c:ptCount val="2"/>
                <c:pt idx="0">
                  <c:v>5</c:v>
                </c:pt>
                <c:pt idx="1">
                  <c:v>90</c:v>
                </c:pt>
              </c:numCache>
            </c:numRef>
          </c:xVal>
          <c:yVal>
            <c:numRef>
              <c:f>Constants!$B$32:$B$33</c:f>
              <c:numCache>
                <c:formatCode>0.00</c:formatCode>
                <c:ptCount val="2"/>
                <c:pt idx="0">
                  <c:v>3.5</c:v>
                </c:pt>
                <c:pt idx="1">
                  <c:v>2.2999999999999998</c:v>
                </c:pt>
              </c:numCache>
            </c:numRef>
          </c:yVal>
        </c:ser>
        <c:axId val="206533760"/>
        <c:axId val="206535680"/>
      </c:scatterChart>
      <c:valAx>
        <c:axId val="206533760"/>
        <c:scaling>
          <c:orientation val="minMax"/>
          <c:max val="90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Duty Cycle</a:t>
                </a:r>
                <a:r>
                  <a:rPr lang="en-US" sz="1100" baseline="0"/>
                  <a:t> (%)</a:t>
                </a:r>
              </a:p>
            </c:rich>
          </c:tx>
          <c:layout>
            <c:manualLayout>
              <c:xMode val="edge"/>
              <c:yMode val="edge"/>
              <c:x val="0.41820509686843466"/>
              <c:y val="0.91745256638560457"/>
            </c:manualLayout>
          </c:layout>
        </c:title>
        <c:numFmt formatCode="0" sourceLinked="0"/>
        <c:tickLblPos val="nextTo"/>
        <c:spPr>
          <a:ln>
            <a:solidFill>
              <a:schemeClr val="tx1"/>
            </a:solidFill>
          </a:ln>
        </c:spPr>
        <c:crossAx val="206535680"/>
        <c:crosses val="autoZero"/>
        <c:crossBetween val="midCat"/>
        <c:majorUnit val="10"/>
        <c:minorUnit val="10"/>
      </c:valAx>
      <c:valAx>
        <c:axId val="206535680"/>
        <c:scaling>
          <c:orientation val="minMax"/>
          <c:max val="4"/>
          <c:min val="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ILIM_min</a:t>
                </a:r>
              </a:p>
            </c:rich>
          </c:tx>
          <c:layout>
            <c:manualLayout>
              <c:xMode val="edge"/>
              <c:yMode val="edge"/>
              <c:x val="9.0060582781920067E-3"/>
              <c:y val="0.36413013360067392"/>
            </c:manualLayout>
          </c:layout>
        </c:title>
        <c:numFmt formatCode="0.0" sourceLinked="0"/>
        <c:tickLblPos val="nextTo"/>
        <c:crossAx val="206533760"/>
        <c:crosses val="autoZero"/>
        <c:crossBetween val="midCat"/>
        <c:majorUnit val="0.25"/>
        <c:minorUnit val="0.25"/>
      </c:valAx>
    </c:plotArea>
    <c:legend>
      <c:legendPos val="r"/>
      <c:layout>
        <c:manualLayout>
          <c:xMode val="edge"/>
          <c:yMode val="edge"/>
          <c:x val="0.67002531557170075"/>
          <c:y val="0.13924063306800549"/>
          <c:w val="0.2491294117647059"/>
          <c:h val="0.14876996187284397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66</xdr:row>
      <xdr:rowOff>85724</xdr:rowOff>
    </xdr:from>
    <xdr:to>
      <xdr:col>8</xdr:col>
      <xdr:colOff>346014</xdr:colOff>
      <xdr:row>85</xdr:row>
      <xdr:rowOff>95249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4878049"/>
          <a:ext cx="7327839" cy="36290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16</xdr:row>
      <xdr:rowOff>171450</xdr:rowOff>
    </xdr:from>
    <xdr:to>
      <xdr:col>5</xdr:col>
      <xdr:colOff>473075</xdr:colOff>
      <xdr:row>30</xdr:row>
      <xdr:rowOff>95250</xdr:rowOff>
    </xdr:to>
    <xdr:pic>
      <xdr:nvPicPr>
        <xdr:cNvPr id="1025" name="Picture 0" descr="A8600SAA19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3857625"/>
          <a:ext cx="34544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98425</xdr:colOff>
      <xdr:row>21</xdr:row>
      <xdr:rowOff>114300</xdr:rowOff>
    </xdr:from>
    <xdr:to>
      <xdr:col>14</xdr:col>
      <xdr:colOff>231775</xdr:colOff>
      <xdr:row>45</xdr:row>
      <xdr:rowOff>101600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98425</xdr:colOff>
      <xdr:row>45</xdr:row>
      <xdr:rowOff>168275</xdr:rowOff>
    </xdr:from>
    <xdr:to>
      <xdr:col>14</xdr:col>
      <xdr:colOff>231775</xdr:colOff>
      <xdr:row>69</xdr:row>
      <xdr:rowOff>149225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14</xdr:col>
      <xdr:colOff>298450</xdr:colOff>
      <xdr:row>21</xdr:row>
      <xdr:rowOff>109538</xdr:rowOff>
    </xdr:from>
    <xdr:to>
      <xdr:col>28</xdr:col>
      <xdr:colOff>431800</xdr:colOff>
      <xdr:row>45</xdr:row>
      <xdr:rowOff>96838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14</xdr:col>
      <xdr:colOff>307975</xdr:colOff>
      <xdr:row>45</xdr:row>
      <xdr:rowOff>177800</xdr:rowOff>
    </xdr:from>
    <xdr:to>
      <xdr:col>28</xdr:col>
      <xdr:colOff>441325</xdr:colOff>
      <xdr:row>69</xdr:row>
      <xdr:rowOff>158750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95249</xdr:colOff>
      <xdr:row>89</xdr:row>
      <xdr:rowOff>95250</xdr:rowOff>
    </xdr:from>
    <xdr:to>
      <xdr:col>14</xdr:col>
      <xdr:colOff>228599</xdr:colOff>
      <xdr:row>113</xdr:row>
      <xdr:rowOff>76200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14</xdr:col>
      <xdr:colOff>314325</xdr:colOff>
      <xdr:row>89</xdr:row>
      <xdr:rowOff>95250</xdr:rowOff>
    </xdr:from>
    <xdr:to>
      <xdr:col>29</xdr:col>
      <xdr:colOff>0</xdr:colOff>
      <xdr:row>113</xdr:row>
      <xdr:rowOff>76200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16</xdr:row>
      <xdr:rowOff>161925</xdr:rowOff>
    </xdr:from>
    <xdr:to>
      <xdr:col>14</xdr:col>
      <xdr:colOff>238125</xdr:colOff>
      <xdr:row>27</xdr:row>
      <xdr:rowOff>64198</xdr:rowOff>
    </xdr:to>
    <xdr:pic>
      <xdr:nvPicPr>
        <xdr:cNvPr id="17" name="Picture 16" descr="8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15175" y="3019425"/>
          <a:ext cx="3200400" cy="2188273"/>
        </a:xfrm>
        <a:prstGeom prst="rect">
          <a:avLst/>
        </a:prstGeom>
      </xdr:spPr>
    </xdr:pic>
    <xdr:clientData/>
  </xdr:twoCellAnchor>
  <xdr:twoCellAnchor editAs="oneCell">
    <xdr:from>
      <xdr:col>14</xdr:col>
      <xdr:colOff>352425</xdr:colOff>
      <xdr:row>16</xdr:row>
      <xdr:rowOff>161925</xdr:rowOff>
    </xdr:from>
    <xdr:to>
      <xdr:col>19</xdr:col>
      <xdr:colOff>504825</xdr:colOff>
      <xdr:row>27</xdr:row>
      <xdr:rowOff>64198</xdr:rowOff>
    </xdr:to>
    <xdr:pic>
      <xdr:nvPicPr>
        <xdr:cNvPr id="18" name="Picture 17" descr="82_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29875" y="3019425"/>
          <a:ext cx="3200400" cy="2188273"/>
        </a:xfrm>
        <a:prstGeom prst="rect">
          <a:avLst/>
        </a:prstGeom>
      </xdr:spPr>
    </xdr:pic>
    <xdr:clientData/>
  </xdr:twoCellAnchor>
  <xdr:twoCellAnchor>
    <xdr:from>
      <xdr:col>9</xdr:col>
      <xdr:colOff>114300</xdr:colOff>
      <xdr:row>46</xdr:row>
      <xdr:rowOff>161925</xdr:rowOff>
    </xdr:from>
    <xdr:to>
      <xdr:col>16</xdr:col>
      <xdr:colOff>133350</xdr:colOff>
      <xdr:row>64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114300</xdr:colOff>
      <xdr:row>29</xdr:row>
      <xdr:rowOff>66675</xdr:rowOff>
    </xdr:from>
    <xdr:to>
      <xdr:col>16</xdr:col>
      <xdr:colOff>142875</xdr:colOff>
      <xdr:row>46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390526</xdr:colOff>
      <xdr:row>23</xdr:row>
      <xdr:rowOff>9525</xdr:rowOff>
    </xdr:from>
    <xdr:to>
      <xdr:col>14</xdr:col>
      <xdr:colOff>19050</xdr:colOff>
      <xdr:row>24</xdr:row>
      <xdr:rowOff>0</xdr:rowOff>
    </xdr:to>
    <xdr:sp macro="" textlink="">
      <xdr:nvSpPr>
        <xdr:cNvPr id="13" name="TextBox 12"/>
        <xdr:cNvSpPr txBox="1"/>
      </xdr:nvSpPr>
      <xdr:spPr>
        <a:xfrm>
          <a:off x="7286626" y="3895725"/>
          <a:ext cx="267652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  <xdr:twoCellAnchor>
    <xdr:from>
      <xdr:col>14</xdr:col>
      <xdr:colOff>571501</xdr:colOff>
      <xdr:row>23</xdr:row>
      <xdr:rowOff>19051</xdr:rowOff>
    </xdr:from>
    <xdr:to>
      <xdr:col>19</xdr:col>
      <xdr:colOff>238125</xdr:colOff>
      <xdr:row>24</xdr:row>
      <xdr:rowOff>0</xdr:rowOff>
    </xdr:to>
    <xdr:sp macro="" textlink="">
      <xdr:nvSpPr>
        <xdr:cNvPr id="14" name="TextBox 13"/>
        <xdr:cNvSpPr txBox="1"/>
      </xdr:nvSpPr>
      <xdr:spPr>
        <a:xfrm>
          <a:off x="10515601" y="3905251"/>
          <a:ext cx="271462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87"/>
  <sheetViews>
    <sheetView tabSelected="1" workbookViewId="0">
      <selection activeCell="C5" sqref="C5"/>
    </sheetView>
  </sheetViews>
  <sheetFormatPr defaultRowHeight="15"/>
  <cols>
    <col min="1" max="1" width="20.7109375" style="4" customWidth="1"/>
    <col min="2" max="4" width="12.7109375" style="6" customWidth="1"/>
    <col min="5" max="5" width="15.7109375" style="5" customWidth="1"/>
    <col min="6" max="6" width="15.7109375" style="6" customWidth="1"/>
    <col min="7" max="8" width="9.140625" style="6"/>
    <col min="9" max="10" width="9.140625" style="6" customWidth="1"/>
    <col min="11" max="11" width="9.140625" style="6"/>
    <col min="12" max="12" width="9.7109375" style="6" bestFit="1" customWidth="1"/>
    <col min="13" max="16" width="9.140625" style="6"/>
  </cols>
  <sheetData>
    <row r="1" spans="1:16" ht="24" customHeight="1" thickBot="1">
      <c r="A1" s="369" t="s">
        <v>313</v>
      </c>
      <c r="B1" s="370"/>
      <c r="C1" s="370"/>
      <c r="D1" s="370"/>
      <c r="E1" s="370"/>
      <c r="F1" s="370"/>
      <c r="G1" s="370"/>
      <c r="H1" s="370"/>
      <c r="I1" s="371"/>
    </row>
    <row r="2" spans="1:16" ht="24" customHeight="1" thickBot="1">
      <c r="A2" s="372" t="s">
        <v>161</v>
      </c>
      <c r="B2" s="373"/>
      <c r="C2" s="373"/>
      <c r="D2" s="373"/>
      <c r="E2" s="373"/>
      <c r="F2" s="373"/>
      <c r="G2" s="373"/>
      <c r="H2" s="373"/>
      <c r="I2" s="374"/>
    </row>
    <row r="3" spans="1:16" s="2" customFormat="1" ht="18" customHeight="1" thickBot="1">
      <c r="A3" s="100" t="s">
        <v>132</v>
      </c>
      <c r="B3" s="51" t="s">
        <v>31</v>
      </c>
      <c r="C3" s="51" t="s">
        <v>32</v>
      </c>
      <c r="D3" s="51" t="s">
        <v>33</v>
      </c>
      <c r="E3" s="52" t="s">
        <v>34</v>
      </c>
      <c r="F3" s="375" t="s">
        <v>36</v>
      </c>
      <c r="G3" s="376"/>
      <c r="H3" s="376"/>
      <c r="I3" s="377"/>
      <c r="J3" s="3"/>
      <c r="K3" s="3"/>
      <c r="L3" s="3"/>
      <c r="M3" s="3"/>
      <c r="N3" s="3"/>
      <c r="O3" s="3"/>
      <c r="P3" s="3"/>
    </row>
    <row r="4" spans="1:16" ht="18.75" customHeight="1" thickBot="1">
      <c r="A4" s="159" t="s">
        <v>105</v>
      </c>
      <c r="B4" s="264">
        <v>3.4</v>
      </c>
      <c r="C4" s="264">
        <v>5</v>
      </c>
      <c r="D4" s="264">
        <v>5.5</v>
      </c>
      <c r="E4" s="316" t="s">
        <v>2</v>
      </c>
      <c r="F4" s="378" t="str">
        <f>IF(B4&lt;Constants!D7,"Vin_min is lower than UVLO Stop_max","Steady-state input operating voltages")</f>
        <v>Steady-state input operating voltages</v>
      </c>
      <c r="G4" s="379"/>
      <c r="H4" s="379"/>
      <c r="I4" s="380"/>
    </row>
    <row r="5" spans="1:16" ht="18.75" customHeight="1" thickBot="1">
      <c r="A5" s="328" t="s">
        <v>50</v>
      </c>
      <c r="B5" s="317" t="s">
        <v>22</v>
      </c>
      <c r="C5" s="315">
        <v>1.8</v>
      </c>
      <c r="D5" s="72" t="s">
        <v>22</v>
      </c>
      <c r="E5" s="73" t="s">
        <v>2</v>
      </c>
      <c r="F5" s="354" t="s">
        <v>92</v>
      </c>
      <c r="G5" s="355"/>
      <c r="H5" s="355"/>
      <c r="I5" s="356"/>
    </row>
    <row r="6" spans="1:16" ht="18.75" customHeight="1" thickBot="1">
      <c r="A6" s="328" t="s">
        <v>75</v>
      </c>
      <c r="B6" s="318" t="s">
        <v>22</v>
      </c>
      <c r="C6" s="319" t="s">
        <v>22</v>
      </c>
      <c r="D6" s="320">
        <v>2</v>
      </c>
      <c r="E6" s="316" t="s">
        <v>68</v>
      </c>
      <c r="F6" s="354" t="s">
        <v>93</v>
      </c>
      <c r="G6" s="355"/>
      <c r="H6" s="355"/>
      <c r="I6" s="356"/>
    </row>
    <row r="7" spans="1:16" ht="18.75" customHeight="1" thickBot="1">
      <c r="A7" s="69" t="s">
        <v>45</v>
      </c>
      <c r="B7" s="70" t="s">
        <v>22</v>
      </c>
      <c r="C7" s="71">
        <v>33</v>
      </c>
      <c r="D7" s="72" t="s">
        <v>22</v>
      </c>
      <c r="E7" s="73" t="s">
        <v>76</v>
      </c>
      <c r="F7" s="354" t="s">
        <v>49</v>
      </c>
      <c r="G7" s="355"/>
      <c r="H7" s="355"/>
      <c r="I7" s="356"/>
    </row>
    <row r="8" spans="1:16" ht="18.75" customHeight="1" thickBot="1">
      <c r="A8" s="328" t="s">
        <v>135</v>
      </c>
      <c r="B8" s="321" t="s">
        <v>22</v>
      </c>
      <c r="C8" s="322" t="s">
        <v>22</v>
      </c>
      <c r="D8" s="67">
        <v>1.6</v>
      </c>
      <c r="E8" s="316" t="s">
        <v>24</v>
      </c>
      <c r="F8" s="354" t="s">
        <v>155</v>
      </c>
      <c r="G8" s="355"/>
      <c r="H8" s="355"/>
      <c r="I8" s="356"/>
    </row>
    <row r="9" spans="1:16" ht="18.75" customHeight="1" thickBot="1">
      <c r="A9" s="328" t="s">
        <v>134</v>
      </c>
      <c r="B9" s="323" t="s">
        <v>22</v>
      </c>
      <c r="C9" s="70" t="s">
        <v>22</v>
      </c>
      <c r="D9" s="67">
        <v>1.6</v>
      </c>
      <c r="E9" s="316" t="s">
        <v>24</v>
      </c>
      <c r="F9" s="354" t="s">
        <v>155</v>
      </c>
      <c r="G9" s="355"/>
      <c r="H9" s="355"/>
      <c r="I9" s="356"/>
    </row>
    <row r="10" spans="1:16" ht="18.75" customHeight="1" thickBot="1">
      <c r="A10" s="159" t="s">
        <v>133</v>
      </c>
      <c r="B10" s="67">
        <v>-20</v>
      </c>
      <c r="C10" s="324" t="s">
        <v>22</v>
      </c>
      <c r="D10" s="67">
        <v>20</v>
      </c>
      <c r="E10" s="316" t="s">
        <v>24</v>
      </c>
      <c r="F10" s="354" t="s">
        <v>59</v>
      </c>
      <c r="G10" s="355"/>
      <c r="H10" s="355"/>
      <c r="I10" s="356"/>
    </row>
    <row r="11" spans="1:16" ht="18.75" customHeight="1" thickBot="1">
      <c r="A11" s="329" t="s">
        <v>71</v>
      </c>
      <c r="B11" s="325" t="s">
        <v>22</v>
      </c>
      <c r="C11" s="326">
        <v>0.75</v>
      </c>
      <c r="D11" s="72" t="s">
        <v>22</v>
      </c>
      <c r="E11" s="327" t="s">
        <v>37</v>
      </c>
      <c r="F11" s="391" t="s">
        <v>67</v>
      </c>
      <c r="G11" s="392"/>
      <c r="H11" s="392"/>
      <c r="I11" s="393"/>
    </row>
    <row r="12" spans="1:16" ht="18.75" customHeight="1" thickBot="1">
      <c r="A12" s="48" t="s">
        <v>144</v>
      </c>
      <c r="B12" s="49" t="s">
        <v>22</v>
      </c>
      <c r="C12" s="47">
        <v>48</v>
      </c>
      <c r="D12" s="63" t="s">
        <v>22</v>
      </c>
      <c r="E12" s="50" t="s">
        <v>23</v>
      </c>
      <c r="F12" s="363" t="s">
        <v>270</v>
      </c>
      <c r="G12" s="364"/>
      <c r="H12" s="364"/>
      <c r="I12" s="365"/>
    </row>
    <row r="13" spans="1:16" ht="18.75" customHeight="1" thickBot="1">
      <c r="A13" s="64" t="s">
        <v>100</v>
      </c>
      <c r="B13" s="65" t="s">
        <v>22</v>
      </c>
      <c r="C13" s="66" t="s">
        <v>22</v>
      </c>
      <c r="D13" s="67">
        <v>105</v>
      </c>
      <c r="E13" s="68" t="s">
        <v>99</v>
      </c>
      <c r="F13" s="394" t="s">
        <v>165</v>
      </c>
      <c r="G13" s="395"/>
      <c r="H13" s="395"/>
      <c r="I13" s="396"/>
    </row>
    <row r="14" spans="1:16" ht="32.1" customHeight="1" thickBot="1">
      <c r="A14" s="366" t="s">
        <v>186</v>
      </c>
      <c r="B14" s="367"/>
      <c r="C14" s="367"/>
      <c r="D14" s="367"/>
      <c r="E14" s="367"/>
      <c r="F14" s="367"/>
      <c r="G14" s="367"/>
      <c r="H14" s="367"/>
      <c r="I14" s="368"/>
    </row>
    <row r="15" spans="1:16" s="2" customFormat="1" ht="18" customHeight="1">
      <c r="A15" s="156" t="s">
        <v>30</v>
      </c>
      <c r="B15" s="261" t="s">
        <v>29</v>
      </c>
      <c r="C15" s="261" t="s">
        <v>34</v>
      </c>
      <c r="D15" s="360" t="s">
        <v>36</v>
      </c>
      <c r="E15" s="361"/>
      <c r="F15" s="361"/>
      <c r="G15" s="361"/>
      <c r="H15" s="361"/>
      <c r="I15" s="362"/>
      <c r="J15" s="3"/>
      <c r="K15" s="3"/>
      <c r="L15" s="3"/>
      <c r="M15" s="3"/>
      <c r="N15" s="3"/>
      <c r="O15" s="3"/>
      <c r="P15" s="3"/>
    </row>
    <row r="16" spans="1:16" s="2" customFormat="1" ht="18" customHeight="1">
      <c r="A16" s="397" t="s">
        <v>255</v>
      </c>
      <c r="B16" s="398"/>
      <c r="C16" s="398"/>
      <c r="D16" s="398"/>
      <c r="E16" s="398"/>
      <c r="F16" s="398"/>
      <c r="G16" s="398"/>
      <c r="H16" s="398"/>
      <c r="I16" s="399"/>
      <c r="J16" s="3"/>
      <c r="K16" s="3"/>
      <c r="L16" s="3"/>
      <c r="M16" s="3"/>
      <c r="N16" s="3"/>
      <c r="O16" s="3"/>
      <c r="P16" s="3"/>
    </row>
    <row r="17" spans="1:14" ht="15.75" thickBot="1">
      <c r="A17" s="54" t="s">
        <v>51</v>
      </c>
      <c r="B17" s="17">
        <f>Constants!C5*1000*Design!C5/Constants!C3/1000</f>
        <v>9</v>
      </c>
      <c r="C17" s="16" t="s">
        <v>66</v>
      </c>
      <c r="D17" s="21" t="s">
        <v>90</v>
      </c>
      <c r="E17" s="16"/>
      <c r="F17" s="18"/>
      <c r="G17" s="18"/>
      <c r="H17" s="18"/>
      <c r="I17" s="55"/>
      <c r="K17" s="262"/>
    </row>
    <row r="18" spans="1:14" ht="15.75" thickBot="1">
      <c r="A18" s="111" t="s">
        <v>53</v>
      </c>
      <c r="B18" s="114">
        <v>18.7</v>
      </c>
      <c r="C18" s="113" t="s">
        <v>187</v>
      </c>
      <c r="D18" s="21" t="s">
        <v>94</v>
      </c>
      <c r="E18" s="16"/>
      <c r="F18" s="18"/>
      <c r="G18" s="18"/>
      <c r="H18" s="18"/>
      <c r="I18" s="55"/>
    </row>
    <row r="19" spans="1:14" ht="15.75" thickBot="1">
      <c r="A19" s="54" t="s">
        <v>52</v>
      </c>
      <c r="B19" s="17">
        <f>1000/((1/Constants!C5*1000)-(1/Design!B17*1000))</f>
        <v>7.1999999999999984</v>
      </c>
      <c r="C19" s="16" t="s">
        <v>66</v>
      </c>
      <c r="D19" s="21" t="s">
        <v>91</v>
      </c>
      <c r="E19" s="16"/>
      <c r="F19" s="18"/>
      <c r="G19" s="18"/>
      <c r="H19" s="18"/>
      <c r="I19" s="55"/>
    </row>
    <row r="20" spans="1:14" ht="15.75" thickBot="1">
      <c r="A20" s="115" t="s">
        <v>54</v>
      </c>
      <c r="B20" s="114">
        <v>15</v>
      </c>
      <c r="C20" s="116" t="s">
        <v>187</v>
      </c>
      <c r="D20" s="92" t="s">
        <v>94</v>
      </c>
      <c r="E20" s="59"/>
      <c r="F20" s="61"/>
      <c r="G20" s="61"/>
      <c r="H20" s="61"/>
      <c r="I20" s="62"/>
    </row>
    <row r="21" spans="1:14" ht="15.75">
      <c r="A21" s="357" t="s">
        <v>175</v>
      </c>
      <c r="B21" s="358"/>
      <c r="C21" s="358"/>
      <c r="D21" s="358"/>
      <c r="E21" s="358"/>
      <c r="F21" s="358"/>
      <c r="G21" s="358"/>
      <c r="H21" s="358"/>
      <c r="I21" s="359"/>
    </row>
    <row r="22" spans="1:14" ht="15.75">
      <c r="A22" s="54" t="s">
        <v>154</v>
      </c>
      <c r="B22" s="260">
        <f>Constants!B3*(1+(1-D8/100)*IF(ISBLANK(B18),B17,B18)/((1+D9/100)*IF(ISBLANK(B20),B19,B20)))</f>
        <v>1.7394324409448823</v>
      </c>
      <c r="C22" s="260">
        <f>Constants!C3*(1+IF(ISBLANK(B18),B17,B18)/IF(ISBLANK(B20),B19,B20))</f>
        <v>1.7973333333333334</v>
      </c>
      <c r="D22" s="260">
        <f>Constants!D3*(1+(1+D8/100)*IF(ISBLANK(B18),B17,B18)/((1-D9/100)*IF(ISBLANK(B20),B19,B20)))</f>
        <v>1.8572134417344177</v>
      </c>
      <c r="E22" s="21" t="s">
        <v>153</v>
      </c>
      <c r="F22" s="18"/>
      <c r="G22" s="18"/>
      <c r="H22" s="18"/>
      <c r="I22" s="55"/>
    </row>
    <row r="23" spans="1:14" ht="15.75" thickBot="1">
      <c r="A23" s="54" t="s">
        <v>241</v>
      </c>
      <c r="B23" s="19">
        <f ca="1">MIN(Efficiency!AQ4:AQ11,Efficiency!AQ14:AQ21)</f>
        <v>33.145649734943305</v>
      </c>
      <c r="C23" s="19">
        <f ca="1">AVERAGE(Efficiency!W4:W11,Efficiency!W14:W21)</f>
        <v>39.2159956209874</v>
      </c>
      <c r="D23" s="19">
        <f ca="1">MAX(Efficiency!C4:C11,Efficiency!C14:C21)</f>
        <v>65.428800622725149</v>
      </c>
      <c r="E23" s="21" t="s">
        <v>284</v>
      </c>
      <c r="F23" s="227"/>
      <c r="G23" s="18"/>
      <c r="H23" s="18"/>
      <c r="I23" s="55"/>
    </row>
    <row r="24" spans="1:14" ht="15.75" customHeight="1">
      <c r="A24" s="357" t="s">
        <v>136</v>
      </c>
      <c r="B24" s="358"/>
      <c r="C24" s="358"/>
      <c r="D24" s="358"/>
      <c r="E24" s="358"/>
      <c r="F24" s="358"/>
      <c r="G24" s="358"/>
      <c r="H24" s="358"/>
      <c r="I24" s="359"/>
      <c r="L24" s="5"/>
    </row>
    <row r="25" spans="1:14" ht="15.75" customHeight="1" thickBot="1">
      <c r="A25" s="54" t="s">
        <v>41</v>
      </c>
      <c r="B25" s="107">
        <f ca="1">MIN($B$23/100/Constants!D$18/0.000000001/1000000, Constants!D16)</f>
        <v>2.4500000000000002</v>
      </c>
      <c r="C25" s="16" t="s">
        <v>16</v>
      </c>
      <c r="D25" s="22" t="s">
        <v>199</v>
      </c>
      <c r="E25" s="16"/>
      <c r="F25" s="18"/>
      <c r="G25" s="18"/>
      <c r="H25" s="18"/>
      <c r="I25" s="55"/>
    </row>
    <row r="26" spans="1:14" ht="15.75" thickBot="1">
      <c r="A26" s="54" t="s">
        <v>40</v>
      </c>
      <c r="B26" s="106">
        <v>2</v>
      </c>
      <c r="C26" s="16" t="s">
        <v>16</v>
      </c>
      <c r="D26" s="97" t="s">
        <v>197</v>
      </c>
      <c r="E26" s="155" t="str">
        <f ca="1">IF(D23&gt;B29," See the DROPOUT tab for operation approaching Vin_min "," ")</f>
        <v xml:space="preserve"> </v>
      </c>
      <c r="F26" s="134"/>
      <c r="G26" s="135"/>
      <c r="H26" s="130"/>
      <c r="I26" s="55"/>
      <c r="M26" s="5"/>
      <c r="N26" s="129"/>
    </row>
    <row r="27" spans="1:14" ht="18">
      <c r="A27" s="111" t="s">
        <v>188</v>
      </c>
      <c r="B27" s="112">
        <f>(24900/IF(ISBLANK(B26),1000*B25,1000*B26)-1.7)</f>
        <v>10.75</v>
      </c>
      <c r="C27" s="113" t="s">
        <v>187</v>
      </c>
      <c r="D27" s="22" t="s">
        <v>87</v>
      </c>
      <c r="E27" s="16"/>
      <c r="F27" s="18"/>
      <c r="G27" s="18"/>
      <c r="H27" s="18"/>
      <c r="I27" s="55"/>
      <c r="L27" s="5"/>
    </row>
    <row r="28" spans="1:14" ht="18">
      <c r="A28" s="54" t="s">
        <v>240</v>
      </c>
      <c r="B28" s="125">
        <f>100*IF(ISBLANK(B26),B25,B26)*1000000*Constants!C18/1000000000</f>
        <v>13</v>
      </c>
      <c r="C28" s="125">
        <f>100*IF(ISBLANK(B26),B25,B26)*1000000*Constants!D18/1000000000</f>
        <v>21</v>
      </c>
      <c r="D28" s="21" t="s">
        <v>266</v>
      </c>
      <c r="E28" s="229"/>
      <c r="F28" s="18"/>
      <c r="G28" s="18"/>
      <c r="H28" s="18"/>
      <c r="I28" s="55"/>
      <c r="K28" s="128"/>
      <c r="L28" s="5"/>
      <c r="M28" s="5"/>
      <c r="N28" s="129"/>
    </row>
    <row r="29" spans="1:14" ht="18">
      <c r="A29" s="54" t="s">
        <v>239</v>
      </c>
      <c r="B29" s="230">
        <f>100*(1-IF(ISBLANK(B26),B25,B26)*1000000*(Constants!D19+2*Constants!C20)/1000000000)</f>
        <v>74</v>
      </c>
      <c r="C29" s="231">
        <f>100*(1-IF(ISBLANK(B26),B25,B26)*1000000*(Constants!C19+2*Constants!C20)/1000000000)</f>
        <v>84</v>
      </c>
      <c r="D29" s="21" t="s">
        <v>267</v>
      </c>
      <c r="E29" s="229"/>
      <c r="F29" s="228"/>
      <c r="G29" s="228"/>
      <c r="H29" s="228"/>
      <c r="I29" s="55"/>
      <c r="K29" s="128"/>
      <c r="L29" s="5"/>
      <c r="M29" s="5"/>
      <c r="N29" s="129"/>
    </row>
    <row r="30" spans="1:14" ht="18.75" thickBot="1">
      <c r="A30" s="57" t="s">
        <v>201</v>
      </c>
      <c r="B30" s="107">
        <f ca="1">MIN(1.5*B25, 1.5*IF(ISBLANK(B26),B25,B26), C23/100/(Constants!C18/1000000000)/1000000)</f>
        <v>3</v>
      </c>
      <c r="C30" s="59" t="s">
        <v>16</v>
      </c>
      <c r="D30" s="92" t="s">
        <v>253</v>
      </c>
      <c r="E30" s="59"/>
      <c r="F30" s="61"/>
      <c r="G30" s="61"/>
      <c r="H30" s="61"/>
      <c r="I30" s="62"/>
    </row>
    <row r="31" spans="1:14" ht="15.75" customHeight="1">
      <c r="A31" s="357" t="s">
        <v>142</v>
      </c>
      <c r="B31" s="358"/>
      <c r="C31" s="358"/>
      <c r="D31" s="358"/>
      <c r="E31" s="358"/>
      <c r="F31" s="358"/>
      <c r="G31" s="358"/>
      <c r="H31" s="358"/>
      <c r="I31" s="359"/>
      <c r="K31" s="128"/>
      <c r="L31" s="5"/>
      <c r="M31" s="5"/>
      <c r="N31" s="129"/>
    </row>
    <row r="32" spans="1:14" ht="15.75" customHeight="1">
      <c r="A32" s="263" t="s">
        <v>287</v>
      </c>
      <c r="B32" s="295">
        <f ca="1">0.4*(C5+Efficiency!B21*Efficiency!P21/1000)/Constants!D60</f>
        <v>0.28447597266030017</v>
      </c>
      <c r="C32" s="295">
        <f ca="1">1.1*(C5+Efficiency!B21*Efficiency!P21/1000)/Constants!B60</f>
        <v>1.3512601317134552</v>
      </c>
      <c r="D32" s="287" t="s">
        <v>72</v>
      </c>
      <c r="E32" s="290" t="s">
        <v>300</v>
      </c>
      <c r="F32" s="285"/>
      <c r="G32" s="285"/>
      <c r="H32" s="285"/>
      <c r="I32" s="286"/>
      <c r="K32" s="128"/>
      <c r="L32" s="5"/>
      <c r="M32" s="5"/>
      <c r="N32" s="129"/>
    </row>
    <row r="33" spans="1:14" ht="18.75" thickBot="1">
      <c r="A33" s="263" t="s">
        <v>299</v>
      </c>
      <c r="B33" s="384">
        <f ca="1">C22*(1-0.18/(D23/100))/(Constants!C60)</f>
        <v>0.55469122925930037</v>
      </c>
      <c r="C33" s="384"/>
      <c r="D33" s="287" t="s">
        <v>72</v>
      </c>
      <c r="E33" s="97" t="s">
        <v>298</v>
      </c>
      <c r="F33" s="18"/>
      <c r="G33" s="18"/>
      <c r="H33" s="18"/>
      <c r="I33" s="56"/>
      <c r="J33" s="9"/>
      <c r="L33" s="5"/>
    </row>
    <row r="34" spans="1:14" ht="18.75" thickBot="1">
      <c r="A34" s="111" t="s">
        <v>311</v>
      </c>
      <c r="B34" s="400">
        <v>1</v>
      </c>
      <c r="C34" s="401"/>
      <c r="D34" s="288" t="s">
        <v>189</v>
      </c>
      <c r="E34" s="290" t="s">
        <v>297</v>
      </c>
      <c r="F34" s="18"/>
      <c r="G34" s="18"/>
      <c r="H34" s="18"/>
      <c r="I34" s="55"/>
    </row>
    <row r="35" spans="1:14" ht="18.75" thickBot="1">
      <c r="A35" s="131" t="s">
        <v>203</v>
      </c>
      <c r="B35" s="382">
        <v>6.7</v>
      </c>
      <c r="C35" s="383"/>
      <c r="D35" s="289" t="s">
        <v>202</v>
      </c>
      <c r="E35" s="291" t="s">
        <v>312</v>
      </c>
      <c r="F35" s="132"/>
      <c r="G35" s="132"/>
      <c r="H35" s="132"/>
      <c r="I35" s="133"/>
    </row>
    <row r="36" spans="1:14" ht="18">
      <c r="A36" s="54" t="s">
        <v>47</v>
      </c>
      <c r="B36" s="384">
        <f ca="1">(C4-C5)/(IF(ISBLANK(B34),B33,B34)*0.000001)*(C23/100)/(IF(ISBLANK(B26),B25,B26)*1000000)</f>
        <v>0.62745592993579846</v>
      </c>
      <c r="C36" s="384"/>
      <c r="D36" s="287" t="s">
        <v>69</v>
      </c>
      <c r="E36" s="290" t="s">
        <v>173</v>
      </c>
      <c r="F36" s="18"/>
      <c r="G36" s="18"/>
      <c r="H36" s="18"/>
      <c r="I36" s="55"/>
      <c r="L36" s="5"/>
      <c r="M36" s="5"/>
      <c r="N36" s="5"/>
    </row>
    <row r="37" spans="1:14" ht="18">
      <c r="A37" s="54" t="s">
        <v>46</v>
      </c>
      <c r="B37" s="384">
        <f ca="1">(D4-(1+Constants!B4/100)*C5)/((1+B10/100)*IF(ISBLANK(B34),B33,B34)*0.000001)*(B23/100)/((1+Constants!B17/100)*IF(ISBLANK(B26),B25,B26)*1000000)</f>
        <v>0.85787386501481755</v>
      </c>
      <c r="C37" s="384"/>
      <c r="D37" s="287" t="s">
        <v>69</v>
      </c>
      <c r="E37" s="290" t="s">
        <v>143</v>
      </c>
      <c r="F37" s="18"/>
      <c r="G37" s="18"/>
      <c r="H37" s="18"/>
      <c r="I37" s="55"/>
      <c r="L37" s="129"/>
    </row>
    <row r="38" spans="1:14" ht="18">
      <c r="A38" s="54" t="s">
        <v>182</v>
      </c>
      <c r="B38" s="384">
        <f ca="1">D6+B37/2</f>
        <v>2.4289369325074088</v>
      </c>
      <c r="C38" s="384"/>
      <c r="D38" s="287" t="s">
        <v>70</v>
      </c>
      <c r="E38" s="290" t="s">
        <v>288</v>
      </c>
      <c r="F38" s="18"/>
      <c r="G38" s="18"/>
      <c r="H38" s="18"/>
      <c r="I38" s="55"/>
    </row>
    <row r="39" spans="1:14" ht="18.75" thickBot="1">
      <c r="A39" s="263" t="s">
        <v>290</v>
      </c>
      <c r="B39" s="389">
        <f ca="1">Constants!C35+Constants!C34*C23-B37</f>
        <v>2.1597805967292603</v>
      </c>
      <c r="C39" s="389"/>
      <c r="D39" s="287" t="s">
        <v>13</v>
      </c>
      <c r="E39" s="97" t="s">
        <v>289</v>
      </c>
      <c r="F39" s="18"/>
      <c r="G39" s="18"/>
      <c r="H39" s="18"/>
      <c r="I39" s="55"/>
    </row>
    <row r="40" spans="1:14" ht="18.75" thickBot="1">
      <c r="A40" s="86" t="s">
        <v>291</v>
      </c>
      <c r="B40" s="390">
        <f ca="1">Constants!C35+Constants!C34*D23-B38</f>
        <v>0.21911697871216695</v>
      </c>
      <c r="C40" s="390"/>
      <c r="D40" s="88" t="s">
        <v>13</v>
      </c>
      <c r="E40" s="89" t="s">
        <v>301</v>
      </c>
      <c r="F40" s="90"/>
      <c r="G40" s="90"/>
      <c r="H40" s="90"/>
      <c r="I40" s="91"/>
      <c r="K40" s="408" t="s">
        <v>261</v>
      </c>
      <c r="L40" s="409"/>
      <c r="M40" s="410"/>
      <c r="N40" s="5"/>
    </row>
    <row r="41" spans="1:14" ht="15.75" customHeight="1" thickBot="1">
      <c r="A41" s="357" t="s">
        <v>137</v>
      </c>
      <c r="B41" s="358"/>
      <c r="C41" s="358"/>
      <c r="D41" s="358"/>
      <c r="E41" s="358"/>
      <c r="F41" s="358"/>
      <c r="G41" s="358"/>
      <c r="H41" s="358"/>
      <c r="I41" s="359"/>
      <c r="K41" s="405" t="s">
        <v>263</v>
      </c>
      <c r="L41" s="406"/>
      <c r="M41" s="407"/>
    </row>
    <row r="42" spans="1:14" ht="15.75" customHeight="1" thickBot="1">
      <c r="A42" s="95" t="s">
        <v>162</v>
      </c>
      <c r="B42" s="98">
        <v>50</v>
      </c>
      <c r="C42" s="96" t="s">
        <v>24</v>
      </c>
      <c r="D42" s="97" t="s">
        <v>171</v>
      </c>
      <c r="E42" s="93"/>
      <c r="F42" s="93"/>
      <c r="G42" s="93"/>
      <c r="H42" s="93"/>
      <c r="I42" s="94"/>
      <c r="K42" s="411" t="s">
        <v>262</v>
      </c>
      <c r="L42" s="412"/>
      <c r="M42" s="413"/>
    </row>
    <row r="43" spans="1:14" ht="15.75" thickBot="1">
      <c r="A43" s="54" t="s">
        <v>141</v>
      </c>
      <c r="B43" s="125">
        <f>(IF(ISBLANK(B42),Constants!B42,B42))/Constants!B42*Constants!B43*Constants!B39/C5*Constants!B44/(IF(ISBLANK(B26),B25,B26))*D6/Constants!B40</f>
        <v>1.6666666666666663</v>
      </c>
      <c r="C43" s="20" t="s">
        <v>131</v>
      </c>
      <c r="D43" s="121" t="s">
        <v>193</v>
      </c>
      <c r="E43" s="122"/>
      <c r="F43" s="123"/>
      <c r="G43" s="123"/>
      <c r="H43" s="123"/>
      <c r="I43" s="124"/>
      <c r="K43" s="414"/>
      <c r="L43" s="412"/>
      <c r="M43" s="413"/>
    </row>
    <row r="44" spans="1:14" ht="16.5" thickBot="1">
      <c r="A44" s="111" t="s">
        <v>120</v>
      </c>
      <c r="B44" s="126">
        <v>2</v>
      </c>
      <c r="C44" s="117" t="s">
        <v>131</v>
      </c>
      <c r="D44" s="22" t="s">
        <v>194</v>
      </c>
      <c r="E44" s="16"/>
      <c r="F44" s="18"/>
      <c r="G44" s="18"/>
      <c r="H44" s="18"/>
      <c r="I44" s="55"/>
      <c r="K44" s="263" t="s">
        <v>256</v>
      </c>
      <c r="L44" s="333"/>
      <c r="M44" s="265" t="s">
        <v>259</v>
      </c>
    </row>
    <row r="45" spans="1:14" ht="16.5" thickBot="1">
      <c r="A45" s="54" t="s">
        <v>123</v>
      </c>
      <c r="B45" s="15">
        <f>IF(ISBLANK(L44), IF(ISBLANK(B44),B43,B44)*(1-Constants!B46/100)*(Constants!C54*$C$5^3+Constants!C55*$C$5^2+Constants!C56*$C$5+Constants!C57), L44*IF(ISBLANK(L47),1,L47))</f>
        <v>17.728266239999996</v>
      </c>
      <c r="C45" s="16" t="s">
        <v>73</v>
      </c>
      <c r="D45" s="22" t="s">
        <v>172</v>
      </c>
      <c r="E45" s="16"/>
      <c r="F45" s="18"/>
      <c r="G45" s="18"/>
      <c r="H45" s="18"/>
      <c r="I45" s="55"/>
      <c r="K45" s="263" t="s">
        <v>257</v>
      </c>
      <c r="L45" s="333"/>
      <c r="M45" s="265" t="s">
        <v>260</v>
      </c>
    </row>
    <row r="46" spans="1:14" ht="18.75" thickBot="1">
      <c r="A46" s="86" t="s">
        <v>119</v>
      </c>
      <c r="B46" s="87">
        <f ca="1">IF(ISBLANK(L44), 1000*(B36*Constants!B47/1000/IF(ISBLANK(B44),B43,B44)+B36/(8*(IF(ISBLANK(B26),B25,B26))*1000000*B45/1000000)+(C4-C5)/(IF(ISBLANK(B34),B33,B34)/1000000)*Constants!B48/1000000000),
1000*(B36*L45/1000/IF(ISBLANK(L47),1,L47)+B36/(8*(IF(ISBLANK(B26),B25,B26))*1000000*L44*IF(ISBLANK(L47),1,L47)/1000000)+(C4-C5)/(IF(ISBLANK(B34),B33,B34)/1000000)*L46/1000000000/IF(ISBLANK(L47),1,L47)) )</f>
        <v>9.8544281847773796</v>
      </c>
      <c r="C46" s="59" t="s">
        <v>129</v>
      </c>
      <c r="D46" s="60" t="s">
        <v>130</v>
      </c>
      <c r="E46" s="59"/>
      <c r="F46" s="61"/>
      <c r="G46" s="61"/>
      <c r="H46" s="61"/>
      <c r="I46" s="62"/>
      <c r="K46" s="263" t="s">
        <v>258</v>
      </c>
      <c r="L46" s="333"/>
      <c r="M46" s="265" t="s">
        <v>28</v>
      </c>
    </row>
    <row r="47" spans="1:14" ht="16.5" thickBot="1">
      <c r="A47" s="110" t="s">
        <v>185</v>
      </c>
      <c r="B47" s="108"/>
      <c r="C47" s="16"/>
      <c r="D47" s="109"/>
      <c r="E47" s="16"/>
      <c r="F47" s="18"/>
      <c r="G47" s="18"/>
      <c r="H47" s="18"/>
      <c r="I47" s="55"/>
      <c r="K47" s="86" t="s">
        <v>264</v>
      </c>
      <c r="L47" s="334"/>
      <c r="M47" s="266" t="s">
        <v>131</v>
      </c>
    </row>
    <row r="48" spans="1:14" ht="18.75" thickBot="1">
      <c r="A48" s="118" t="s">
        <v>190</v>
      </c>
      <c r="B48" s="119">
        <f ca="1">MAX(MAX(D6*SQRT(B23/100*(1-B23/100)),D6*SQRT(C23/100*(1-C23/100)), D6*SQRT(D23/100*(1-D23/100))),IF((B23&lt;50)*AND(D23&gt;50),D6*SQRT(0.5*(1-0.5)),0))</f>
        <v>1</v>
      </c>
      <c r="C48" s="113" t="s">
        <v>191</v>
      </c>
      <c r="D48" s="92" t="s">
        <v>183</v>
      </c>
      <c r="E48" s="16"/>
      <c r="F48" s="18"/>
      <c r="G48" s="18"/>
      <c r="H48" s="18"/>
      <c r="I48" s="55"/>
    </row>
    <row r="49" spans="1:9" ht="15.75" customHeight="1">
      <c r="A49" s="357" t="s">
        <v>138</v>
      </c>
      <c r="B49" s="358"/>
      <c r="C49" s="358"/>
      <c r="D49" s="358"/>
      <c r="E49" s="358"/>
      <c r="F49" s="358"/>
      <c r="G49" s="358"/>
      <c r="H49" s="358"/>
      <c r="I49" s="359"/>
    </row>
    <row r="50" spans="1:9">
      <c r="A50" s="111" t="s">
        <v>42</v>
      </c>
      <c r="B50" s="112">
        <f ca="1">IF(AND(B23&lt;50, D23&gt;50), 1000000*D6*0.5*(1-0.5)/((1+Constants!B17/100)*IF(ISBLANK(B26),B25,B26)*1000000*Constants!C9*Constants!B8/1000), MAX(1000000*D6*D23/100*(1-D23/100)/((1+Constants!B17/100)*IF(ISBLANK(B26),B25,B26)*1000000*Constants!C9*Constants!B8/1000), 1000000*D6*C23/100*(1-C23/100)/((1+Constants!B17/100)*IF(ISBLANK(B26),B25,B26)*1000000*Constants!C9*Constants!B8/1000), 1000000*D6*B23/100*(1-B23/100)/((1+Constants!B17/100)*IF(ISBLANK(B26),B25,B26)*1000000*Constants!C9*Constants!B8/1000)))</f>
        <v>5.5555555555555554</v>
      </c>
      <c r="C50" s="113" t="s">
        <v>192</v>
      </c>
      <c r="D50" s="22" t="s">
        <v>79</v>
      </c>
      <c r="E50" s="16"/>
      <c r="F50" s="18"/>
      <c r="G50" s="18"/>
      <c r="H50" s="18"/>
      <c r="I50" s="55"/>
    </row>
    <row r="51" spans="1:9" ht="18.75" thickBot="1">
      <c r="A51" s="57" t="s">
        <v>184</v>
      </c>
      <c r="B51" s="58">
        <f ca="1">D6*SQRT(D23/100*(1-D23/100))</f>
        <v>0.95119968699410251</v>
      </c>
      <c r="C51" s="59" t="s">
        <v>74</v>
      </c>
      <c r="D51" s="60" t="s">
        <v>44</v>
      </c>
      <c r="E51" s="59"/>
      <c r="F51" s="61"/>
      <c r="G51" s="61"/>
      <c r="H51" s="61"/>
      <c r="I51" s="62"/>
    </row>
    <row r="52" spans="1:9" ht="15.75" customHeight="1">
      <c r="A52" s="357" t="s">
        <v>139</v>
      </c>
      <c r="B52" s="358"/>
      <c r="C52" s="358"/>
      <c r="D52" s="358"/>
      <c r="E52" s="358"/>
      <c r="F52" s="358"/>
      <c r="G52" s="358"/>
      <c r="H52" s="358"/>
      <c r="I52" s="359"/>
    </row>
    <row r="53" spans="1:9" ht="15.75" thickBot="1">
      <c r="A53" s="54" t="s">
        <v>58</v>
      </c>
      <c r="B53" s="17">
        <f>1000000000*Constants!C30/1000000*C11/1000/Constants!C3</f>
        <v>18.75</v>
      </c>
      <c r="C53" s="16" t="s">
        <v>17</v>
      </c>
      <c r="D53" s="22" t="s">
        <v>65</v>
      </c>
      <c r="E53" s="16"/>
      <c r="F53" s="18"/>
      <c r="G53" s="18"/>
      <c r="H53" s="18"/>
      <c r="I53" s="55"/>
    </row>
    <row r="54" spans="1:9" ht="15.75" thickBot="1">
      <c r="A54" s="111" t="s">
        <v>64</v>
      </c>
      <c r="B54" s="120">
        <v>22</v>
      </c>
      <c r="C54" s="113" t="s">
        <v>17</v>
      </c>
      <c r="D54" s="22" t="s">
        <v>148</v>
      </c>
      <c r="E54" s="16"/>
      <c r="F54" s="18"/>
      <c r="G54" s="18"/>
      <c r="H54" s="18"/>
      <c r="I54" s="55"/>
    </row>
    <row r="55" spans="1:9">
      <c r="A55" s="54" t="s">
        <v>61</v>
      </c>
      <c r="B55" s="17">
        <f>1000*IF(ISBLANK(B54),B53,B54)/1000000000*Constants!C3/(Constants!C30/1000000)</f>
        <v>0.88</v>
      </c>
      <c r="C55" s="16" t="s">
        <v>37</v>
      </c>
      <c r="D55" s="22" t="s">
        <v>63</v>
      </c>
      <c r="E55" s="16"/>
      <c r="F55" s="18"/>
      <c r="G55" s="18"/>
      <c r="H55" s="18"/>
      <c r="I55" s="55"/>
    </row>
    <row r="56" spans="1:9" ht="15.75" thickBot="1">
      <c r="A56" s="57" t="s">
        <v>62</v>
      </c>
      <c r="B56" s="58">
        <f>1000*IF(ISBLANK(B54),B53,B54)/1000000000*Constants!C31/1000/(Constants!C30/1000000)</f>
        <v>0.36299999999999999</v>
      </c>
      <c r="C56" s="59" t="s">
        <v>37</v>
      </c>
      <c r="D56" s="60" t="s">
        <v>80</v>
      </c>
      <c r="E56" s="59"/>
      <c r="F56" s="61"/>
      <c r="G56" s="61"/>
      <c r="H56" s="61"/>
      <c r="I56" s="62"/>
    </row>
    <row r="57" spans="1:9" ht="15.75" customHeight="1">
      <c r="A57" s="357" t="s">
        <v>140</v>
      </c>
      <c r="B57" s="358"/>
      <c r="C57" s="358"/>
      <c r="D57" s="358"/>
      <c r="E57" s="358"/>
      <c r="F57" s="358"/>
      <c r="G57" s="358"/>
      <c r="H57" s="358"/>
      <c r="I57" s="359"/>
    </row>
    <row r="58" spans="1:9" ht="18" customHeight="1" thickBot="1">
      <c r="A58" s="54" t="s">
        <v>77</v>
      </c>
      <c r="B58" s="385">
        <f>1000*IF(ISBLANK(B26),B25,B26)/11</f>
        <v>181.81818181818181</v>
      </c>
      <c r="C58" s="385"/>
      <c r="D58" s="287" t="s">
        <v>19</v>
      </c>
      <c r="E58" s="290" t="s">
        <v>302</v>
      </c>
      <c r="F58" s="18"/>
      <c r="G58" s="18"/>
      <c r="H58" s="18"/>
      <c r="I58" s="55"/>
    </row>
    <row r="59" spans="1:9" ht="18" customHeight="1" thickBot="1">
      <c r="A59" s="54" t="s">
        <v>43</v>
      </c>
      <c r="B59" s="386">
        <v>90</v>
      </c>
      <c r="C59" s="387"/>
      <c r="D59" s="287" t="s">
        <v>19</v>
      </c>
      <c r="E59" s="290" t="s">
        <v>303</v>
      </c>
      <c r="F59" s="18"/>
      <c r="G59" s="18"/>
      <c r="H59" s="18"/>
      <c r="I59" s="55"/>
    </row>
    <row r="60" spans="1:9" ht="18" customHeight="1">
      <c r="A60" s="54" t="s">
        <v>88</v>
      </c>
      <c r="B60" s="388">
        <f ca="1">C5/AVERAGE(B36/2, D6)</f>
        <v>1.5559305391591038</v>
      </c>
      <c r="C60" s="388"/>
      <c r="D60" s="330" t="s">
        <v>81</v>
      </c>
      <c r="E60" s="290" t="s">
        <v>304</v>
      </c>
      <c r="F60" s="18"/>
      <c r="G60" s="18"/>
      <c r="H60" s="18"/>
      <c r="I60" s="55"/>
    </row>
    <row r="61" spans="1:9" ht="18" customHeight="1">
      <c r="A61" s="54" t="s">
        <v>82</v>
      </c>
      <c r="B61" s="389">
        <f ca="1">1/(6.28*B60*B45/1000000)/1000</f>
        <v>5.7727651002779359</v>
      </c>
      <c r="C61" s="389"/>
      <c r="D61" s="330" t="s">
        <v>19</v>
      </c>
      <c r="E61" s="290" t="s">
        <v>305</v>
      </c>
      <c r="F61" s="18"/>
      <c r="G61" s="18"/>
      <c r="H61" s="18"/>
      <c r="I61" s="55"/>
    </row>
    <row r="62" spans="1:9" ht="18" customHeight="1">
      <c r="A62" s="54" t="s">
        <v>83</v>
      </c>
      <c r="B62" s="388">
        <f>IF(ISBLANK(L44), 1/(6.28*Constants!B47/(IF(ISBLANK(B44),B43,B44))/1000*B45/1000000)/1000, 1/(6.28*IF(ISBLANK(L45),Constants!B47,L45)/(IF(ISBLANK(L47),1,L47))/1000*B45/1000000)/1000)</f>
        <v>2994.0071716381021</v>
      </c>
      <c r="C62" s="388"/>
      <c r="D62" s="330" t="s">
        <v>19</v>
      </c>
      <c r="E62" s="290" t="s">
        <v>89</v>
      </c>
      <c r="F62" s="18"/>
      <c r="G62" s="18"/>
      <c r="H62" s="18"/>
      <c r="I62" s="55"/>
    </row>
    <row r="63" spans="1:9" ht="18" customHeight="1" thickBot="1">
      <c r="A63" s="54" t="s">
        <v>14</v>
      </c>
      <c r="B63" s="388">
        <f>IF(ISBLANK(B59),B58,B59)*1000*(C5/Constants!C3)*((6.28*B45/1000000)/(Constants!C13*Constants!C11/1000000))/1000</f>
        <v>6.6800107192319986</v>
      </c>
      <c r="C63" s="388"/>
      <c r="D63" s="287" t="s">
        <v>66</v>
      </c>
      <c r="E63" s="290" t="s">
        <v>306</v>
      </c>
      <c r="F63" s="18"/>
      <c r="G63" s="18"/>
      <c r="H63" s="18"/>
      <c r="I63" s="55"/>
    </row>
    <row r="64" spans="1:9" ht="18" customHeight="1" thickBot="1">
      <c r="A64" s="111" t="s">
        <v>86</v>
      </c>
      <c r="B64" s="402">
        <v>6.65</v>
      </c>
      <c r="C64" s="403"/>
      <c r="D64" s="288" t="s">
        <v>187</v>
      </c>
      <c r="E64" s="290" t="s">
        <v>307</v>
      </c>
      <c r="F64" s="18"/>
      <c r="G64" s="18"/>
      <c r="H64" s="18"/>
      <c r="I64" s="55"/>
    </row>
    <row r="65" spans="1:9" ht="18" customHeight="1">
      <c r="A65" s="118" t="s">
        <v>310</v>
      </c>
      <c r="B65" s="119">
        <f>4*1000000000/(6.28*IF(ISBLANK(B64),B63,B64)*1000*IF(ISBLANK(B59),B58,B59)*1000)</f>
        <v>1.0642317045267096</v>
      </c>
      <c r="C65" s="119">
        <f ca="1">1000000000/(6.28*IF(ISBLANK(B64),B63,B64)*1000*1.5*B61*1000)</f>
        <v>2.765308355805447</v>
      </c>
      <c r="D65" s="288" t="s">
        <v>17</v>
      </c>
      <c r="E65" s="290" t="s">
        <v>308</v>
      </c>
      <c r="F65" s="18"/>
      <c r="G65" s="18"/>
      <c r="H65" s="18"/>
      <c r="I65" s="55"/>
    </row>
    <row r="66" spans="1:9" ht="18" customHeight="1" thickBot="1">
      <c r="A66" s="115" t="s">
        <v>15</v>
      </c>
      <c r="B66" s="404">
        <f>IF(B62&gt;10*IF(ISBLANK(B59),B58,B59), MIN(1000000000000/(6.28*IF(ISBLANK(B64),B63,B64)*1000*7.5*IF(ISBLANK(B59),B58,B59)*1000),1000000000000/(6.28*IF(ISBLANK(B64),B63,B64)*1000*IF(ISBLANK(B26),B25,B26)*1000000/2)),
1000000000000/(6.28*IF(ISBLANK(B64),B63,B64)*1000*B62*1000))</f>
        <v>23.945213351850963</v>
      </c>
      <c r="C66" s="404"/>
      <c r="D66" s="331" t="s">
        <v>18</v>
      </c>
      <c r="E66" s="332" t="s">
        <v>309</v>
      </c>
      <c r="F66" s="61"/>
      <c r="G66" s="61"/>
      <c r="H66" s="61"/>
      <c r="I66" s="62"/>
    </row>
    <row r="67" spans="1:9">
      <c r="B67" s="5"/>
      <c r="C67" s="7"/>
    </row>
    <row r="68" spans="1:9">
      <c r="B68" s="8"/>
      <c r="C68" s="10"/>
    </row>
    <row r="87" spans="1:9">
      <c r="A87" s="381"/>
      <c r="B87" s="381"/>
      <c r="C87" s="381"/>
      <c r="D87" s="381"/>
      <c r="E87" s="381"/>
      <c r="F87" s="381"/>
      <c r="G87" s="381"/>
      <c r="H87" s="381"/>
      <c r="I87" s="381"/>
    </row>
  </sheetData>
  <sheetProtection password="83AF" sheet="1" objects="1" scenarios="1"/>
  <mergeCells count="43">
    <mergeCell ref="B34:C34"/>
    <mergeCell ref="B33:C33"/>
    <mergeCell ref="B64:C64"/>
    <mergeCell ref="B66:C66"/>
    <mergeCell ref="K41:M41"/>
    <mergeCell ref="K40:M40"/>
    <mergeCell ref="K42:M43"/>
    <mergeCell ref="B62:C62"/>
    <mergeCell ref="A87:I87"/>
    <mergeCell ref="B35:C35"/>
    <mergeCell ref="B36:C36"/>
    <mergeCell ref="B37:C37"/>
    <mergeCell ref="B38:C38"/>
    <mergeCell ref="B58:C58"/>
    <mergeCell ref="B59:C59"/>
    <mergeCell ref="B60:C60"/>
    <mergeCell ref="B61:C61"/>
    <mergeCell ref="A49:I49"/>
    <mergeCell ref="A52:I52"/>
    <mergeCell ref="A57:I57"/>
    <mergeCell ref="A41:I41"/>
    <mergeCell ref="B39:C39"/>
    <mergeCell ref="B40:C40"/>
    <mergeCell ref="B63:C63"/>
    <mergeCell ref="A1:I1"/>
    <mergeCell ref="A2:I2"/>
    <mergeCell ref="F3:I3"/>
    <mergeCell ref="F4:I4"/>
    <mergeCell ref="F5:I5"/>
    <mergeCell ref="F6:I6"/>
    <mergeCell ref="A24:I24"/>
    <mergeCell ref="A31:I31"/>
    <mergeCell ref="D15:I15"/>
    <mergeCell ref="F12:I12"/>
    <mergeCell ref="A14:I14"/>
    <mergeCell ref="F7:I7"/>
    <mergeCell ref="F8:I8"/>
    <mergeCell ref="F9:I9"/>
    <mergeCell ref="F10:I10"/>
    <mergeCell ref="A21:I21"/>
    <mergeCell ref="F11:I11"/>
    <mergeCell ref="F13:I13"/>
    <mergeCell ref="A16:I16"/>
  </mergeCells>
  <conditionalFormatting sqref="B40">
    <cfRule type="cellIs" dxfId="5" priority="4" operator="lessThan">
      <formula>0</formula>
    </cfRule>
    <cfRule type="cellIs" dxfId="4" priority="5" operator="lessThan">
      <formula>0</formula>
    </cfRule>
    <cfRule type="cellIs" dxfId="3" priority="6" operator="lessThan">
      <formula>0</formula>
    </cfRule>
  </conditionalFormatting>
  <conditionalFormatting sqref="B39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rintOptions horizontalCentered="1"/>
  <pageMargins left="0.7" right="0.7" top="0.75" bottom="0.75" header="0.3" footer="0.3"/>
  <pageSetup scale="76" fitToHeight="2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workbookViewId="0">
      <selection sqref="A1:I1"/>
    </sheetView>
  </sheetViews>
  <sheetFormatPr defaultRowHeight="15"/>
  <cols>
    <col min="1" max="1" width="20.7109375" customWidth="1"/>
    <col min="2" max="4" width="12.7109375" customWidth="1"/>
    <col min="5" max="6" width="15.7109375" customWidth="1"/>
  </cols>
  <sheetData>
    <row r="1" spans="1:11" ht="24" customHeight="1" thickBot="1">
      <c r="A1" s="372" t="s">
        <v>161</v>
      </c>
      <c r="B1" s="373"/>
      <c r="C1" s="373"/>
      <c r="D1" s="373"/>
      <c r="E1" s="373"/>
      <c r="F1" s="373"/>
      <c r="G1" s="373"/>
      <c r="H1" s="373"/>
      <c r="I1" s="374"/>
    </row>
    <row r="2" spans="1:11" ht="19.5" thickBot="1">
      <c r="A2" s="100" t="s">
        <v>132</v>
      </c>
      <c r="B2" s="52" t="s">
        <v>31</v>
      </c>
      <c r="C2" s="51" t="s">
        <v>32</v>
      </c>
      <c r="D2" s="52" t="s">
        <v>33</v>
      </c>
      <c r="E2" s="52" t="s">
        <v>34</v>
      </c>
      <c r="F2" s="375" t="s">
        <v>36</v>
      </c>
      <c r="G2" s="376"/>
      <c r="H2" s="376"/>
      <c r="I2" s="377"/>
    </row>
    <row r="3" spans="1:11" ht="18.75" thickBot="1">
      <c r="A3" s="53" t="s">
        <v>215</v>
      </c>
      <c r="B3" s="24" t="s">
        <v>22</v>
      </c>
      <c r="C3" s="23">
        <v>147</v>
      </c>
      <c r="D3" s="243" t="s">
        <v>22</v>
      </c>
      <c r="E3" s="157" t="s">
        <v>16</v>
      </c>
      <c r="F3" s="418" t="s">
        <v>212</v>
      </c>
      <c r="G3" s="419"/>
      <c r="H3" s="419"/>
      <c r="I3" s="420"/>
    </row>
    <row r="4" spans="1:11" ht="18.75" thickBot="1">
      <c r="A4" s="53" t="s">
        <v>218</v>
      </c>
      <c r="B4" s="14" t="s">
        <v>22</v>
      </c>
      <c r="C4" s="244">
        <f>1000000000/(C3*1000000)</f>
        <v>6.8027210884353737</v>
      </c>
      <c r="D4" s="14" t="s">
        <v>22</v>
      </c>
      <c r="E4" s="157" t="s">
        <v>4</v>
      </c>
      <c r="F4" s="165" t="s">
        <v>217</v>
      </c>
      <c r="G4" s="166"/>
      <c r="H4" s="166"/>
      <c r="I4" s="167"/>
    </row>
    <row r="5" spans="1:11" ht="18.75" thickBot="1">
      <c r="A5" s="159" t="s">
        <v>211</v>
      </c>
      <c r="B5" s="70" t="s">
        <v>22</v>
      </c>
      <c r="C5" s="71">
        <v>120</v>
      </c>
      <c r="D5" s="236" t="s">
        <v>22</v>
      </c>
      <c r="E5" s="73" t="s">
        <v>18</v>
      </c>
      <c r="F5" s="354" t="s">
        <v>213</v>
      </c>
      <c r="G5" s="355"/>
      <c r="H5" s="355"/>
      <c r="I5" s="356"/>
    </row>
    <row r="6" spans="1:11" ht="15.75" thickBot="1">
      <c r="A6" s="53" t="s">
        <v>226</v>
      </c>
      <c r="B6" s="24" t="s">
        <v>22</v>
      </c>
      <c r="C6" s="23">
        <v>50</v>
      </c>
      <c r="D6" s="243" t="s">
        <v>22</v>
      </c>
      <c r="E6" s="13" t="s">
        <v>18</v>
      </c>
      <c r="F6" s="421" t="s">
        <v>227</v>
      </c>
      <c r="G6" s="422"/>
      <c r="H6" s="422"/>
      <c r="I6" s="423"/>
    </row>
    <row r="7" spans="1:11" ht="18.75" thickBot="1">
      <c r="A7" s="169" t="s">
        <v>224</v>
      </c>
      <c r="B7" s="170" t="s">
        <v>22</v>
      </c>
      <c r="C7" s="268">
        <v>2.5</v>
      </c>
      <c r="D7" s="237" t="s">
        <v>22</v>
      </c>
      <c r="E7" s="158" t="s">
        <v>234</v>
      </c>
      <c r="F7" s="394" t="s">
        <v>223</v>
      </c>
      <c r="G7" s="395"/>
      <c r="H7" s="395"/>
      <c r="I7" s="396"/>
    </row>
    <row r="8" spans="1:11" ht="32.1" customHeight="1" thickBot="1">
      <c r="A8" s="415" t="s">
        <v>186</v>
      </c>
      <c r="B8" s="416"/>
      <c r="C8" s="416"/>
      <c r="D8" s="416"/>
      <c r="E8" s="416"/>
      <c r="F8" s="416"/>
      <c r="G8" s="416"/>
      <c r="H8" s="416"/>
      <c r="I8" s="417"/>
    </row>
    <row r="9" spans="1:11" ht="18" customHeight="1">
      <c r="A9" s="156" t="s">
        <v>30</v>
      </c>
      <c r="B9" s="101" t="s">
        <v>29</v>
      </c>
      <c r="C9" s="101" t="s">
        <v>34</v>
      </c>
      <c r="D9" s="360" t="s">
        <v>36</v>
      </c>
      <c r="E9" s="361"/>
      <c r="F9" s="361"/>
      <c r="G9" s="361"/>
      <c r="H9" s="361"/>
      <c r="I9" s="362"/>
    </row>
    <row r="10" spans="1:11" ht="15.75">
      <c r="A10" s="397" t="s">
        <v>210</v>
      </c>
      <c r="B10" s="398"/>
      <c r="C10" s="398"/>
      <c r="D10" s="398"/>
      <c r="E10" s="398"/>
      <c r="F10" s="398"/>
      <c r="G10" s="398"/>
      <c r="H10" s="398"/>
      <c r="I10" s="399"/>
    </row>
    <row r="11" spans="1:11" ht="18">
      <c r="A11" s="54" t="s">
        <v>214</v>
      </c>
      <c r="B11" s="17">
        <f>1000000000*(C4/1000000000)^2/(4*3.14^2*(C5/1000000000000+C6/1000000000000))</f>
        <v>6.9023522919202289</v>
      </c>
      <c r="C11" s="16" t="s">
        <v>28</v>
      </c>
      <c r="D11" s="21" t="s">
        <v>222</v>
      </c>
      <c r="E11" s="16"/>
      <c r="F11" s="18"/>
      <c r="G11" s="18"/>
      <c r="H11" s="18"/>
      <c r="I11" s="55"/>
    </row>
    <row r="12" spans="1:11" ht="18.75" thickBot="1">
      <c r="A12" s="54" t="s">
        <v>247</v>
      </c>
      <c r="B12" s="238">
        <f>SQRT(B11*0.000000001/(C5*0.000000000001+C6*0.000000000001))</f>
        <v>6.3719755418090793</v>
      </c>
      <c r="C12" s="239" t="s">
        <v>81</v>
      </c>
      <c r="D12" s="21" t="s">
        <v>220</v>
      </c>
      <c r="E12" s="122"/>
      <c r="F12" s="123"/>
      <c r="G12" s="123"/>
      <c r="H12" s="123"/>
      <c r="I12" s="124"/>
    </row>
    <row r="13" spans="1:11" ht="18.75" thickBot="1">
      <c r="A13" s="111" t="s">
        <v>250</v>
      </c>
      <c r="B13" s="242">
        <v>6.34</v>
      </c>
      <c r="C13" s="117" t="s">
        <v>81</v>
      </c>
      <c r="D13" s="21" t="s">
        <v>249</v>
      </c>
      <c r="E13" s="122"/>
      <c r="F13" s="123"/>
      <c r="G13" s="123"/>
      <c r="H13" s="123"/>
      <c r="I13" s="124"/>
    </row>
    <row r="14" spans="1:11" ht="18.75" thickBot="1">
      <c r="A14" s="54" t="s">
        <v>248</v>
      </c>
      <c r="B14" s="240">
        <f>1000000000000/C7*(C4/1000000000)/B13</f>
        <v>429.19375952273651</v>
      </c>
      <c r="C14" s="241" t="s">
        <v>18</v>
      </c>
      <c r="D14" s="21" t="s">
        <v>221</v>
      </c>
      <c r="E14" s="16"/>
      <c r="F14" s="18"/>
      <c r="G14" s="18"/>
      <c r="H14" s="18"/>
      <c r="I14" s="55"/>
    </row>
    <row r="15" spans="1:11" ht="18.75" thickBot="1">
      <c r="A15" s="111" t="s">
        <v>251</v>
      </c>
      <c r="B15" s="269">
        <v>470</v>
      </c>
      <c r="C15" s="113" t="s">
        <v>18</v>
      </c>
      <c r="D15" s="21" t="s">
        <v>268</v>
      </c>
      <c r="E15" s="16"/>
      <c r="F15" s="18"/>
      <c r="G15" s="18"/>
      <c r="H15" s="18"/>
      <c r="I15" s="55"/>
      <c r="K15" s="12"/>
    </row>
    <row r="16" spans="1:11" ht="18.75" thickBot="1">
      <c r="A16" s="162" t="s">
        <v>216</v>
      </c>
      <c r="B16" s="168">
        <f>1000*0.5*B15/1000000000000*Design!D4^2*IF(ISBLANK(Design!B26),Design!B25,Design!B26)*1000000</f>
        <v>14.217500000000001</v>
      </c>
      <c r="C16" s="163" t="s">
        <v>219</v>
      </c>
      <c r="D16" s="164" t="s">
        <v>225</v>
      </c>
      <c r="E16" s="160"/>
      <c r="F16" s="160"/>
      <c r="G16" s="160"/>
      <c r="H16" s="160"/>
      <c r="I16" s="161"/>
    </row>
    <row r="32" spans="3:3">
      <c r="C32" s="12" t="s">
        <v>233</v>
      </c>
    </row>
  </sheetData>
  <mergeCells count="9">
    <mergeCell ref="F7:I7"/>
    <mergeCell ref="A8:I8"/>
    <mergeCell ref="D9:I9"/>
    <mergeCell ref="A10:I10"/>
    <mergeCell ref="A1:I1"/>
    <mergeCell ref="F2:I2"/>
    <mergeCell ref="F3:I3"/>
    <mergeCell ref="F5:I5"/>
    <mergeCell ref="F6:I6"/>
  </mergeCells>
  <printOptions horizontalCentered="1"/>
  <pageMargins left="0.7" right="0.7" top="0.75" bottom="0.75" header="0.3" footer="0.3"/>
  <pageSetup scale="76" fitToHeight="2" orientation="portrait" horizontalDpi="4294967293" verticalDpi="0" r:id="rId1"/>
  <ignoredErrors>
    <ignoredError sqref="C4 B1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74"/>
  <sheetViews>
    <sheetView topLeftCell="A22" zoomScale="80" zoomScaleNormal="80" workbookViewId="0">
      <selection activeCell="N9" sqref="N9"/>
    </sheetView>
  </sheetViews>
  <sheetFormatPr defaultRowHeight="15"/>
  <cols>
    <col min="1" max="4" width="6.7109375" style="1" customWidth="1"/>
    <col min="5" max="20" width="6.7109375" style="178" customWidth="1"/>
    <col min="21" max="61" width="6.7109375" customWidth="1"/>
  </cols>
  <sheetData>
    <row r="1" spans="1:61" ht="24" customHeight="1" thickBot="1">
      <c r="A1" s="424" t="s">
        <v>174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425"/>
      <c r="AS1" s="425"/>
      <c r="AT1" s="425"/>
      <c r="AU1" s="425"/>
      <c r="AV1" s="425"/>
      <c r="AW1" s="425"/>
      <c r="AX1" s="425"/>
      <c r="AY1" s="425"/>
      <c r="AZ1" s="425"/>
      <c r="BA1" s="425"/>
      <c r="BB1" s="425"/>
      <c r="BC1" s="425"/>
      <c r="BD1" s="425"/>
      <c r="BE1" s="425"/>
      <c r="BF1" s="425"/>
      <c r="BG1" s="425"/>
      <c r="BH1" s="425"/>
      <c r="BI1" s="426"/>
    </row>
    <row r="2" spans="1:61" s="304" customFormat="1" ht="18" customHeight="1">
      <c r="A2" s="299"/>
      <c r="B2" s="300" t="s">
        <v>254</v>
      </c>
      <c r="C2" s="301">
        <f>Design!B4</f>
        <v>3.4</v>
      </c>
      <c r="D2" s="302"/>
      <c r="E2" s="302"/>
      <c r="F2" s="302" t="s">
        <v>275</v>
      </c>
      <c r="G2" s="302" t="s">
        <v>275</v>
      </c>
      <c r="H2" s="302" t="s">
        <v>276</v>
      </c>
      <c r="I2" s="302"/>
      <c r="J2" s="302"/>
      <c r="K2" s="302"/>
      <c r="L2" s="302"/>
      <c r="M2" s="302"/>
      <c r="N2" s="302"/>
      <c r="O2" s="302" t="s">
        <v>275</v>
      </c>
      <c r="P2" s="302" t="s">
        <v>276</v>
      </c>
      <c r="Q2" s="302"/>
      <c r="R2" s="302"/>
      <c r="S2" s="302"/>
      <c r="T2" s="302"/>
      <c r="U2" s="303"/>
      <c r="V2" s="300" t="s">
        <v>254</v>
      </c>
      <c r="W2" s="301">
        <f>Design!C4</f>
        <v>5</v>
      </c>
      <c r="X2" s="302"/>
      <c r="Y2" s="302"/>
      <c r="Z2" s="302" t="s">
        <v>275</v>
      </c>
      <c r="AA2" s="302" t="s">
        <v>275</v>
      </c>
      <c r="AB2" s="302" t="s">
        <v>276</v>
      </c>
      <c r="AC2" s="302"/>
      <c r="AD2" s="302"/>
      <c r="AE2" s="302"/>
      <c r="AF2" s="302"/>
      <c r="AG2" s="302"/>
      <c r="AH2" s="302"/>
      <c r="AI2" s="302" t="s">
        <v>275</v>
      </c>
      <c r="AJ2" s="302" t="s">
        <v>276</v>
      </c>
      <c r="AK2" s="302"/>
      <c r="AL2" s="302"/>
      <c r="AM2" s="302"/>
      <c r="AN2" s="302"/>
      <c r="AO2" s="303"/>
      <c r="AP2" s="300" t="s">
        <v>254</v>
      </c>
      <c r="AQ2" s="301">
        <f>Design!D4</f>
        <v>5.5</v>
      </c>
      <c r="AR2" s="302"/>
      <c r="AS2" s="302"/>
      <c r="AT2" s="302" t="s">
        <v>275</v>
      </c>
      <c r="AU2" s="302" t="s">
        <v>275</v>
      </c>
      <c r="AV2" s="302" t="s">
        <v>276</v>
      </c>
      <c r="AW2" s="302"/>
      <c r="AX2" s="302"/>
      <c r="AY2" s="302"/>
      <c r="AZ2" s="302"/>
      <c r="BA2" s="302"/>
      <c r="BB2" s="302"/>
      <c r="BC2" s="302" t="s">
        <v>275</v>
      </c>
      <c r="BD2" s="302" t="s">
        <v>276</v>
      </c>
      <c r="BE2" s="302"/>
      <c r="BF2" s="302"/>
      <c r="BG2" s="302"/>
      <c r="BH2" s="302"/>
      <c r="BI2" s="303"/>
    </row>
    <row r="3" spans="1:61" s="179" customFormat="1" thickBot="1">
      <c r="A3" s="235" t="s">
        <v>207</v>
      </c>
      <c r="B3" s="233" t="s">
        <v>95</v>
      </c>
      <c r="C3" s="223" t="s">
        <v>230</v>
      </c>
      <c r="D3" s="223" t="s">
        <v>231</v>
      </c>
      <c r="E3" s="223" t="s">
        <v>96</v>
      </c>
      <c r="F3" s="223" t="s">
        <v>282</v>
      </c>
      <c r="G3" s="223" t="s">
        <v>283</v>
      </c>
      <c r="H3" s="223" t="s">
        <v>283</v>
      </c>
      <c r="I3" s="223" t="s">
        <v>280</v>
      </c>
      <c r="J3" s="223" t="s">
        <v>274</v>
      </c>
      <c r="K3" s="223" t="s">
        <v>242</v>
      </c>
      <c r="L3" s="223" t="s">
        <v>244</v>
      </c>
      <c r="M3" s="223" t="s">
        <v>252</v>
      </c>
      <c r="N3" s="223" t="s">
        <v>265</v>
      </c>
      <c r="O3" s="223" t="s">
        <v>281</v>
      </c>
      <c r="P3" s="223" t="s">
        <v>281</v>
      </c>
      <c r="Q3" s="223" t="s">
        <v>238</v>
      </c>
      <c r="R3" s="223" t="s">
        <v>243</v>
      </c>
      <c r="S3" s="223" t="s">
        <v>245</v>
      </c>
      <c r="T3" s="223" t="s">
        <v>246</v>
      </c>
      <c r="U3" s="234" t="s">
        <v>236</v>
      </c>
      <c r="V3" s="233" t="s">
        <v>95</v>
      </c>
      <c r="W3" s="223" t="s">
        <v>230</v>
      </c>
      <c r="X3" s="223" t="s">
        <v>231</v>
      </c>
      <c r="Y3" s="223" t="s">
        <v>96</v>
      </c>
      <c r="Z3" s="223" t="s">
        <v>282</v>
      </c>
      <c r="AA3" s="223" t="s">
        <v>283</v>
      </c>
      <c r="AB3" s="223" t="s">
        <v>283</v>
      </c>
      <c r="AC3" s="223" t="s">
        <v>280</v>
      </c>
      <c r="AD3" s="223" t="s">
        <v>274</v>
      </c>
      <c r="AE3" s="223" t="s">
        <v>242</v>
      </c>
      <c r="AF3" s="223" t="s">
        <v>244</v>
      </c>
      <c r="AG3" s="223" t="s">
        <v>252</v>
      </c>
      <c r="AH3" s="223" t="s">
        <v>265</v>
      </c>
      <c r="AI3" s="223" t="s">
        <v>281</v>
      </c>
      <c r="AJ3" s="223" t="s">
        <v>281</v>
      </c>
      <c r="AK3" s="223" t="s">
        <v>238</v>
      </c>
      <c r="AL3" s="223" t="s">
        <v>243</v>
      </c>
      <c r="AM3" s="223" t="s">
        <v>245</v>
      </c>
      <c r="AN3" s="223" t="s">
        <v>246</v>
      </c>
      <c r="AO3" s="234" t="s">
        <v>236</v>
      </c>
      <c r="AP3" s="233" t="s">
        <v>95</v>
      </c>
      <c r="AQ3" s="223" t="s">
        <v>230</v>
      </c>
      <c r="AR3" s="223" t="s">
        <v>231</v>
      </c>
      <c r="AS3" s="223" t="s">
        <v>96</v>
      </c>
      <c r="AT3" s="223" t="s">
        <v>282</v>
      </c>
      <c r="AU3" s="223" t="s">
        <v>283</v>
      </c>
      <c r="AV3" s="223" t="s">
        <v>283</v>
      </c>
      <c r="AW3" s="223" t="s">
        <v>280</v>
      </c>
      <c r="AX3" s="223" t="s">
        <v>274</v>
      </c>
      <c r="AY3" s="223" t="s">
        <v>242</v>
      </c>
      <c r="AZ3" s="223" t="s">
        <v>244</v>
      </c>
      <c r="BA3" s="223" t="s">
        <v>252</v>
      </c>
      <c r="BB3" s="223" t="s">
        <v>265</v>
      </c>
      <c r="BC3" s="223" t="s">
        <v>281</v>
      </c>
      <c r="BD3" s="223" t="s">
        <v>281</v>
      </c>
      <c r="BE3" s="223" t="s">
        <v>238</v>
      </c>
      <c r="BF3" s="223" t="s">
        <v>243</v>
      </c>
      <c r="BG3" s="223" t="s">
        <v>245</v>
      </c>
      <c r="BH3" s="223" t="s">
        <v>246</v>
      </c>
      <c r="BI3" s="234" t="s">
        <v>236</v>
      </c>
    </row>
    <row r="4" spans="1:61" s="144" customFormat="1" ht="12.75" customHeight="1">
      <c r="A4" s="180">
        <v>25</v>
      </c>
      <c r="B4" s="335">
        <v>0.25</v>
      </c>
      <c r="C4" s="185">
        <f ca="1">IF( 100*(Design!$C$22+B4*(IF(ISBLANK(Design!$B$35),Constants!$C$6,Design!$B$35)/1000*(1+Constants!$C$36/100*(N4-25))+P4/1000))/($C$2-B4*O4/1000) &gt; Design!$C$29, Design!$C$29, 100*(Design!$C$22+B4*(IF(ISBLANK(Design!$B$35),Constants!$C$6,Design!$B$35)/1000*(1+Constants!$C$36/100*(N4-25))+P4/1000))/($C$2-B4*O4/1000) )</f>
        <v>53.729867251331797</v>
      </c>
      <c r="D4" s="184">
        <f ca="1">IF( ($C$2-B4*(IF(ISBLANK(Design!$B$35),Constants!$C$6,Design!$B$35)/1000*(1+Constants!$C$36/100*(N4-25))+P4/1000)-Design!$C$22) / (IF(ISBLANK(Design!$B$34),Design!$B$33,Design!$B$34)/1000000) * C4/100 / (IF(ISBLANK(Design!$B$26),Design!$B$25,Design!$B$26)*1000000) &lt; 0, 0, ($C$2-B4*(IF(ISBLANK(Design!$B$35),Constants!$C$6,Design!$B$35)/1000*(1+Constants!$C$36/100*(N4-25))+P4/1000)-Design!$C$22) / (IF(ISBLANK(Design!$B$34),Design!$B$33,Design!$B$34)/1000000) * C4/100 / (IF(ISBLANK(Design!$B$26),Design!$B$25,Design!$B$26)*1000000) )</f>
        <v>0.42560543627368425</v>
      </c>
      <c r="E4" s="184">
        <f>$C$2*Constants!$C$21/1000+IF(ISBLANK(Design!$B$26),Design!$B$25,Design!$B$26)*1000000*(Constants!$D$26+Constants!$D$27)/1000000000*$C$2</f>
        <v>3.8759999999999996E-2</v>
      </c>
      <c r="F4" s="184">
        <f>$C$2*B4*($C$2/(Constants!$C$28*1000000000)*IF(ISBLANK(Design!$B$26),Design!$B$25,Design!$B$26)*1000000/2+$C$2/(Constants!$C$29*1000000000)*IF(ISBLANK(Design!$B$26),Design!$B$25,Design!$B$26)*1000000/2)</f>
        <v>8.6699999999999989E-3</v>
      </c>
      <c r="G4" s="184">
        <f t="shared" ref="G4" ca="1" si="0">IF($C$74,1,C4/100*(B4^2+D4^2/12)*O4/1000)</f>
        <v>3.4318776372275024E-3</v>
      </c>
      <c r="H4" s="184">
        <f t="shared" ref="H4" ca="1" si="1">IF($C$74,1,(1-C4/100)*(B4^2+D4^2/12)*P4/1000)</f>
        <v>2.4012652851158893E-3</v>
      </c>
      <c r="I4" s="184">
        <f>2*B4*Constants!$C$20/1000000000*Constants!$C$25*IF(ISBLANK(Design!$B$26),Design!$B$25,Design!$B$26)*1000000</f>
        <v>8.9999999999999993E-3</v>
      </c>
      <c r="J4" s="184">
        <f>(Constants!$D$26+Constants!$D$27)/1000000000*$C$2*IF(ISBLANK(Design!$B$26),Design!$B$25,Design!$B$26)*1000000</f>
        <v>3.1959999999999988E-2</v>
      </c>
      <c r="K4" s="184">
        <f ca="1">SUM(E4:J4)</f>
        <v>9.4223142922343378E-2</v>
      </c>
      <c r="L4" s="184">
        <f ca="1">B4^2*IF(ISBLANK(Design!$B$35),Constants!$C$6,Design!$B$35)/1000*(1+(N4-25)*(Constants!$C$36/100))</f>
        <v>4.2619296872886469E-4</v>
      </c>
      <c r="M4" s="184">
        <f>0.5*Snubber!$B$15/1000000000000*$C$2^2*Design!$B$26*1000000</f>
        <v>5.4332E-3</v>
      </c>
      <c r="N4" s="185">
        <f ca="1">K4*Design!$C$12+$A4</f>
        <v>29.522710860272483</v>
      </c>
      <c r="O4" s="185">
        <f ca="1">Constants!$D$22+Constants!$D$22*Constants!$C$24/100*(N4-25)</f>
        <v>82.315627960459508</v>
      </c>
      <c r="P4" s="185">
        <f ca="1">Constants!$D$23+Constants!$D$23*Constants!$C$24/100*(N4-25)</f>
        <v>66.881447717873357</v>
      </c>
      <c r="Q4" s="184">
        <f ca="1">(1-Constants!$C$19/1000000000*Design!$B$26*1000000) * ($C$2-B4*O4/1000) - (B4*Design!$B$35/1000)</f>
        <v>3.0398039837088966</v>
      </c>
      <c r="R4" s="184">
        <f ca="1">IF(Q4&gt;Design!$C$22,Design!$C$22,Q4)</f>
        <v>1.7973333333333334</v>
      </c>
      <c r="S4" s="184">
        <f t="shared" ref="S4" ca="1" si="2">SUM(K4:M4)</f>
        <v>0.10008253589107224</v>
      </c>
      <c r="T4" s="184">
        <f t="shared" ref="T4" ca="1" si="3">R4*B4</f>
        <v>0.44933333333333336</v>
      </c>
      <c r="U4" s="336">
        <f t="shared" ref="U4" ca="1" si="4">100*T4/(T4+S4)</f>
        <v>81.78382869931373</v>
      </c>
      <c r="V4" s="341">
        <v>0.25</v>
      </c>
      <c r="W4" s="200">
        <f ca="1">IF( 100*(Design!$C$22+V4*(IF(ISBLANK(Design!$B$35),Constants!$C$6,Design!$B$35)/1000*(1+Constants!$C$36/100*(AH4-25))+AJ4/1000))/($W$2-V4*AI4/1000) &gt; Design!$C$29, Design!$C$29, 100*(Design!$C$22+V4*(IF(ISBLANK(Design!$B$35),Constants!$C$6,Design!$B$35)/1000*(1+Constants!$C$36/100*(AH4-25))+AJ4/1000))/($W$2-V4*AI4/1000) )</f>
        <v>36.471714603170376</v>
      </c>
      <c r="X4" s="199">
        <f ca="1">IF( ($C$2-V4*(IF(ISBLANK(Design!$B$35),Constants!$C$6,Design!$B$35)/1000*(1+Constants!$C$36/100*(AH4-25))+AJ4/1000)-Design!$C$22) / (IF(ISBLANK(Design!$B$34),Design!$B$33,Design!$B$34)/1000000) * W4/100 / (IF(ISBLANK(Design!$B$26),Design!$B$25,Design!$B$26)*1000000) &lt; 0, 0, ($C$2-V4*(IF(ISBLANK(Design!$B$35),Constants!$C$6,Design!$B$35)/1000*(1+Constants!$C$36/100*(AH4-25))+AJ4/1000)-Design!$C$22) / (IF(ISBLANK(Design!$B$34),Design!$B$33,Design!$B$34)/1000000) * W4/100 / (IF(ISBLANK(Design!$B$26),Design!$B$25,Design!$B$26)*1000000) )</f>
        <v>0.28885876421706846</v>
      </c>
      <c r="Y4" s="199">
        <f>$W$2*Constants!$C$21/1000+IF(ISBLANK(Design!$B$26),Design!$B$25,Design!$B$26)*1000000*(Constants!$D$26+Constants!$D$27)/1000000000*$W$2</f>
        <v>5.6999999999999995E-2</v>
      </c>
      <c r="Z4" s="199">
        <f>$W$2*V4*($W$2/(Constants!$C$28*1000000000)*IF(ISBLANK(Design!$B$26),Design!$B$25,Design!$B$26)*1000000/2+$W$2/(Constants!$C$29*1000000000)*IF(ISBLANK(Design!$B$26),Design!$B$25,Design!$B$26)*1000000/2)</f>
        <v>1.8749999999999999E-2</v>
      </c>
      <c r="AA4" s="199">
        <f ca="1">IF($C$74,1,W4/100*(V4^2+X4^2/12)*AI4/1000)</f>
        <v>2.111657549708771E-3</v>
      </c>
      <c r="AB4" s="199">
        <f ca="1">IF($C$74,1,(1-W4/100)*(V4^2+X4^2/12)*AJ4/1000)</f>
        <v>2.9885313252209582E-3</v>
      </c>
      <c r="AC4" s="199">
        <f>2*V4*Constants!$C$20/1000000000*Constants!$C$25*IF(ISBLANK(Design!$B$26),Design!$B$25,Design!$B$26)*1000000</f>
        <v>8.9999999999999993E-3</v>
      </c>
      <c r="AD4" s="199">
        <f>(Constants!$D$26+Constants!$D$27)/1000000000*$W$2*IF(ISBLANK(Design!$B$26),Design!$B$25,Design!$B$26)*1000000</f>
        <v>4.6999999999999993E-2</v>
      </c>
      <c r="AE4" s="199">
        <f ca="1">SUM(Y4:AD4)</f>
        <v>0.13685018887492972</v>
      </c>
      <c r="AF4" s="199">
        <f ca="1">V4^2*IF(ISBLANK(Design!$B$35),Constants!$C$6,Design!$B$35)/1000*(1+(AH4-25)*(Constants!$C$36/100))</f>
        <v>4.2956020696979731E-4</v>
      </c>
      <c r="AG4" s="199">
        <f>0.5*Snubber!$B$15/1000000000000*$W$2^2*Design!$B$26*1000000</f>
        <v>1.1750000000000002E-2</v>
      </c>
      <c r="AH4" s="200">
        <f ca="1">AE4*Design!$C$12+$A4</f>
        <v>31.568809065996625</v>
      </c>
      <c r="AI4" s="200">
        <f ca="1">Constants!$D$22+Constants!$D$22*Constants!$C$24/100*(AH4-25)</f>
        <v>83.363230241790276</v>
      </c>
      <c r="AJ4" s="200">
        <f ca="1">Constants!$D$23+Constants!$D$23*Constants!$C$24/100*(AH4-25)</f>
        <v>67.732624571454593</v>
      </c>
      <c r="AK4" s="199">
        <f ca="1">(1-Constants!$C$19/1000000000*Design!$B$26*1000000) * ($C$2-V4*AI4/1000) - (V4*Design!$B$35/1000)</f>
        <v>3.0395682731955969</v>
      </c>
      <c r="AL4" s="199">
        <f ca="1">IF(AK4&gt;Design!$C$22,Design!$C$22,AK4)</f>
        <v>1.7973333333333334</v>
      </c>
      <c r="AM4" s="199">
        <f t="shared" ref="AM4" ca="1" si="5">SUM(AE4:AG4)</f>
        <v>0.14902974908189953</v>
      </c>
      <c r="AN4" s="199">
        <f t="shared" ref="AN4" ca="1" si="6">AL4*V4</f>
        <v>0.44933333333333336</v>
      </c>
      <c r="AO4" s="342">
        <f t="shared" ref="AO4" ca="1" si="7">100*AN4/(AN4+AM4)</f>
        <v>75.093759380950488</v>
      </c>
      <c r="AP4" s="348">
        <v>0.25</v>
      </c>
      <c r="AQ4" s="214">
        <f ca="1">IF( 100*(Design!$C$22+AP4*(IF(ISBLANK(Design!$B$35),Constants!$C$6,Design!$B$35)/1000*(1+Constants!$C$36/100*(BB4-25))+BD4/1000))/($AQ$2-AP4*BC4/1000) &gt; Design!$C$29, Design!$C$29, 100*(Design!$C$22+AP4*(IF(ISBLANK(Design!$B$35),Constants!$C$6,Design!$B$35)/1000*(1+Constants!$C$36/100*(BB4-25))+BD4/1000))/($AQ$2-AP4*BC4/1000) )</f>
        <v>33.145649734943305</v>
      </c>
      <c r="AR4" s="213">
        <f ca="1">IF( ($AQ$2-AP4*(IF(ISBLANK(Design!$B$35),Constants!$C$6,Design!$B$35)/1000*(1+Constants!$C$36/100*(BB4-25))+BD4/1000)-Design!$C$22) / (IF(ISBLANK(Design!$B$34),Design!$B$33,Design!$B$34)/1000000) * AQ4/100 / (IF(ISBLANK(Design!$B$26),Design!$B$25,Design!$B$26)*1000000) &lt; 0, 0, ($AQ$2-AP4*(IF(ISBLANK(Design!$B$35),Constants!$C$6,Design!$B$35)/1000*(1+Constants!$C$36/100*(BB4-25))+BD4/1000)-Design!$C$22) / (IF(ISBLANK(Design!$B$34),Design!$B$33,Design!$B$34)/1000000) * AQ4/100 / (IF(ISBLANK(Design!$B$26),Design!$B$25,Design!$B$26)*1000000) )</f>
        <v>0.61053124323569286</v>
      </c>
      <c r="AS4" s="213">
        <f>$AQ$2*Constants!$C$21/1000+IF(ISBLANK(Design!$B$26),Design!$B$25,Design!$B$26)*1000000*(Constants!$D$26+Constants!$D$27)/1000000000*$AQ$2</f>
        <v>6.2699999999999992E-2</v>
      </c>
      <c r="AT4" s="213">
        <f>$AQ$2*AP4*($AQ$2/(Constants!$C$28*1000000000)*IF(ISBLANK(Design!$B$26),Design!$B$25,Design!$B$26)*1000000/2+$AQ$2/(Constants!$C$29*1000000000)*IF(ISBLANK(Design!$B$26),Design!$B$25,Design!$B$26)*1000000/2)</f>
        <v>2.2687499999999999E-2</v>
      </c>
      <c r="AU4" s="213">
        <f ca="1">IF($C$74,1,AQ4/100*(AP4^2+AR4^2/12)*BC4/1000)</f>
        <v>2.5975125459768325E-3</v>
      </c>
      <c r="AV4" s="213">
        <f ca="1">IF($C$74,1,(1-AQ4/100)*(AP4^2+AR4^2/12)*BD4/1000)</f>
        <v>4.2568089523412535E-3</v>
      </c>
      <c r="AW4" s="213">
        <f>2*AP4*Constants!$C$20/1000000000*Constants!$C$25*IF(ISBLANK(Design!$B$26),Design!$B$25,Design!$B$26)*1000000</f>
        <v>8.9999999999999993E-3</v>
      </c>
      <c r="AX4" s="213">
        <f>(Constants!$D$26+Constants!$D$27)/1000000000*$AQ$2*IF(ISBLANK(Design!$B$26),Design!$B$25,Design!$B$26)*1000000</f>
        <v>5.1699999999999996E-2</v>
      </c>
      <c r="AY4" s="213">
        <f ca="1">SUM(AS4:AX4)</f>
        <v>0.15294182149831806</v>
      </c>
      <c r="AZ4" s="213">
        <f ca="1">AP4^2*IF(ISBLANK(Design!$B$35),Constants!$C$6,Design!$B$35)/1000*(1+(BB4-25)*(Constants!$C$36/100))</f>
        <v>4.3083133330561668E-4</v>
      </c>
      <c r="BA4" s="213">
        <f>0.5*Snubber!$B$15/1000000000000*$AQ$2^2*Design!$B$26*1000000</f>
        <v>1.4217500000000001E-2</v>
      </c>
      <c r="BB4" s="214">
        <f ca="1">AY4*Design!$C$12+$A4</f>
        <v>32.341207431919266</v>
      </c>
      <c r="BC4" s="214">
        <f ca="1">Constants!$D$22+Constants!$D$22*Constants!$C$24/100*(BB4-25)</f>
        <v>83.758698205142665</v>
      </c>
      <c r="BD4" s="214">
        <f ca="1">Constants!$D$23+Constants!$D$23*Constants!$C$24/100*(BB4-25)</f>
        <v>68.05394229167841</v>
      </c>
      <c r="BE4" s="213">
        <f ca="1">(1-Constants!$C$19/1000000000*Design!$B$26*1000000) * ($AQ$2-AP4*BC4/1000) - (AP4*Design!$B$35/1000)</f>
        <v>4.929479292903844</v>
      </c>
      <c r="BF4" s="213">
        <f ca="1">IF(BE4&gt;Design!$C$22,Design!$C$22,BE4)</f>
        <v>1.7973333333333334</v>
      </c>
      <c r="BG4" s="213">
        <f t="shared" ref="BG4" ca="1" si="8">SUM(AY4:BA4)</f>
        <v>0.16759015283162368</v>
      </c>
      <c r="BH4" s="213">
        <f t="shared" ref="BH4" ca="1" si="9">BF4*AP4</f>
        <v>0.44933333333333336</v>
      </c>
      <c r="BI4" s="349">
        <f t="shared" ref="BI4" ca="1" si="10">100*BH4/(BH4+BG4)</f>
        <v>72.834531900636321</v>
      </c>
    </row>
    <row r="5" spans="1:61" s="144" customFormat="1" ht="12.75">
      <c r="A5" s="136">
        <v>25</v>
      </c>
      <c r="B5" s="337">
        <f>B4+0.25</f>
        <v>0.5</v>
      </c>
      <c r="C5" s="187">
        <f ca="1">IF( 100*(Design!$C$22+B5*(IF(ISBLANK(Design!$B$35),Constants!$C$6,Design!$B$35)/1000*(1+Constants!$C$36/100*(N5-25))+P5/1000))/($C$2-B5*O5/1000) &gt; Design!$C$29, Design!$C$29, 100*(Design!$C$22+B5*(IF(ISBLANK(Design!$B$35),Constants!$C$6,Design!$B$35)/1000*(1+Constants!$C$36/100*(N5-25))+P5/1000))/($C$2-B5*O5/1000) )</f>
        <v>54.624125042891841</v>
      </c>
      <c r="D5" s="186">
        <f ca="1">IF( ($C$2-B5*(IF(ISBLANK(Design!$B$35),Constants!$C$6,Design!$B$35)/1000*(1+Constants!$C$36/100*(N5-25))+P5/1000)-Design!$C$22) / (IF(ISBLANK(Design!$B$34),Design!$B$33,Design!$B$34)/1000000) * C5/100 / (IF(ISBLANK(Design!$B$26),Design!$B$25,Design!$B$26)*1000000) &lt; 0, 0, ($C$2-B5*(IF(ISBLANK(Design!$B$35),Constants!$C$6,Design!$B$35)/1000*(1+Constants!$C$36/100*(N5-25))+P5/1000)-Design!$C$22) / (IF(ISBLANK(Design!$B$34),Design!$B$33,Design!$B$34)/1000000) * C5/100 / (IF(ISBLANK(Design!$B$26),Design!$B$25,Design!$B$26)*1000000) )</f>
        <v>0.42756396302610322</v>
      </c>
      <c r="E5" s="186">
        <f>$C$2*Constants!$C$21/1000+IF(ISBLANK(Design!$B$26),Design!$B$25,Design!$B$26)*1000000*(Constants!$D$26+Constants!$D$27)/1000000000*$C$2</f>
        <v>3.8759999999999996E-2</v>
      </c>
      <c r="F5" s="186">
        <f>$C$2*B5*($C$2/(Constants!$C$28*1000000000)*IF(ISBLANK(Design!$B$26),Design!$B$25,Design!$B$26)*1000000/2+$C$2/(Constants!$C$29*1000000000)*IF(ISBLANK(Design!$B$26),Design!$B$25,Design!$B$26)*1000000/2)</f>
        <v>1.7339999999999998E-2</v>
      </c>
      <c r="G5" s="186">
        <f t="shared" ref="G5:G11" ca="1" si="11">IF($C$74,1,C5/100*(B5^2+D5^2/12)*O5/1000)</f>
        <v>1.20399941990589E-2</v>
      </c>
      <c r="H5" s="186">
        <f t="shared" ref="H5:H11" ca="1" si="12">IF($C$74,1,(1-C5/100)*(B5^2+D5^2/12)*P5/1000)</f>
        <v>8.126249757792069E-3</v>
      </c>
      <c r="I5" s="186">
        <f>2*B5*Constants!$C$20/1000000000*Constants!$C$25*IF(ISBLANK(Design!$B$26),Design!$B$25,Design!$B$26)*1000000</f>
        <v>1.7999999999999999E-2</v>
      </c>
      <c r="J5" s="186">
        <f>(Constants!$D$26+Constants!$D$27)/1000000000*$C$2*IF(ISBLANK(Design!$B$26),Design!$B$25,Design!$B$26)*1000000</f>
        <v>3.1959999999999988E-2</v>
      </c>
      <c r="K5" s="186">
        <f t="shared" ref="K5:K11" ca="1" si="13">SUM(E5:J5)</f>
        <v>0.12622624395685095</v>
      </c>
      <c r="L5" s="186">
        <f ca="1">B5^2*IF(ISBLANK(Design!$B$35),Constants!$C$6,Design!$B$35)/1000*(1+(N5-25)*(Constants!$C$36/100))</f>
        <v>1.7148839587555343E-3</v>
      </c>
      <c r="M5" s="186">
        <f>0.5*Snubber!$B$15/1000000000000*$C$2^2*Design!$B$26*1000000</f>
        <v>5.4332E-3</v>
      </c>
      <c r="N5" s="187">
        <f ca="1">K5*Design!$C$12+$A5</f>
        <v>31.058859709928846</v>
      </c>
      <c r="O5" s="187">
        <f ca="1">Constants!$D$22+Constants!$D$22*Constants!$C$24/100*(N5-25)</f>
        <v>83.102136171483565</v>
      </c>
      <c r="P5" s="187">
        <f ca="1">Constants!$D$23+Constants!$D$23*Constants!$C$24/100*(N5-25)</f>
        <v>67.520485639330403</v>
      </c>
      <c r="Q5" s="186">
        <f ca="1">(1-Constants!$C$19/1000000000*Design!$B$26*1000000) * ($C$2-B5*O5/1000) - (B5*Design!$B$35/1000)</f>
        <v>3.0192540387228322</v>
      </c>
      <c r="R5" s="186">
        <f ca="1">IF(Q5&gt;Design!$C$22,Design!$C$22,Q5)</f>
        <v>1.7973333333333334</v>
      </c>
      <c r="S5" s="186">
        <f t="shared" ref="S5:S11" ca="1" si="14">SUM(K5:M5)</f>
        <v>0.13337432791560649</v>
      </c>
      <c r="T5" s="186">
        <f t="shared" ref="T5:T11" ca="1" si="15">R5*B5</f>
        <v>0.89866666666666672</v>
      </c>
      <c r="U5" s="338">
        <f t="shared" ref="U5:U11" ca="1" si="16">100*T5/(T5+S5)</f>
        <v>87.076644375973572</v>
      </c>
      <c r="V5" s="343">
        <f>V4+0.25</f>
        <v>0.5</v>
      </c>
      <c r="W5" s="204">
        <f ca="1">IF( 100*(Design!$C$22+V5*(IF(ISBLANK(Design!$B$35),Constants!$C$6,Design!$B$35)/1000*(1+Constants!$C$36/100*(AH5-25))+AJ5/1000))/($W$2-V5*AI5/1000) &gt; Design!$C$29, Design!$C$29, 100*(Design!$C$22+V5*(IF(ISBLANK(Design!$B$35),Constants!$C$6,Design!$B$35)/1000*(1+Constants!$C$36/100*(AH5-25))+AJ5/1000))/($W$2-V5*AI5/1000) )</f>
        <v>37.013952795795014</v>
      </c>
      <c r="X5" s="203">
        <f ca="1">IF( ($C$2-V5*(IF(ISBLANK(Design!$B$35),Constants!$C$6,Design!$B$35)/1000*(1+Constants!$C$36/100*(AH5-25))+AJ5/1000)-Design!$C$22) / (IF(ISBLANK(Design!$B$34),Design!$B$33,Design!$B$34)/1000000) * W5/100 / (IF(ISBLANK(Design!$B$26),Design!$B$25,Design!$B$26)*1000000) &lt; 0, 0, ($C$2-V5*(IF(ISBLANK(Design!$B$35),Constants!$C$6,Design!$B$35)/1000*(1+Constants!$C$36/100*(AH5-25))+AJ5/1000)-Design!$C$22) / (IF(ISBLANK(Design!$B$34),Design!$B$33,Design!$B$34)/1000000) * W5/100 / (IF(ISBLANK(Design!$B$26),Design!$B$25,Design!$B$26)*1000000) )</f>
        <v>0.28961944572505272</v>
      </c>
      <c r="Y5" s="203">
        <f>$W$2*Constants!$C$21/1000+IF(ISBLANK(Design!$B$26),Design!$B$25,Design!$B$26)*1000000*(Constants!$D$26+Constants!$D$27)/1000000000*$W$2</f>
        <v>5.6999999999999995E-2</v>
      </c>
      <c r="Z5" s="203">
        <f>$W$2*V5*($W$2/(Constants!$C$28*1000000000)*IF(ISBLANK(Design!$B$26),Design!$B$25,Design!$B$26)*1000000/2+$W$2/(Constants!$C$29*1000000000)*IF(ISBLANK(Design!$B$26),Design!$B$25,Design!$B$26)*1000000/2)</f>
        <v>3.7499999999999999E-2</v>
      </c>
      <c r="AA5" s="203">
        <f t="shared" ref="AA5:AA11" ca="1" si="17">IF($C$74,1,W5/100*(V5^2+X5^2/12)*AI5/1000)</f>
        <v>8.0273492896441954E-3</v>
      </c>
      <c r="AB5" s="203">
        <f t="shared" ref="AB5:AB11" ca="1" si="18">IF($C$74,1,(1-W5/100)*(V5^2+X5^2/12)*AJ5/1000)</f>
        <v>1.1098758914190701E-2</v>
      </c>
      <c r="AC5" s="203">
        <f>2*V5*Constants!$C$20/1000000000*Constants!$C$25*IF(ISBLANK(Design!$B$26),Design!$B$25,Design!$B$26)*1000000</f>
        <v>1.7999999999999999E-2</v>
      </c>
      <c r="AD5" s="203">
        <f>(Constants!$D$26+Constants!$D$27)/1000000000*$W$2*IF(ISBLANK(Design!$B$26),Design!$B$25,Design!$B$26)*1000000</f>
        <v>4.6999999999999993E-2</v>
      </c>
      <c r="AE5" s="203">
        <f t="shared" ref="AE5:AE11" ca="1" si="19">SUM(Y5:AD5)</f>
        <v>0.17862610820383487</v>
      </c>
      <c r="AF5" s="203">
        <f ca="1">V5^2*IF(ISBLANK(Design!$B$35),Constants!$C$6,Design!$B$35)/1000*(1+(AH5-25)*(Constants!$C$36/100))</f>
        <v>1.7314408486613819E-3</v>
      </c>
      <c r="AG5" s="203">
        <f>0.5*Snubber!$B$15/1000000000000*$W$2^2*Design!$B$26*1000000</f>
        <v>1.1750000000000002E-2</v>
      </c>
      <c r="AH5" s="204">
        <f ca="1">AE5*Design!$C$12+$A5</f>
        <v>33.574053193784074</v>
      </c>
      <c r="AI5" s="204">
        <f ca="1">Constants!$D$22+Constants!$D$22*Constants!$C$24/100*(AH5-25)</f>
        <v>84.389915235217444</v>
      </c>
      <c r="AJ5" s="204">
        <f ca="1">Constants!$D$23+Constants!$D$23*Constants!$C$24/100*(AH5-25)</f>
        <v>68.566806128614175</v>
      </c>
      <c r="AK5" s="203">
        <f ca="1">(1-Constants!$C$19/1000000000*Design!$B$26*1000000) * ($C$2-V5*AI5/1000) - (V5*Design!$B$35/1000)</f>
        <v>3.0186745381441522</v>
      </c>
      <c r="AL5" s="203">
        <f ca="1">IF(AK5&gt;Design!$C$22,Design!$C$22,AK5)</f>
        <v>1.7973333333333334</v>
      </c>
      <c r="AM5" s="203">
        <f t="shared" ref="AM5:AM11" ca="1" si="20">SUM(AE5:AG5)</f>
        <v>0.19210754905249627</v>
      </c>
      <c r="AN5" s="203">
        <f t="shared" ref="AN5:AN11" ca="1" si="21">AL5*V5</f>
        <v>0.89866666666666672</v>
      </c>
      <c r="AO5" s="344">
        <f t="shared" ref="AO5:AO11" ca="1" si="22">100*AN5/(AN5+AM5)</f>
        <v>82.387963862362014</v>
      </c>
      <c r="AP5" s="350">
        <f>AP4+0.25</f>
        <v>0.5</v>
      </c>
      <c r="AQ5" s="218">
        <f ca="1">IF( 100*(Design!$C$22+AP5*(IF(ISBLANK(Design!$B$35),Constants!$C$6,Design!$B$35)/1000*(1+Constants!$C$36/100*(BB5-25))+BD5/1000))/($AQ$2-AP5*BC5/1000) &gt; Design!$C$29, Design!$C$29, 100*(Design!$C$22+AP5*(IF(ISBLANK(Design!$B$35),Constants!$C$6,Design!$B$35)/1000*(1+Constants!$C$36/100*(BB5-25))+BD5/1000))/($AQ$2-AP5*BC5/1000) )</f>
        <v>33.628459691014747</v>
      </c>
      <c r="AR5" s="217">
        <f ca="1">IF( ($AQ$2-AP5*(IF(ISBLANK(Design!$B$35),Constants!$C$6,Design!$B$35)/1000*(1+Constants!$C$36/100*(BB5-25))+BD5/1000)-Design!$C$22) / (IF(ISBLANK(Design!$B$34),Design!$B$33,Design!$B$34)/1000000) * AQ5/100 / (IF(ISBLANK(Design!$B$26),Design!$B$25,Design!$B$26)*1000000) &lt; 0, 0, ($AQ$2-AP5*(IF(ISBLANK(Design!$B$35),Constants!$C$6,Design!$B$35)/1000*(1+Constants!$C$36/100*(BB5-25))+BD5/1000)-Design!$C$22) / (IF(ISBLANK(Design!$B$34),Design!$B$33,Design!$B$34)/1000000) * AQ5/100 / (IF(ISBLANK(Design!$B$26),Design!$B$25,Design!$B$26)*1000000) )</f>
        <v>0.61619229329107239</v>
      </c>
      <c r="AS5" s="217">
        <f>$AQ$2*Constants!$C$21/1000+IF(ISBLANK(Design!$B$26),Design!$B$25,Design!$B$26)*1000000*(Constants!$D$26+Constants!$D$27)/1000000000*$AQ$2</f>
        <v>6.2699999999999992E-2</v>
      </c>
      <c r="AT5" s="217">
        <f>$AQ$2*AP5*($AQ$2/(Constants!$C$28*1000000000)*IF(ISBLANK(Design!$B$26),Design!$B$25,Design!$B$26)*1000000/2+$AQ$2/(Constants!$C$29*1000000000)*IF(ISBLANK(Design!$B$26),Design!$B$25,Design!$B$26)*1000000/2)</f>
        <v>4.5374999999999999E-2</v>
      </c>
      <c r="AU5" s="217">
        <f t="shared" ref="AU5:AU11" ca="1" si="23">IF($C$74,1,AQ5/100*(AP5^2+AR5^2/12)*BC5/1000)</f>
        <v>8.0394401000684727E-3</v>
      </c>
      <c r="AV5" s="217">
        <f t="shared" ref="AV5:AV11" ca="1" si="24">IF($C$74,1,(1-AQ5/100)*(AP5^2+AR5^2/12)*BD5/1000)</f>
        <v>1.2892112734197717E-2</v>
      </c>
      <c r="AW5" s="217">
        <f>2*AP5*Constants!$C$20/1000000000*Constants!$C$25*IF(ISBLANK(Design!$B$26),Design!$B$25,Design!$B$26)*1000000</f>
        <v>1.7999999999999999E-2</v>
      </c>
      <c r="AX5" s="217">
        <f>(Constants!$D$26+Constants!$D$27)/1000000000*$AQ$2*IF(ISBLANK(Design!$B$26),Design!$B$25,Design!$B$26)*1000000</f>
        <v>5.1699999999999996E-2</v>
      </c>
      <c r="AY5" s="217">
        <f t="shared" ref="AY5:AY11" ca="1" si="25">SUM(AS5:AX5)</f>
        <v>0.19870655283426616</v>
      </c>
      <c r="AZ5" s="217">
        <f ca="1">AP5^2*IF(ISBLANK(Design!$B$35),Constants!$C$6,Design!$B$35)/1000*(1+(BB5-25)*(Constants!$C$36/100))</f>
        <v>1.7377857069121488E-3</v>
      </c>
      <c r="BA5" s="217">
        <f>0.5*Snubber!$B$15/1000000000000*$AQ$2^2*Design!$B$26*1000000</f>
        <v>1.4217500000000001E-2</v>
      </c>
      <c r="BB5" s="218">
        <f ca="1">AY5*Design!$C$12+$A5</f>
        <v>34.537914536044774</v>
      </c>
      <c r="BC5" s="218">
        <f ca="1">Constants!$D$22+Constants!$D$22*Constants!$C$24/100*(BB5-25)</f>
        <v>84.883412242454924</v>
      </c>
      <c r="BD5" s="218">
        <f ca="1">Constants!$D$23+Constants!$D$23*Constants!$C$24/100*(BB5-25)</f>
        <v>68.96777244699463</v>
      </c>
      <c r="BE5" s="217">
        <f ca="1">(1-Constants!$C$19/1000000000*Design!$B$26*1000000) * ($AQ$2-AP5*BC5/1000) - (AP5*Design!$B$35/1000)</f>
        <v>4.9084524644908951</v>
      </c>
      <c r="BF5" s="217">
        <f ca="1">IF(BE5&gt;Design!$C$22,Design!$C$22,BE5)</f>
        <v>1.7973333333333334</v>
      </c>
      <c r="BG5" s="217">
        <f t="shared" ref="BG5:BG11" ca="1" si="26">SUM(AY5:BA5)</f>
        <v>0.21466183854117832</v>
      </c>
      <c r="BH5" s="217">
        <f t="shared" ref="BH5:BH11" ca="1" si="27">BF5*AP5</f>
        <v>0.89866666666666672</v>
      </c>
      <c r="BI5" s="351">
        <f t="shared" ref="BI5:BI11" ca="1" si="28">100*BH5/(BH5+BG5)</f>
        <v>80.718912923090613</v>
      </c>
    </row>
    <row r="6" spans="1:61" s="144" customFormat="1" ht="12.75">
      <c r="A6" s="136">
        <v>25</v>
      </c>
      <c r="B6" s="337">
        <f t="shared" ref="B6:B11" si="29">B5+0.25</f>
        <v>0.75</v>
      </c>
      <c r="C6" s="187">
        <f ca="1">IF( 100*(Design!$C$22+B6*(IF(ISBLANK(Design!$B$35),Constants!$C$6,Design!$B$35)/1000*(1+Constants!$C$36/100*(N6-25))+P6/1000))/($C$2-B6*O6/1000) &gt; Design!$C$29, Design!$C$29, 100*(Design!$C$22+B6*(IF(ISBLANK(Design!$B$35),Constants!$C$6,Design!$B$35)/1000*(1+Constants!$C$36/100*(N6-25))+P6/1000))/($C$2-B6*O6/1000) )</f>
        <v>55.554240429569738</v>
      </c>
      <c r="D6" s="186">
        <f ca="1">IF( ($C$2-B6*(IF(ISBLANK(Design!$B$35),Constants!$C$6,Design!$B$35)/1000*(1+Constants!$C$36/100*(N6-25))+P6/1000)-Design!$C$22) / (IF(ISBLANK(Design!$B$34),Design!$B$33,Design!$B$34)/1000000) * C6/100 / (IF(ISBLANK(Design!$B$26),Design!$B$25,Design!$B$26)*1000000) &lt; 0, 0, ($C$2-B6*(IF(ISBLANK(Design!$B$35),Constants!$C$6,Design!$B$35)/1000*(1+Constants!$C$36/100*(N6-25))+P6/1000)-Design!$C$22) / (IF(ISBLANK(Design!$B$34),Design!$B$33,Design!$B$34)/1000000) * C6/100 / (IF(ISBLANK(Design!$B$26),Design!$B$25,Design!$B$26)*1000000) )</f>
        <v>0.42949308312292028</v>
      </c>
      <c r="E6" s="186">
        <f>$C$2*Constants!$C$21/1000+IF(ISBLANK(Design!$B$26),Design!$B$25,Design!$B$26)*1000000*(Constants!$D$26+Constants!$D$27)/1000000000*$C$2</f>
        <v>3.8759999999999996E-2</v>
      </c>
      <c r="F6" s="186">
        <f>$C$2*B6*($C$2/(Constants!$C$28*1000000000)*IF(ISBLANK(Design!$B$26),Design!$B$25,Design!$B$26)*1000000/2+$C$2/(Constants!$C$29*1000000000)*IF(ISBLANK(Design!$B$26),Design!$B$25,Design!$B$26)*1000000/2)</f>
        <v>2.6009999999999995E-2</v>
      </c>
      <c r="G6" s="186">
        <f t="shared" ca="1" si="11"/>
        <v>2.7010413578693469E-2</v>
      </c>
      <c r="H6" s="186">
        <f t="shared" ca="1" si="12"/>
        <v>1.7557703967485537E-2</v>
      </c>
      <c r="I6" s="186">
        <f>2*B6*Constants!$C$20/1000000000*Constants!$C$25*IF(ISBLANK(Design!$B$26),Design!$B$25,Design!$B$26)*1000000</f>
        <v>2.6999999999999996E-2</v>
      </c>
      <c r="J6" s="186">
        <f>(Constants!$D$26+Constants!$D$27)/1000000000*$C$2*IF(ISBLANK(Design!$B$26),Design!$B$25,Design!$B$26)*1000000</f>
        <v>3.1959999999999988E-2</v>
      </c>
      <c r="K6" s="186">
        <f t="shared" ca="1" si="13"/>
        <v>0.16829811754617899</v>
      </c>
      <c r="L6" s="186">
        <f ca="1">B6^2*IF(ISBLANK(Design!$B$35),Constants!$C$6,Design!$B$35)/1000*(1+(N6-25)*(Constants!$C$36/100))</f>
        <v>3.8883993587939284E-3</v>
      </c>
      <c r="M6" s="186">
        <f>0.5*Snubber!$B$15/1000000000000*$C$2^2*Design!$B$26*1000000</f>
        <v>5.4332E-3</v>
      </c>
      <c r="N6" s="187">
        <f ca="1">K6*Design!$C$12+$A6</f>
        <v>33.078309642216595</v>
      </c>
      <c r="O6" s="187">
        <f ca="1">Constants!$D$22+Constants!$D$22*Constants!$C$24/100*(N6-25)</f>
        <v>84.136094536814895</v>
      </c>
      <c r="P6" s="187">
        <f ca="1">Constants!$D$23+Constants!$D$23*Constants!$C$24/100*(N6-25)</f>
        <v>68.360576811162105</v>
      </c>
      <c r="Q6" s="186">
        <f ca="1">(1-Constants!$C$19/1000000000*Design!$B$26*1000000) * ($C$2-B6*O6/1000) - (B6*Design!$B$35/1000)</f>
        <v>2.9981831361876501</v>
      </c>
      <c r="R6" s="186">
        <f ca="1">IF(Q6&gt;Design!$C$22,Design!$C$22,Q6)</f>
        <v>1.7973333333333334</v>
      </c>
      <c r="S6" s="186">
        <f t="shared" ca="1" si="14"/>
        <v>0.17761971690497291</v>
      </c>
      <c r="T6" s="186">
        <f t="shared" ca="1" si="15"/>
        <v>1.3480000000000001</v>
      </c>
      <c r="U6" s="338">
        <f t="shared" ca="1" si="16"/>
        <v>88.357536616968332</v>
      </c>
      <c r="V6" s="343">
        <f t="shared" ref="V6:V11" si="30">V5+0.25</f>
        <v>0.75</v>
      </c>
      <c r="W6" s="204">
        <f ca="1">IF( 100*(Design!$C$22+V6*(IF(ISBLANK(Design!$B$35),Constants!$C$6,Design!$B$35)/1000*(1+Constants!$C$36/100*(AH6-25))+AJ6/1000))/($W$2-V6*AI6/1000) &gt; Design!$C$29, Design!$C$29, 100*(Design!$C$22+V6*(IF(ISBLANK(Design!$B$35),Constants!$C$6,Design!$B$35)/1000*(1+Constants!$C$36/100*(AH6-25))+AJ6/1000))/($W$2-V6*AI6/1000) )</f>
        <v>37.578367648030529</v>
      </c>
      <c r="X6" s="203">
        <f ca="1">IF( ($C$2-V6*(IF(ISBLANK(Design!$B$35),Constants!$C$6,Design!$B$35)/1000*(1+Constants!$C$36/100*(AH6-25))+AJ6/1000)-Design!$C$22) / (IF(ISBLANK(Design!$B$34),Design!$B$33,Design!$B$34)/1000000) * W6/100 / (IF(ISBLANK(Design!$B$26),Design!$B$25,Design!$B$26)*1000000) &lt; 0, 0, ($C$2-V6*(IF(ISBLANK(Design!$B$35),Constants!$C$6,Design!$B$35)/1000*(1+Constants!$C$36/100*(AH6-25))+AJ6/1000)-Design!$C$22) / (IF(ISBLANK(Design!$B$34),Design!$B$33,Design!$B$34)/1000000) * W6/100 / (IF(ISBLANK(Design!$B$26),Design!$B$25,Design!$B$26)*1000000) )</f>
        <v>0.29033497360117488</v>
      </c>
      <c r="Y6" s="203">
        <f>$W$2*Constants!$C$21/1000+IF(ISBLANK(Design!$B$26),Design!$B$25,Design!$B$26)*1000000*(Constants!$D$26+Constants!$D$27)/1000000000*$W$2</f>
        <v>5.6999999999999995E-2</v>
      </c>
      <c r="Z6" s="203">
        <f>$W$2*V6*($W$2/(Constants!$C$28*1000000000)*IF(ISBLANK(Design!$B$26),Design!$B$25,Design!$B$26)*1000000/2+$W$2/(Constants!$C$29*1000000000)*IF(ISBLANK(Design!$B$26),Design!$B$25,Design!$B$26)*1000000/2)</f>
        <v>5.6249999999999994E-2</v>
      </c>
      <c r="AA6" s="203">
        <f t="shared" ca="1" si="17"/>
        <v>1.8332888236409807E-2</v>
      </c>
      <c r="AB6" s="203">
        <f t="shared" ca="1" si="18"/>
        <v>2.4742949624133075E-2</v>
      </c>
      <c r="AC6" s="203">
        <f>2*V6*Constants!$C$20/1000000000*Constants!$C$25*IF(ISBLANK(Design!$B$26),Design!$B$25,Design!$B$26)*1000000</f>
        <v>2.6999999999999996E-2</v>
      </c>
      <c r="AD6" s="203">
        <f>(Constants!$D$26+Constants!$D$27)/1000000000*$W$2*IF(ISBLANK(Design!$B$26),Design!$B$25,Design!$B$26)*1000000</f>
        <v>4.6999999999999993E-2</v>
      </c>
      <c r="AE6" s="203">
        <f t="shared" ca="1" si="19"/>
        <v>0.23032583786054284</v>
      </c>
      <c r="AF6" s="203">
        <f ca="1">V6^2*IF(ISBLANK(Design!$B$35),Constants!$C$6,Design!$B$35)/1000*(1+(AH6-25)*(Constants!$C$36/100))</f>
        <v>3.932497160191061E-3</v>
      </c>
      <c r="AG6" s="203">
        <f>0.5*Snubber!$B$15/1000000000000*$W$2^2*Design!$B$26*1000000</f>
        <v>1.1750000000000002E-2</v>
      </c>
      <c r="AH6" s="204">
        <f ca="1">AE6*Design!$C$12+$A6</f>
        <v>36.055640217306056</v>
      </c>
      <c r="AI6" s="204">
        <f ca="1">Constants!$D$22+Constants!$D$22*Constants!$C$24/100*(AH6-25)</f>
        <v>85.660487791260707</v>
      </c>
      <c r="AJ6" s="204">
        <f ca="1">Constants!$D$23+Constants!$D$23*Constants!$C$24/100*(AH6-25)</f>
        <v>69.599146330399321</v>
      </c>
      <c r="AK6" s="203">
        <f ca="1">(1-Constants!$C$19/1000000000*Design!$B$26*1000000) * ($C$2-V6*AI6/1000) - (V6*Design!$B$35/1000)</f>
        <v>2.9971541707408993</v>
      </c>
      <c r="AL6" s="203">
        <f ca="1">IF(AK6&gt;Design!$C$22,Design!$C$22,AK6)</f>
        <v>1.7973333333333334</v>
      </c>
      <c r="AM6" s="203">
        <f t="shared" ca="1" si="20"/>
        <v>0.24600833502073391</v>
      </c>
      <c r="AN6" s="203">
        <f t="shared" ca="1" si="21"/>
        <v>1.3480000000000001</v>
      </c>
      <c r="AO6" s="344">
        <f t="shared" ca="1" si="22"/>
        <v>84.566684526305579</v>
      </c>
      <c r="AP6" s="350">
        <f t="shared" ref="AP6:AP11" si="31">AP5+0.25</f>
        <v>0.75</v>
      </c>
      <c r="AQ6" s="218">
        <f ca="1">IF( 100*(Design!$C$22+AP6*(IF(ISBLANK(Design!$B$35),Constants!$C$6,Design!$B$35)/1000*(1+Constants!$C$36/100*(BB6-25))+BD6/1000))/($AQ$2-AP6*BC6/1000) &gt; Design!$C$29, Design!$C$29, 100*(Design!$C$22+AP6*(IF(ISBLANK(Design!$B$35),Constants!$C$6,Design!$B$35)/1000*(1+Constants!$C$36/100*(BB6-25))+BD6/1000))/($AQ$2-AP6*BC6/1000) )</f>
        <v>34.131625065511862</v>
      </c>
      <c r="AR6" s="217">
        <f ca="1">IF( ($AQ$2-AP6*(IF(ISBLANK(Design!$B$35),Constants!$C$6,Design!$B$35)/1000*(1+Constants!$C$36/100*(BB6-25))+BD6/1000)-Design!$C$22) / (IF(ISBLANK(Design!$B$34),Design!$B$33,Design!$B$34)/1000000) * AQ6/100 / (IF(ISBLANK(Design!$B$26),Design!$B$25,Design!$B$26)*1000000) &lt; 0, 0, ($AQ$2-AP6*(IF(ISBLANK(Design!$B$35),Constants!$C$6,Design!$B$35)/1000*(1+Constants!$C$36/100*(BB6-25))+BD6/1000)-Design!$C$22) / (IF(ISBLANK(Design!$B$34),Design!$B$33,Design!$B$34)/1000000) * AQ6/100 / (IF(ISBLANK(Design!$B$26),Design!$B$25,Design!$B$26)*1000000) )</f>
        <v>0.62202159927564371</v>
      </c>
      <c r="AS6" s="217">
        <f>$AQ$2*Constants!$C$21/1000+IF(ISBLANK(Design!$B$26),Design!$B$25,Design!$B$26)*1000000*(Constants!$D$26+Constants!$D$27)/1000000000*$AQ$2</f>
        <v>6.2699999999999992E-2</v>
      </c>
      <c r="AT6" s="217">
        <f>$AQ$2*AP6*($AQ$2/(Constants!$C$28*1000000000)*IF(ISBLANK(Design!$B$26),Design!$B$25,Design!$B$26)*1000000/2+$AQ$2/(Constants!$C$29*1000000000)*IF(ISBLANK(Design!$B$26),Design!$B$25,Design!$B$26)*1000000/2)</f>
        <v>6.8062499999999998E-2</v>
      </c>
      <c r="AU6" s="217">
        <f t="shared" ca="1" si="23"/>
        <v>1.7508904015472584E-2</v>
      </c>
      <c r="AV6" s="217">
        <f t="shared" ca="1" si="24"/>
        <v>2.7453790432999614E-2</v>
      </c>
      <c r="AW6" s="217">
        <f>2*AP6*Constants!$C$20/1000000000*Constants!$C$25*IF(ISBLANK(Design!$B$26),Design!$B$25,Design!$B$26)*1000000</f>
        <v>2.6999999999999996E-2</v>
      </c>
      <c r="AX6" s="217">
        <f>(Constants!$D$26+Constants!$D$27)/1000000000*$AQ$2*IF(ISBLANK(Design!$B$26),Design!$B$25,Design!$B$26)*1000000</f>
        <v>5.1699999999999996E-2</v>
      </c>
      <c r="AY6" s="217">
        <f t="shared" ca="1" si="25"/>
        <v>0.25442519444847222</v>
      </c>
      <c r="AZ6" s="217">
        <f ca="1">AP6^2*IF(ISBLANK(Design!$B$35),Constants!$C$6,Design!$B$35)/1000*(1+(BB6-25)*(Constants!$C$36/100))</f>
        <v>3.9496302844656142E-3</v>
      </c>
      <c r="BA6" s="217">
        <f>0.5*Snubber!$B$15/1000000000000*$AQ$2^2*Design!$B$26*1000000</f>
        <v>1.4217500000000001E-2</v>
      </c>
      <c r="BB6" s="218">
        <f ca="1">AY6*Design!$C$12+$A6</f>
        <v>37.212409333526665</v>
      </c>
      <c r="BC6" s="218">
        <f ca="1">Constants!$D$22+Constants!$D$22*Constants!$C$24/100*(BB6-25)</f>
        <v>86.252753578765649</v>
      </c>
      <c r="BD6" s="218">
        <f ca="1">Constants!$D$23+Constants!$D$23*Constants!$C$24/100*(BB6-25)</f>
        <v>70.080362282747089</v>
      </c>
      <c r="BE6" s="217">
        <f ca="1">(1-Constants!$C$19/1000000000*Design!$B$26*1000000) * ($AQ$2-AP6*BC6/1000) - (AP6*Design!$B$35/1000)</f>
        <v>4.8867543913343336</v>
      </c>
      <c r="BF6" s="217">
        <f ca="1">IF(BE6&gt;Design!$C$22,Design!$C$22,BE6)</f>
        <v>1.7973333333333334</v>
      </c>
      <c r="BG6" s="217">
        <f t="shared" ca="1" si="26"/>
        <v>0.27259232473293782</v>
      </c>
      <c r="BH6" s="217">
        <f t="shared" ca="1" si="27"/>
        <v>1.3480000000000001</v>
      </c>
      <c r="BI6" s="351">
        <f t="shared" ca="1" si="28"/>
        <v>83.179463423791105</v>
      </c>
    </row>
    <row r="7" spans="1:61" s="144" customFormat="1" ht="12.75">
      <c r="A7" s="136">
        <v>25</v>
      </c>
      <c r="B7" s="337">
        <f t="shared" si="29"/>
        <v>1</v>
      </c>
      <c r="C7" s="187">
        <f ca="1">IF( 100*(Design!$C$22+B7*(IF(ISBLANK(Design!$B$35),Constants!$C$6,Design!$B$35)/1000*(1+Constants!$C$36/100*(N7-25))+P7/1000))/($C$2-B7*O7/1000) &gt; Design!$C$29, Design!$C$29, 100*(Design!$C$22+B7*(IF(ISBLANK(Design!$B$35),Constants!$C$6,Design!$B$35)/1000*(1+Constants!$C$36/100*(N7-25))+P7/1000))/($C$2-B7*O7/1000) )</f>
        <v>56.530089027076222</v>
      </c>
      <c r="D7" s="186">
        <f ca="1">IF( ($C$2-B7*(IF(ISBLANK(Design!$B$35),Constants!$C$6,Design!$B$35)/1000*(1+Constants!$C$36/100*(N7-25))+P7/1000)-Design!$C$22) / (IF(ISBLANK(Design!$B$34),Design!$B$33,Design!$B$34)/1000000) * C7/100 / (IF(ISBLANK(Design!$B$26),Design!$B$25,Design!$B$26)*1000000) &lt; 0, 0, ($C$2-B7*(IF(ISBLANK(Design!$B$35),Constants!$C$6,Design!$B$35)/1000*(1+Constants!$C$36/100*(N7-25))+P7/1000)-Design!$C$22) / (IF(ISBLANK(Design!$B$34),Design!$B$33,Design!$B$34)/1000000) * C7/100 / (IF(ISBLANK(Design!$B$26),Design!$B$25,Design!$B$26)*1000000) )</f>
        <v>0.43140162146397004</v>
      </c>
      <c r="E7" s="186">
        <f>$C$2*Constants!$C$21/1000+IF(ISBLANK(Design!$B$26),Design!$B$25,Design!$B$26)*1000000*(Constants!$D$26+Constants!$D$27)/1000000000*$C$2</f>
        <v>3.8759999999999996E-2</v>
      </c>
      <c r="F7" s="186">
        <f>$C$2*B7*($C$2/(Constants!$C$28*1000000000)*IF(ISBLANK(Design!$B$26),Design!$B$25,Design!$B$26)*1000000/2+$C$2/(Constants!$C$29*1000000000)*IF(ISBLANK(Design!$B$26),Design!$B$25,Design!$B$26)*1000000/2)</f>
        <v>3.4679999999999996E-2</v>
      </c>
      <c r="G7" s="186">
        <f t="shared" ca="1" si="11"/>
        <v>4.904461131230433E-2</v>
      </c>
      <c r="H7" s="186">
        <f t="shared" ca="1" si="12"/>
        <v>3.0642468477653152E-2</v>
      </c>
      <c r="I7" s="186">
        <f>2*B7*Constants!$C$20/1000000000*Constants!$C$25*IF(ISBLANK(Design!$B$26),Design!$B$25,Design!$B$26)*1000000</f>
        <v>3.5999999999999997E-2</v>
      </c>
      <c r="J7" s="186">
        <f>(Constants!$D$26+Constants!$D$27)/1000000000*$C$2*IF(ISBLANK(Design!$B$26),Design!$B$25,Design!$B$26)*1000000</f>
        <v>3.1959999999999988E-2</v>
      </c>
      <c r="K7" s="186">
        <f t="shared" ca="1" si="13"/>
        <v>0.22108707978995745</v>
      </c>
      <c r="L7" s="186">
        <f ca="1">B7^2*IF(ISBLANK(Design!$B$35),Constants!$C$6,Design!$B$35)/1000*(1+(N7-25)*(Constants!$C$36/100))</f>
        <v>6.9794293071015695E-3</v>
      </c>
      <c r="M7" s="186">
        <f>0.5*Snubber!$B$15/1000000000000*$C$2^2*Design!$B$26*1000000</f>
        <v>5.4332E-3</v>
      </c>
      <c r="N7" s="187">
        <f ca="1">K7*Design!$C$12+$A7</f>
        <v>35.612179829917956</v>
      </c>
      <c r="O7" s="187">
        <f ca="1">Constants!$D$22+Constants!$D$22*Constants!$C$24/100*(N7-25)</f>
        <v>85.433436072917999</v>
      </c>
      <c r="P7" s="187">
        <f ca="1">Constants!$D$23+Constants!$D$23*Constants!$C$24/100*(N7-25)</f>
        <v>69.414666809245873</v>
      </c>
      <c r="Q7" s="186">
        <f ca="1">(1-Constants!$C$19/1000000000*Design!$B$26*1000000) * ($C$2-B7*O7/1000) - (B7*Design!$B$35/1000)</f>
        <v>2.9764099075343742</v>
      </c>
      <c r="R7" s="186">
        <f ca="1">IF(Q7&gt;Design!$C$22,Design!$C$22,Q7)</f>
        <v>1.7973333333333334</v>
      </c>
      <c r="S7" s="186">
        <f t="shared" ca="1" si="14"/>
        <v>0.23349970909705903</v>
      </c>
      <c r="T7" s="186">
        <f t="shared" ca="1" si="15"/>
        <v>1.7973333333333334</v>
      </c>
      <c r="U7" s="338">
        <f t="shared" ca="1" si="16"/>
        <v>88.502269550547638</v>
      </c>
      <c r="V7" s="343">
        <f t="shared" si="30"/>
        <v>1</v>
      </c>
      <c r="W7" s="204">
        <f ca="1">IF( 100*(Design!$C$22+V7*(IF(ISBLANK(Design!$B$35),Constants!$C$6,Design!$B$35)/1000*(1+Constants!$C$36/100*(AH7-25))+AJ7/1000))/($W$2-V7*AI7/1000) &gt; Design!$C$29, Design!$C$29, 100*(Design!$C$22+V7*(IF(ISBLANK(Design!$B$35),Constants!$C$6,Design!$B$35)/1000*(1+Constants!$C$36/100*(AH7-25))+AJ7/1000))/($W$2-V7*AI7/1000) )</f>
        <v>38.170557822030275</v>
      </c>
      <c r="X7" s="203">
        <f ca="1">IF( ($C$2-V7*(IF(ISBLANK(Design!$B$35),Constants!$C$6,Design!$B$35)/1000*(1+Constants!$C$36/100*(AH7-25))+AJ7/1000)-Design!$C$22) / (IF(ISBLANK(Design!$B$34),Design!$B$33,Design!$B$34)/1000000) * W7/100 / (IF(ISBLANK(Design!$B$26),Design!$B$25,Design!$B$26)*1000000) &lt; 0, 0, ($C$2-V7*(IF(ISBLANK(Design!$B$35),Constants!$C$6,Design!$B$35)/1000*(1+Constants!$C$36/100*(AH7-25))+AJ7/1000)-Design!$C$22) / (IF(ISBLANK(Design!$B$34),Design!$B$33,Design!$B$34)/1000000) * W7/100 / (IF(ISBLANK(Design!$B$26),Design!$B$25,Design!$B$26)*1000000) )</f>
        <v>0.29100348367510409</v>
      </c>
      <c r="Y7" s="203">
        <f>$W$2*Constants!$C$21/1000+IF(ISBLANK(Design!$B$26),Design!$B$25,Design!$B$26)*1000000*(Constants!$D$26+Constants!$D$27)/1000000000*$W$2</f>
        <v>5.6999999999999995E-2</v>
      </c>
      <c r="Z7" s="203">
        <f>$W$2*V7*($W$2/(Constants!$C$28*1000000000)*IF(ISBLANK(Design!$B$26),Design!$B$25,Design!$B$26)*1000000/2+$W$2/(Constants!$C$29*1000000000)*IF(ISBLANK(Design!$B$26),Design!$B$25,Design!$B$26)*1000000/2)</f>
        <v>7.4999999999999997E-2</v>
      </c>
      <c r="AA7" s="203">
        <f t="shared" ca="1" si="17"/>
        <v>3.3516389706792819E-2</v>
      </c>
      <c r="AB7" s="203">
        <f t="shared" ca="1" si="18"/>
        <v>4.4111052747910301E-2</v>
      </c>
      <c r="AC7" s="203">
        <f>2*V7*Constants!$C$20/1000000000*Constants!$C$25*IF(ISBLANK(Design!$B$26),Design!$B$25,Design!$B$26)*1000000</f>
        <v>3.5999999999999997E-2</v>
      </c>
      <c r="AD7" s="203">
        <f>(Constants!$D$26+Constants!$D$27)/1000000000*$W$2*IF(ISBLANK(Design!$B$26),Design!$B$25,Design!$B$26)*1000000</f>
        <v>4.6999999999999993E-2</v>
      </c>
      <c r="AE7" s="203">
        <f t="shared" ca="1" si="19"/>
        <v>0.29262744245470312</v>
      </c>
      <c r="AF7" s="203">
        <f ca="1">V7^2*IF(ISBLANK(Design!$B$35),Constants!$C$6,Design!$B$35)/1000*(1+(AH7-25)*(Constants!$C$36/100))</f>
        <v>7.0698483129891894E-3</v>
      </c>
      <c r="AG7" s="203">
        <f>0.5*Snubber!$B$15/1000000000000*$W$2^2*Design!$B$26*1000000</f>
        <v>1.1750000000000002E-2</v>
      </c>
      <c r="AH7" s="204">
        <f ca="1">AE7*Design!$C$12+$A7</f>
        <v>39.046117237825754</v>
      </c>
      <c r="AI7" s="204">
        <f ca="1">Constants!$D$22+Constants!$D$22*Constants!$C$24/100*(AH7-25)</f>
        <v>87.191612025766787</v>
      </c>
      <c r="AJ7" s="204">
        <f ca="1">Constants!$D$23+Constants!$D$23*Constants!$C$24/100*(AH7-25)</f>
        <v>70.843184770935508</v>
      </c>
      <c r="AK7" s="203">
        <f ca="1">(1-Constants!$C$19/1000000000*Design!$B$26*1000000) * ($C$2-V7*AI7/1000) - (V7*Design!$B$35/1000)</f>
        <v>2.9748275491768101</v>
      </c>
      <c r="AL7" s="203">
        <f ca="1">IF(AK7&gt;Design!$C$22,Design!$C$22,AK7)</f>
        <v>1.7973333333333334</v>
      </c>
      <c r="AM7" s="203">
        <f t="shared" ca="1" si="20"/>
        <v>0.31144729076769229</v>
      </c>
      <c r="AN7" s="203">
        <f t="shared" ca="1" si="21"/>
        <v>1.7973333333333334</v>
      </c>
      <c r="AO7" s="344">
        <f t="shared" ca="1" si="22"/>
        <v>85.230929798567246</v>
      </c>
      <c r="AP7" s="350">
        <f t="shared" si="31"/>
        <v>1</v>
      </c>
      <c r="AQ7" s="218">
        <f ca="1">IF( 100*(Design!$C$22+AP7*(IF(ISBLANK(Design!$B$35),Constants!$C$6,Design!$B$35)/1000*(1+Constants!$C$36/100*(BB7-25))+BD7/1000))/($AQ$2-AP7*BC7/1000) &gt; Design!$C$29, Design!$C$29, 100*(Design!$C$22+AP7*(IF(ISBLANK(Design!$B$35),Constants!$C$6,Design!$B$35)/1000*(1+Constants!$C$36/100*(BB7-25))+BD7/1000))/($AQ$2-AP7*BC7/1000) )</f>
        <v>34.660095633491558</v>
      </c>
      <c r="AR7" s="217">
        <f ca="1">IF( ($AQ$2-AP7*(IF(ISBLANK(Design!$B$35),Constants!$C$6,Design!$B$35)/1000*(1+Constants!$C$36/100*(BB7-25))+BD7/1000)-Design!$C$22) / (IF(ISBLANK(Design!$B$34),Design!$B$33,Design!$B$34)/1000000) * AQ7/100 / (IF(ISBLANK(Design!$B$26),Design!$B$25,Design!$B$26)*1000000) &lt; 0, 0, ($AQ$2-AP7*(IF(ISBLANK(Design!$B$35),Constants!$C$6,Design!$B$35)/1000*(1+Constants!$C$36/100*(BB7-25))+BD7/1000)-Design!$C$22) / (IF(ISBLANK(Design!$B$34),Design!$B$33,Design!$B$34)/1000000) * AQ7/100 / (IF(ISBLANK(Design!$B$26),Design!$B$25,Design!$B$26)*1000000) )</f>
        <v>0.62806786907166434</v>
      </c>
      <c r="AS7" s="217">
        <f>$AQ$2*Constants!$C$21/1000+IF(ISBLANK(Design!$B$26),Design!$B$25,Design!$B$26)*1000000*(Constants!$D$26+Constants!$D$27)/1000000000*$AQ$2</f>
        <v>6.2699999999999992E-2</v>
      </c>
      <c r="AT7" s="217">
        <f>$AQ$2*AP7*($AQ$2/(Constants!$C$28*1000000000)*IF(ISBLANK(Design!$B$26),Design!$B$25,Design!$B$26)*1000000/2+$AQ$2/(Constants!$C$29*1000000000)*IF(ISBLANK(Design!$B$26),Design!$B$25,Design!$B$26)*1000000/2)</f>
        <v>9.0749999999999997E-2</v>
      </c>
      <c r="AU7" s="217">
        <f t="shared" ca="1" si="23"/>
        <v>3.1462007553280123E-2</v>
      </c>
      <c r="AV7" s="217">
        <f t="shared" ca="1" si="24"/>
        <v>4.8190178887234772E-2</v>
      </c>
      <c r="AW7" s="217">
        <f>2*AP7*Constants!$C$20/1000000000*Constants!$C$25*IF(ISBLANK(Design!$B$26),Design!$B$25,Design!$B$26)*1000000</f>
        <v>3.5999999999999997E-2</v>
      </c>
      <c r="AX7" s="217">
        <f>(Constants!$D$26+Constants!$D$27)/1000000000*$AQ$2*IF(ISBLANK(Design!$B$26),Design!$B$25,Design!$B$26)*1000000</f>
        <v>5.1699999999999996E-2</v>
      </c>
      <c r="AY7" s="217">
        <f t="shared" ca="1" si="25"/>
        <v>0.32080218644051484</v>
      </c>
      <c r="AZ7" s="217">
        <f ca="1">AP7^2*IF(ISBLANK(Design!$B$35),Constants!$C$6,Design!$B$35)/1000*(1+(BB7-25)*(Constants!$C$36/100))</f>
        <v>7.1054580338159295E-3</v>
      </c>
      <c r="BA7" s="217">
        <f>0.5*Snubber!$B$15/1000000000000*$AQ$2^2*Design!$B$26*1000000</f>
        <v>1.4217500000000001E-2</v>
      </c>
      <c r="BB7" s="218">
        <f ca="1">AY7*Design!$C$12+$A7</f>
        <v>40.398504949144709</v>
      </c>
      <c r="BC7" s="218">
        <f ca="1">Constants!$D$22+Constants!$D$22*Constants!$C$24/100*(BB7-25)</f>
        <v>87.884034533962094</v>
      </c>
      <c r="BD7" s="218">
        <f ca="1">Constants!$D$23+Constants!$D$23*Constants!$C$24/100*(BB7-25)</f>
        <v>71.405778058844206</v>
      </c>
      <c r="BE7" s="217">
        <f ca="1">(1-Constants!$C$19/1000000000*Design!$B$26*1000000) * ($AQ$2-AP7*BC7/1000) - (AP7*Design!$B$35/1000)</f>
        <v>4.8642043689194336</v>
      </c>
      <c r="BF7" s="217">
        <f ca="1">IF(BE7&gt;Design!$C$22,Design!$C$22,BE7)</f>
        <v>1.7973333333333334</v>
      </c>
      <c r="BG7" s="217">
        <f t="shared" ca="1" si="26"/>
        <v>0.34212514447433073</v>
      </c>
      <c r="BH7" s="217">
        <f t="shared" ca="1" si="27"/>
        <v>1.7973333333333334</v>
      </c>
      <c r="BI7" s="351">
        <f t="shared" ca="1" si="28"/>
        <v>84.008797178204119</v>
      </c>
    </row>
    <row r="8" spans="1:61" s="144" customFormat="1" ht="12.75">
      <c r="A8" s="136">
        <v>25</v>
      </c>
      <c r="B8" s="337">
        <f t="shared" si="29"/>
        <v>1.25</v>
      </c>
      <c r="C8" s="187">
        <f ca="1">IF( 100*(Design!$C$22+B8*(IF(ISBLANK(Design!$B$35),Constants!$C$6,Design!$B$35)/1000*(1+Constants!$C$36/100*(N8-25))+P8/1000))/($C$2-B8*O8/1000) &gt; Design!$C$29, Design!$C$29, 100*(Design!$C$22+B8*(IF(ISBLANK(Design!$B$35),Constants!$C$6,Design!$B$35)/1000*(1+Constants!$C$36/100*(N8-25))+P8/1000))/($C$2-B8*O8/1000) )</f>
        <v>57.56310891029851</v>
      </c>
      <c r="D8" s="186">
        <f ca="1">IF( ($C$2-B8*(IF(ISBLANK(Design!$B$35),Constants!$C$6,Design!$B$35)/1000*(1+Constants!$C$36/100*(N8-25))+P8/1000)-Design!$C$22) / (IF(ISBLANK(Design!$B$34),Design!$B$33,Design!$B$34)/1000000) * C8/100 / (IF(ISBLANK(Design!$B$26),Design!$B$25,Design!$B$26)*1000000) &lt; 0, 0, ($C$2-B8*(IF(ISBLANK(Design!$B$35),Constants!$C$6,Design!$B$35)/1000*(1+Constants!$C$36/100*(N8-25))+P8/1000)-Design!$C$22) / (IF(ISBLANK(Design!$B$34),Design!$B$33,Design!$B$34)/1000000) * C8/100 / (IF(ISBLANK(Design!$B$26),Design!$B$25,Design!$B$26)*1000000) )</f>
        <v>0.43329635041798914</v>
      </c>
      <c r="E8" s="186">
        <f>$C$2*Constants!$C$21/1000+IF(ISBLANK(Design!$B$26),Design!$B$25,Design!$B$26)*1000000*(Constants!$D$26+Constants!$D$27)/1000000000*$C$2</f>
        <v>3.8759999999999996E-2</v>
      </c>
      <c r="F8" s="186">
        <f>$C$2*B8*($C$2/(Constants!$C$28*1000000000)*IF(ISBLANK(Design!$B$26),Design!$B$25,Design!$B$26)*1000000/2+$C$2/(Constants!$C$29*1000000000)*IF(ISBLANK(Design!$B$26),Design!$B$25,Design!$B$26)*1000000/2)</f>
        <v>4.3349999999999993E-2</v>
      </c>
      <c r="G8" s="186">
        <f t="shared" ca="1" si="11"/>
        <v>7.9047571730352192E-2</v>
      </c>
      <c r="H8" s="186">
        <f t="shared" ca="1" si="12"/>
        <v>4.7349044734426464E-2</v>
      </c>
      <c r="I8" s="186">
        <f>2*B8*Constants!$C$20/1000000000*Constants!$C$25*IF(ISBLANK(Design!$B$26),Design!$B$25,Design!$B$26)*1000000</f>
        <v>4.4999999999999998E-2</v>
      </c>
      <c r="J8" s="186">
        <f>(Constants!$D$26+Constants!$D$27)/1000000000*$C$2*IF(ISBLANK(Design!$B$26),Design!$B$25,Design!$B$26)*1000000</f>
        <v>3.1959999999999988E-2</v>
      </c>
      <c r="K8" s="186">
        <f t="shared" ca="1" si="13"/>
        <v>0.28546661646477861</v>
      </c>
      <c r="L8" s="186">
        <f ca="1">B8^2*IF(ISBLANK(Design!$B$35),Constants!$C$6,Design!$B$35)/1000*(1+(N8-25)*(Constants!$C$36/100))</f>
        <v>1.1032496610860058E-2</v>
      </c>
      <c r="M8" s="186">
        <f>0.5*Snubber!$B$15/1000000000000*$C$2^2*Design!$B$26*1000000</f>
        <v>5.4332E-3</v>
      </c>
      <c r="N8" s="187">
        <f ca="1">K8*Design!$C$12+$A8</f>
        <v>38.702397590309374</v>
      </c>
      <c r="O8" s="187">
        <f ca="1">Constants!$D$22+Constants!$D$22*Constants!$C$24/100*(N8-25)</f>
        <v>87.015627566238393</v>
      </c>
      <c r="P8" s="187">
        <f ca="1">Constants!$D$23+Constants!$D$23*Constants!$C$24/100*(N8-25)</f>
        <v>70.700197397568701</v>
      </c>
      <c r="Q8" s="186">
        <f ca="1">(1-Constants!$C$19/1000000000*Design!$B$26*1000000) * ($C$2-B8*O8/1000) - (B8*Design!$B$35/1000)</f>
        <v>2.9537324189879817</v>
      </c>
      <c r="R8" s="186">
        <f ca="1">IF(Q8&gt;Design!$C$22,Design!$C$22,Q8)</f>
        <v>1.7973333333333334</v>
      </c>
      <c r="S8" s="186">
        <f t="shared" ca="1" si="14"/>
        <v>0.30193231307563867</v>
      </c>
      <c r="T8" s="186">
        <f t="shared" ca="1" si="15"/>
        <v>2.246666666666667</v>
      </c>
      <c r="U8" s="338">
        <f t="shared" ca="1" si="16"/>
        <v>88.153008163482525</v>
      </c>
      <c r="V8" s="343">
        <f t="shared" si="30"/>
        <v>1.25</v>
      </c>
      <c r="W8" s="204">
        <f ca="1">IF( 100*(Design!$C$22+V8*(IF(ISBLANK(Design!$B$35),Constants!$C$6,Design!$B$35)/1000*(1+Constants!$C$36/100*(AH8-25))+AJ8/1000))/($W$2-V8*AI8/1000) &gt; Design!$C$29, Design!$C$29, 100*(Design!$C$22+V8*(IF(ISBLANK(Design!$B$35),Constants!$C$6,Design!$B$35)/1000*(1+Constants!$C$36/100*(AH8-25))+AJ8/1000))/($W$2-V8*AI8/1000) )</f>
        <v>38.796943010952241</v>
      </c>
      <c r="X8" s="203">
        <f ca="1">IF( ($C$2-V8*(IF(ISBLANK(Design!$B$35),Constants!$C$6,Design!$B$35)/1000*(1+Constants!$C$36/100*(AH8-25))+AJ8/1000)-Design!$C$22) / (IF(ISBLANK(Design!$B$34),Design!$B$33,Design!$B$34)/1000000) * W8/100 / (IF(ISBLANK(Design!$B$26),Design!$B$25,Design!$B$26)*1000000) &lt; 0, 0, ($C$2-V8*(IF(ISBLANK(Design!$B$35),Constants!$C$6,Design!$B$35)/1000*(1+Constants!$C$36/100*(AH8-25))+AJ8/1000)-Design!$C$22) / (IF(ISBLANK(Design!$B$34),Design!$B$33,Design!$B$34)/1000000) * W8/100 / (IF(ISBLANK(Design!$B$26),Design!$B$25,Design!$B$26)*1000000) )</f>
        <v>0.29162050774484838</v>
      </c>
      <c r="Y8" s="203">
        <f>$W$2*Constants!$C$21/1000+IF(ISBLANK(Design!$B$26),Design!$B$25,Design!$B$26)*1000000*(Constants!$D$26+Constants!$D$27)/1000000000*$W$2</f>
        <v>5.6999999999999995E-2</v>
      </c>
      <c r="Z8" s="203">
        <f>$W$2*V8*($W$2/(Constants!$C$28*1000000000)*IF(ISBLANK(Design!$B$26),Design!$B$25,Design!$B$26)*1000000/2+$W$2/(Constants!$C$29*1000000000)*IF(ISBLANK(Design!$B$26),Design!$B$25,Design!$B$26)*1000000/2)</f>
        <v>9.375E-2</v>
      </c>
      <c r="AA8" s="203">
        <f t="shared" ca="1" si="17"/>
        <v>5.4199828831097571E-2</v>
      </c>
      <c r="AB8" s="203">
        <f t="shared" ca="1" si="18"/>
        <v>6.9469935030590318E-2</v>
      </c>
      <c r="AC8" s="203">
        <f>2*V8*Constants!$C$20/1000000000*Constants!$C$25*IF(ISBLANK(Design!$B$26),Design!$B$25,Design!$B$26)*1000000</f>
        <v>4.4999999999999998E-2</v>
      </c>
      <c r="AD8" s="203">
        <f>(Constants!$D$26+Constants!$D$27)/1000000000*$W$2*IF(ISBLANK(Design!$B$26),Design!$B$25,Design!$B$26)*1000000</f>
        <v>4.6999999999999993E-2</v>
      </c>
      <c r="AE8" s="203">
        <f t="shared" ca="1" si="19"/>
        <v>0.36641976386168784</v>
      </c>
      <c r="AF8" s="203">
        <f ca="1">V8^2*IF(ISBLANK(Design!$B$35),Constants!$C$6,Design!$B$35)/1000*(1+(AH8-25)*(Constants!$C$36/100))</f>
        <v>1.1192364910168158E-2</v>
      </c>
      <c r="AG8" s="203">
        <f>0.5*Snubber!$B$15/1000000000000*$W$2^2*Design!$B$26*1000000</f>
        <v>1.1750000000000002E-2</v>
      </c>
      <c r="AH8" s="204">
        <f ca="1">AE8*Design!$C$12+$A8</f>
        <v>42.588148665361018</v>
      </c>
      <c r="AI8" s="204">
        <f ca="1">Constants!$D$22+Constants!$D$22*Constants!$C$24/100*(AH8-25)</f>
        <v>89.005132116664839</v>
      </c>
      <c r="AJ8" s="204">
        <f ca="1">Constants!$D$23+Constants!$D$23*Constants!$C$24/100*(AH8-25)</f>
        <v>72.316669844790184</v>
      </c>
      <c r="AK8" s="203">
        <f ca="1">(1-Constants!$C$19/1000000000*Design!$B$26*1000000) * ($C$2-V8*AI8/1000) - (V8*Design!$B$35/1000)</f>
        <v>2.951494226368752</v>
      </c>
      <c r="AL8" s="203">
        <f ca="1">IF(AK8&gt;Design!$C$22,Design!$C$22,AK8)</f>
        <v>1.7973333333333334</v>
      </c>
      <c r="AM8" s="203">
        <f t="shared" ca="1" si="20"/>
        <v>0.389362128771856</v>
      </c>
      <c r="AN8" s="203">
        <f t="shared" ca="1" si="21"/>
        <v>2.246666666666667</v>
      </c>
      <c r="AO8" s="344">
        <f t="shared" ca="1" si="22"/>
        <v>85.22921565023789</v>
      </c>
      <c r="AP8" s="350">
        <f t="shared" si="31"/>
        <v>1.25</v>
      </c>
      <c r="AQ8" s="218">
        <f ca="1">IF( 100*(Design!$C$22+AP8*(IF(ISBLANK(Design!$B$35),Constants!$C$6,Design!$B$35)/1000*(1+Constants!$C$36/100*(BB8-25))+BD8/1000))/($AQ$2-AP8*BC8/1000) &gt; Design!$C$29, Design!$C$29, 100*(Design!$C$22+AP8*(IF(ISBLANK(Design!$B$35),Constants!$C$6,Design!$B$35)/1000*(1+Constants!$C$36/100*(BB8-25))+BD8/1000))/($AQ$2-AP8*BC8/1000) )</f>
        <v>35.219545453028424</v>
      </c>
      <c r="AR8" s="217">
        <f ca="1">IF( ($AQ$2-AP8*(IF(ISBLANK(Design!$B$35),Constants!$C$6,Design!$B$35)/1000*(1+Constants!$C$36/100*(BB8-25))+BD8/1000)-Design!$C$22) / (IF(ISBLANK(Design!$B$34),Design!$B$33,Design!$B$34)/1000000) * AQ8/100 / (IF(ISBLANK(Design!$B$26),Design!$B$25,Design!$B$26)*1000000) &lt; 0, 0, ($AQ$2-AP8*(IF(ISBLANK(Design!$B$35),Constants!$C$6,Design!$B$35)/1000*(1+Constants!$C$36/100*(BB8-25))+BD8/1000)-Design!$C$22) / (IF(ISBLANK(Design!$B$34),Design!$B$33,Design!$B$34)/1000000) * AQ8/100 / (IF(ISBLANK(Design!$B$26),Design!$B$25,Design!$B$26)*1000000) )</f>
        <v>0.63438481209020248</v>
      </c>
      <c r="AS8" s="217">
        <f>$AQ$2*Constants!$C$21/1000+IF(ISBLANK(Design!$B$26),Design!$B$25,Design!$B$26)*1000000*(Constants!$D$26+Constants!$D$27)/1000000000*$AQ$2</f>
        <v>6.2699999999999992E-2</v>
      </c>
      <c r="AT8" s="217">
        <f>$AQ$2*AP8*($AQ$2/(Constants!$C$28*1000000000)*IF(ISBLANK(Design!$B$26),Design!$B$25,Design!$B$26)*1000000/2+$AQ$2/(Constants!$C$29*1000000000)*IF(ISBLANK(Design!$B$26),Design!$B$25,Design!$B$26)*1000000/2)</f>
        <v>0.11343750000000001</v>
      </c>
      <c r="AU8" s="217">
        <f t="shared" ca="1" si="23"/>
        <v>5.047796129219214E-2</v>
      </c>
      <c r="AV8" s="217">
        <f t="shared" ca="1" si="24"/>
        <v>7.5437175678414889E-2</v>
      </c>
      <c r="AW8" s="217">
        <f>2*AP8*Constants!$C$20/1000000000*Constants!$C$25*IF(ISBLANK(Design!$B$26),Design!$B$25,Design!$B$26)*1000000</f>
        <v>4.4999999999999998E-2</v>
      </c>
      <c r="AX8" s="217">
        <f>(Constants!$D$26+Constants!$D$27)/1000000000*$AQ$2*IF(ISBLANK(Design!$B$26),Design!$B$25,Design!$B$26)*1000000</f>
        <v>5.1699999999999996E-2</v>
      </c>
      <c r="AY8" s="217">
        <f t="shared" ca="1" si="25"/>
        <v>0.39875263697060703</v>
      </c>
      <c r="AZ8" s="217">
        <f ca="1">AP8^2*IF(ISBLANK(Design!$B$35),Constants!$C$6,Design!$B$35)/1000*(1+(BB8-25)*(Constants!$C$36/100))</f>
        <v>1.125621667630548E-2</v>
      </c>
      <c r="BA8" s="217">
        <f>0.5*Snubber!$B$15/1000000000000*$AQ$2^2*Design!$B$26*1000000</f>
        <v>1.4217500000000001E-2</v>
      </c>
      <c r="BB8" s="218">
        <f ca="1">AY8*Design!$C$12+$A8</f>
        <v>44.140126574589139</v>
      </c>
      <c r="BC8" s="218">
        <f ca="1">Constants!$D$22+Constants!$D$22*Constants!$C$24/100*(BB8-25)</f>
        <v>89.799744806189636</v>
      </c>
      <c r="BD8" s="218">
        <f ca="1">Constants!$D$23+Constants!$D$23*Constants!$C$24/100*(BB8-25)</f>
        <v>72.962292655029088</v>
      </c>
      <c r="BE8" s="217">
        <f ca="1">(1-Constants!$C$19/1000000000*Design!$B$26*1000000) * ($AQ$2-AP8*BC8/1000) - (AP8*Design!$B$35/1000)</f>
        <v>4.8406002870930367</v>
      </c>
      <c r="BF8" s="217">
        <f ca="1">IF(BE8&gt;Design!$C$22,Design!$C$22,BE8)</f>
        <v>1.7973333333333334</v>
      </c>
      <c r="BG8" s="217">
        <f t="shared" ca="1" si="26"/>
        <v>0.42422635364691252</v>
      </c>
      <c r="BH8" s="217">
        <f t="shared" ca="1" si="27"/>
        <v>2.246666666666667</v>
      </c>
      <c r="BI8" s="351">
        <f t="shared" ca="1" si="28"/>
        <v>84.116684928207803</v>
      </c>
    </row>
    <row r="9" spans="1:61" s="144" customFormat="1" ht="12.75">
      <c r="A9" s="136">
        <v>25</v>
      </c>
      <c r="B9" s="337">
        <f t="shared" si="29"/>
        <v>1.5</v>
      </c>
      <c r="C9" s="187">
        <f ca="1">IF( 100*(Design!$C$22+B9*(IF(ISBLANK(Design!$B$35),Constants!$C$6,Design!$B$35)/1000*(1+Constants!$C$36/100*(N9-25))+P9/1000))/($C$2-B9*O9/1000) &gt; Design!$C$29, Design!$C$29, 100*(Design!$C$22+B9*(IF(ISBLANK(Design!$B$35),Constants!$C$6,Design!$B$35)/1000*(1+Constants!$C$36/100*(N9-25))+P9/1000))/($C$2-B9*O9/1000) )</f>
        <v>58.66683572695581</v>
      </c>
      <c r="D9" s="186">
        <f ca="1">IF( ($C$2-B9*(IF(ISBLANK(Design!$B$35),Constants!$C$6,Design!$B$35)/1000*(1+Constants!$C$36/100*(N9-25))+P9/1000)-Design!$C$22) / (IF(ISBLANK(Design!$B$34),Design!$B$33,Design!$B$34)/1000000) * C9/100 / (IF(ISBLANK(Design!$B$26),Design!$B$25,Design!$B$26)*1000000) &lt; 0, 0, ($C$2-B9*(IF(ISBLANK(Design!$B$35),Constants!$C$6,Design!$B$35)/1000*(1+Constants!$C$36/100*(N9-25))+P9/1000)-Design!$C$22) / (IF(ISBLANK(Design!$B$34),Design!$B$33,Design!$B$34)/1000000) * C9/100 / (IF(ISBLANK(Design!$B$26),Design!$B$25,Design!$B$26)*1000000) )</f>
        <v>0.43518157702233129</v>
      </c>
      <c r="E9" s="186">
        <f>$C$2*Constants!$C$21/1000+IF(ISBLANK(Design!$B$26),Design!$B$25,Design!$B$26)*1000000*(Constants!$D$26+Constants!$D$27)/1000000000*$C$2</f>
        <v>3.8759999999999996E-2</v>
      </c>
      <c r="F9" s="186">
        <f>$C$2*B9*($C$2/(Constants!$C$28*1000000000)*IF(ISBLANK(Design!$B$26),Design!$B$25,Design!$B$26)*1000000/2+$C$2/(Constants!$C$29*1000000000)*IF(ISBLANK(Design!$B$26),Design!$B$25,Design!$B$26)*1000000/2)</f>
        <v>5.201999999999999E-2</v>
      </c>
      <c r="G9" s="186">
        <f t="shared" ca="1" si="11"/>
        <v>0.11818574895245115</v>
      </c>
      <c r="H9" s="186">
        <f t="shared" ca="1" si="12"/>
        <v>6.7654154497481633E-2</v>
      </c>
      <c r="I9" s="186">
        <f>2*B9*Constants!$C$20/1000000000*Constants!$C$25*IF(ISBLANK(Design!$B$26),Design!$B$25,Design!$B$26)*1000000</f>
        <v>5.3999999999999992E-2</v>
      </c>
      <c r="J9" s="186">
        <f>(Constants!$D$26+Constants!$D$27)/1000000000*$C$2*IF(ISBLANK(Design!$B$26),Design!$B$25,Design!$B$26)*1000000</f>
        <v>3.1959999999999988E-2</v>
      </c>
      <c r="K9" s="186">
        <f t="shared" ca="1" si="13"/>
        <v>0.36257990344993274</v>
      </c>
      <c r="L9" s="186">
        <f ca="1">B9^2*IF(ISBLANK(Design!$B$35),Constants!$C$6,Design!$B$35)/1000*(1+(N9-25)*(Constants!$C$36/100))</f>
        <v>1.6106085875275941E-2</v>
      </c>
      <c r="M9" s="186">
        <f>0.5*Snubber!$B$15/1000000000000*$C$2^2*Design!$B$26*1000000</f>
        <v>5.4332E-3</v>
      </c>
      <c r="N9" s="187">
        <f ca="1">K9*Design!$C$12+$A9</f>
        <v>42.40383536559677</v>
      </c>
      <c r="O9" s="187">
        <f ca="1">Constants!$D$22+Constants!$D$22*Constants!$C$24/100*(N9-25)</f>
        <v>88.910763707185552</v>
      </c>
      <c r="P9" s="187">
        <f ca="1">Constants!$D$23+Constants!$D$23*Constants!$C$24/100*(N9-25)</f>
        <v>72.239995512088257</v>
      </c>
      <c r="Q9" s="186">
        <f ca="1">(1-Constants!$C$19/1000000000*Design!$B$26*1000000) * ($C$2-B9*O9/1000) - (B9*Design!$B$35/1000)</f>
        <v>2.9299204689952996</v>
      </c>
      <c r="R9" s="186">
        <f ca="1">IF(Q9&gt;Design!$C$22,Design!$C$22,Q9)</f>
        <v>1.7973333333333334</v>
      </c>
      <c r="S9" s="186">
        <f t="shared" ca="1" si="14"/>
        <v>0.38411918932520872</v>
      </c>
      <c r="T9" s="186">
        <f t="shared" ca="1" si="15"/>
        <v>2.6960000000000002</v>
      </c>
      <c r="U9" s="338">
        <f t="shared" ca="1" si="16"/>
        <v>87.5290803467459</v>
      </c>
      <c r="V9" s="343">
        <f t="shared" si="30"/>
        <v>1.5</v>
      </c>
      <c r="W9" s="204">
        <f ca="1">IF( 100*(Design!$C$22+V9*(IF(ISBLANK(Design!$B$35),Constants!$C$6,Design!$B$35)/1000*(1+Constants!$C$36/100*(AH9-25))+AJ9/1000))/($W$2-V9*AI9/1000) &gt; Design!$C$29, Design!$C$29, 100*(Design!$C$22+V9*(IF(ISBLANK(Design!$B$35),Constants!$C$6,Design!$B$35)/1000*(1+Constants!$C$36/100*(AH9-25))+AJ9/1000))/($W$2-V9*AI9/1000) )</f>
        <v>39.465030902401537</v>
      </c>
      <c r="X9" s="203">
        <f ca="1">IF( ($C$2-V9*(IF(ISBLANK(Design!$B$35),Constants!$C$6,Design!$B$35)/1000*(1+Constants!$C$36/100*(AH9-25))+AJ9/1000)-Design!$C$22) / (IF(ISBLANK(Design!$B$34),Design!$B$33,Design!$B$34)/1000000) * W9/100 / (IF(ISBLANK(Design!$B$26),Design!$B$25,Design!$B$26)*1000000) &lt; 0, 0, ($C$2-V9*(IF(ISBLANK(Design!$B$35),Constants!$C$6,Design!$B$35)/1000*(1+Constants!$C$36/100*(AH9-25))+AJ9/1000)-Design!$C$22) / (IF(ISBLANK(Design!$B$34),Design!$B$33,Design!$B$34)/1000000) * W9/100 / (IF(ISBLANK(Design!$B$26),Design!$B$25,Design!$B$26)*1000000) )</f>
        <v>0.29217829446412652</v>
      </c>
      <c r="Y9" s="203">
        <f>$W$2*Constants!$C$21/1000+IF(ISBLANK(Design!$B$26),Design!$B$25,Design!$B$26)*1000000*(Constants!$D$26+Constants!$D$27)/1000000000*$W$2</f>
        <v>5.6999999999999995E-2</v>
      </c>
      <c r="Z9" s="203">
        <f>$W$2*V9*($W$2/(Constants!$C$28*1000000000)*IF(ISBLANK(Design!$B$26),Design!$B$25,Design!$B$26)*1000000/2+$W$2/(Constants!$C$29*1000000000)*IF(ISBLANK(Design!$B$26),Design!$B$25,Design!$B$26)*1000000/2)</f>
        <v>0.11249999999999999</v>
      </c>
      <c r="AA9" s="203">
        <f t="shared" ca="1" si="17"/>
        <v>8.1175095205778813E-2</v>
      </c>
      <c r="AB9" s="203">
        <f t="shared" ca="1" si="18"/>
        <v>0.10116727545943452</v>
      </c>
      <c r="AC9" s="203">
        <f>2*V9*Constants!$C$20/1000000000*Constants!$C$25*IF(ISBLANK(Design!$B$26),Design!$B$25,Design!$B$26)*1000000</f>
        <v>5.3999999999999992E-2</v>
      </c>
      <c r="AD9" s="203">
        <f>(Constants!$D$26+Constants!$D$27)/1000000000*$W$2*IF(ISBLANK(Design!$B$26),Design!$B$25,Design!$B$26)*1000000</f>
        <v>4.6999999999999993E-2</v>
      </c>
      <c r="AE9" s="203">
        <f t="shared" ca="1" si="19"/>
        <v>0.45284237066521327</v>
      </c>
      <c r="AF9" s="203">
        <f ca="1">V9^2*IF(ISBLANK(Design!$B$35),Constants!$C$6,Design!$B$35)/1000*(1+(AH9-25)*(Constants!$C$36/100))</f>
        <v>1.6362769585894461E-2</v>
      </c>
      <c r="AG9" s="203">
        <f>0.5*Snubber!$B$15/1000000000000*$W$2^2*Design!$B$26*1000000</f>
        <v>1.1750000000000002E-2</v>
      </c>
      <c r="AH9" s="204">
        <f ca="1">AE9*Design!$C$12+$A9</f>
        <v>46.736433791930239</v>
      </c>
      <c r="AI9" s="204">
        <f ca="1">Constants!$D$22+Constants!$D$22*Constants!$C$24/100*(AH9-25)</f>
        <v>91.129054101468284</v>
      </c>
      <c r="AJ9" s="204">
        <f ca="1">Constants!$D$23+Constants!$D$23*Constants!$C$24/100*(AH9-25)</f>
        <v>74.042356457442978</v>
      </c>
      <c r="AK9" s="203">
        <f ca="1">(1-Constants!$C$19/1000000000*Design!$B$26*1000000) * ($C$2-V9*AI9/1000) - (V9*Design!$B$35/1000)</f>
        <v>2.9269257769630177</v>
      </c>
      <c r="AL9" s="203">
        <f ca="1">IF(AK9&gt;Design!$C$22,Design!$C$22,AK9)</f>
        <v>1.7973333333333334</v>
      </c>
      <c r="AM9" s="203">
        <f t="shared" ca="1" si="20"/>
        <v>0.48095514025110769</v>
      </c>
      <c r="AN9" s="203">
        <f t="shared" ca="1" si="21"/>
        <v>2.6960000000000002</v>
      </c>
      <c r="AO9" s="344">
        <f t="shared" ca="1" si="22"/>
        <v>84.86112900501665</v>
      </c>
      <c r="AP9" s="350">
        <f t="shared" si="31"/>
        <v>1.5</v>
      </c>
      <c r="AQ9" s="218">
        <f ca="1">IF( 100*(Design!$C$22+AP9*(IF(ISBLANK(Design!$B$35),Constants!$C$6,Design!$B$35)/1000*(1+Constants!$C$36/100*(BB9-25))+BD9/1000))/($AQ$2-AP9*BC9/1000) &gt; Design!$C$29, Design!$C$29, 100*(Design!$C$22+AP9*(IF(ISBLANK(Design!$B$35),Constants!$C$6,Design!$B$35)/1000*(1+Constants!$C$36/100*(BB9-25))+BD9/1000))/($AQ$2-AP9*BC9/1000) )</f>
        <v>35.816604729694937</v>
      </c>
      <c r="AR9" s="217">
        <f ca="1">IF( ($AQ$2-AP9*(IF(ISBLANK(Design!$B$35),Constants!$C$6,Design!$B$35)/1000*(1+Constants!$C$36/100*(BB9-25))+BD9/1000)-Design!$C$22) / (IF(ISBLANK(Design!$B$34),Design!$B$33,Design!$B$34)/1000000) * AQ9/100 / (IF(ISBLANK(Design!$B$26),Design!$B$25,Design!$B$26)*1000000) &lt; 0, 0, ($AQ$2-AP9*(IF(ISBLANK(Design!$B$35),Constants!$C$6,Design!$B$35)/1000*(1+Constants!$C$36/100*(BB9-25))+BD9/1000)-Design!$C$22) / (IF(ISBLANK(Design!$B$34),Design!$B$33,Design!$B$34)/1000000) * AQ9/100 / (IF(ISBLANK(Design!$B$26),Design!$B$25,Design!$B$26)*1000000) )</f>
        <v>0.64103287406477194</v>
      </c>
      <c r="AS9" s="217">
        <f>$AQ$2*Constants!$C$21/1000+IF(ISBLANK(Design!$B$26),Design!$B$25,Design!$B$26)*1000000*(Constants!$D$26+Constants!$D$27)/1000000000*$AQ$2</f>
        <v>6.2699999999999992E-2</v>
      </c>
      <c r="AT9" s="217">
        <f>$AQ$2*AP9*($AQ$2/(Constants!$C$28*1000000000)*IF(ISBLANK(Design!$B$26),Design!$B$25,Design!$B$26)*1000000/2+$AQ$2/(Constants!$C$29*1000000000)*IF(ISBLANK(Design!$B$26),Design!$B$25,Design!$B$26)*1000000/2)</f>
        <v>0.136125</v>
      </c>
      <c r="AU9" s="217">
        <f t="shared" ca="1" si="23"/>
        <v>7.52920895072033E-2</v>
      </c>
      <c r="AV9" s="217">
        <f t="shared" ca="1" si="24"/>
        <v>0.10962534995028986</v>
      </c>
      <c r="AW9" s="217">
        <f>2*AP9*Constants!$C$20/1000000000*Constants!$C$25*IF(ISBLANK(Design!$B$26),Design!$B$25,Design!$B$26)*1000000</f>
        <v>5.3999999999999992E-2</v>
      </c>
      <c r="AX9" s="217">
        <f>(Constants!$D$26+Constants!$D$27)/1000000000*$AQ$2*IF(ISBLANK(Design!$B$26),Design!$B$25,Design!$B$26)*1000000</f>
        <v>5.1699999999999996E-2</v>
      </c>
      <c r="AY9" s="217">
        <f t="shared" ca="1" si="25"/>
        <v>0.48944243945749311</v>
      </c>
      <c r="AZ9" s="217">
        <f ca="1">AP9^2*IF(ISBLANK(Design!$B$35),Constants!$C$6,Design!$B$35)/1000*(1+(BB9-25)*(Constants!$C$36/100))</f>
        <v>1.6466850958322368E-2</v>
      </c>
      <c r="BA9" s="217">
        <f>0.5*Snubber!$B$15/1000000000000*$AQ$2^2*Design!$B$26*1000000</f>
        <v>1.4217500000000001E-2</v>
      </c>
      <c r="BB9" s="218">
        <f ca="1">AY9*Design!$C$12+$A9</f>
        <v>48.493237093959671</v>
      </c>
      <c r="BC9" s="218">
        <f ca="1">Constants!$D$22+Constants!$D$22*Constants!$C$24/100*(BB9-25)</f>
        <v>92.028537392107353</v>
      </c>
      <c r="BD9" s="218">
        <f ca="1">Constants!$D$23+Constants!$D$23*Constants!$C$24/100*(BB9-25)</f>
        <v>74.773186631087228</v>
      </c>
      <c r="BE9" s="217">
        <f ca="1">(1-Constants!$C$19/1000000000*Design!$B$26*1000000) * ($AQ$2-AP9*BC9/1000) - (AP9*Design!$B$35/1000)</f>
        <v>4.8157114745206551</v>
      </c>
      <c r="BF9" s="217">
        <f ca="1">IF(BE9&gt;Design!$C$22,Design!$C$22,BE9)</f>
        <v>1.7973333333333334</v>
      </c>
      <c r="BG9" s="217">
        <f t="shared" ca="1" si="26"/>
        <v>0.52012679041581544</v>
      </c>
      <c r="BH9" s="217">
        <f t="shared" ca="1" si="27"/>
        <v>2.6960000000000002</v>
      </c>
      <c r="BI9" s="351">
        <f t="shared" ca="1" si="28"/>
        <v>83.827540880359152</v>
      </c>
    </row>
    <row r="10" spans="1:61" s="144" customFormat="1" ht="12.75">
      <c r="A10" s="136">
        <v>25</v>
      </c>
      <c r="B10" s="337">
        <f t="shared" si="29"/>
        <v>1.75</v>
      </c>
      <c r="C10" s="187">
        <f ca="1">IF( 100*(Design!$C$22+B10*(IF(ISBLANK(Design!$B$35),Constants!$C$6,Design!$B$35)/1000*(1+Constants!$C$36/100*(N10-25))+P10/1000))/($C$2-B10*O10/1000) &gt; Design!$C$29, Design!$C$29, 100*(Design!$C$22+B10*(IF(ISBLANK(Design!$B$35),Constants!$C$6,Design!$B$35)/1000*(1+Constants!$C$36/100*(N10-25))+P10/1000))/($C$2-B10*O10/1000) )</f>
        <v>59.857623421434802</v>
      </c>
      <c r="D10" s="186">
        <f ca="1">IF( ($C$2-B10*(IF(ISBLANK(Design!$B$35),Constants!$C$6,Design!$B$35)/1000*(1+Constants!$C$36/100*(N10-25))+P10/1000)-Design!$C$22) / (IF(ISBLANK(Design!$B$34),Design!$B$33,Design!$B$34)/1000000) * C10/100 / (IF(ISBLANK(Design!$B$26),Design!$B$25,Design!$B$26)*1000000) &lt; 0, 0, ($C$2-B10*(IF(ISBLANK(Design!$B$35),Constants!$C$6,Design!$B$35)/1000*(1+Constants!$C$36/100*(N10-25))+P10/1000)-Design!$C$22) / (IF(ISBLANK(Design!$B$34),Design!$B$33,Design!$B$34)/1000000) * C10/100 / (IF(ISBLANK(Design!$B$26),Design!$B$25,Design!$B$26)*1000000) )</f>
        <v>0.43705838328919472</v>
      </c>
      <c r="E10" s="186">
        <f>$C$2*Constants!$C$21/1000+IF(ISBLANK(Design!$B$26),Design!$B$25,Design!$B$26)*1000000*(Constants!$D$26+Constants!$D$27)/1000000000*$C$2</f>
        <v>3.8759999999999996E-2</v>
      </c>
      <c r="F10" s="186">
        <f>$C$2*B10*($C$2/(Constants!$C$28*1000000000)*IF(ISBLANK(Design!$B$26),Design!$B$25,Design!$B$26)*1000000/2+$C$2/(Constants!$C$29*1000000000)*IF(ISBLANK(Design!$B$26),Design!$B$25,Design!$B$26)*1000000/2)</f>
        <v>6.0689999999999994E-2</v>
      </c>
      <c r="G10" s="186">
        <f t="shared" ca="1" si="11"/>
        <v>0.16796861144561911</v>
      </c>
      <c r="H10" s="186">
        <f t="shared" ca="1" si="12"/>
        <v>9.1524025358089164E-2</v>
      </c>
      <c r="I10" s="186">
        <f>2*B10*Constants!$C$20/1000000000*Constants!$C$25*IF(ISBLANK(Design!$B$26),Design!$B$25,Design!$B$26)*1000000</f>
        <v>6.3E-2</v>
      </c>
      <c r="J10" s="186">
        <f>(Constants!$D$26+Constants!$D$27)/1000000000*$C$2*IF(ISBLANK(Design!$B$26),Design!$B$25,Design!$B$26)*1000000</f>
        <v>3.1959999999999988E-2</v>
      </c>
      <c r="K10" s="186">
        <f t="shared" ca="1" si="13"/>
        <v>0.45390263680370824</v>
      </c>
      <c r="L10" s="186">
        <f ca="1">B10^2*IF(ISBLANK(Design!$B$35),Constants!$C$6,Design!$B$35)/1000*(1+(N10-25)*(Constants!$C$36/100))</f>
        <v>2.2275651418462734E-2</v>
      </c>
      <c r="M10" s="186">
        <f>0.5*Snubber!$B$15/1000000000000*$C$2^2*Design!$B$26*1000000</f>
        <v>5.4332E-3</v>
      </c>
      <c r="N10" s="187">
        <f ca="1">K10*Design!$C$12+$A10</f>
        <v>46.787326566577995</v>
      </c>
      <c r="O10" s="187">
        <f ca="1">Constants!$D$22+Constants!$D$22*Constants!$C$24/100*(N10-25)</f>
        <v>91.155111202087937</v>
      </c>
      <c r="P10" s="187">
        <f ca="1">Constants!$D$23+Constants!$D$23*Constants!$C$24/100*(N10-25)</f>
        <v>74.063527851696449</v>
      </c>
      <c r="Q10" s="186">
        <f ca="1">(1-Constants!$C$19/1000000000*Design!$B$26*1000000) * ($C$2-B10*O10/1000) - (B10*Design!$B$35/1000)</f>
        <v>2.9047056998567116</v>
      </c>
      <c r="R10" s="186">
        <f ca="1">IF(Q10&gt;Design!$C$22,Design!$C$22,Q10)</f>
        <v>1.7973333333333334</v>
      </c>
      <c r="S10" s="186">
        <f t="shared" ca="1" si="14"/>
        <v>0.48161148822217098</v>
      </c>
      <c r="T10" s="186">
        <f t="shared" ca="1" si="15"/>
        <v>3.1453333333333333</v>
      </c>
      <c r="U10" s="338">
        <f t="shared" ca="1" si="16"/>
        <v>86.721289903285026</v>
      </c>
      <c r="V10" s="343">
        <f t="shared" si="30"/>
        <v>1.75</v>
      </c>
      <c r="W10" s="204">
        <f ca="1">IF( 100*(Design!$C$22+V10*(IF(ISBLANK(Design!$B$35),Constants!$C$6,Design!$B$35)/1000*(1+Constants!$C$36/100*(AH10-25))+AJ10/1000))/($W$2-V10*AI10/1000) &gt; Design!$C$29, Design!$C$29, 100*(Design!$C$22+V10*(IF(ISBLANK(Design!$B$35),Constants!$C$6,Design!$B$35)/1000*(1+Constants!$C$36/100*(AH10-25))+AJ10/1000))/($W$2-V10*AI10/1000) )</f>
        <v>40.183767949213447</v>
      </c>
      <c r="X10" s="203">
        <f ca="1">IF( ($C$2-V10*(IF(ISBLANK(Design!$B$35),Constants!$C$6,Design!$B$35)/1000*(1+Constants!$C$36/100*(AH10-25))+AJ10/1000)-Design!$C$22) / (IF(ISBLANK(Design!$B$34),Design!$B$33,Design!$B$34)/1000000) * W10/100 / (IF(ISBLANK(Design!$B$26),Design!$B$25,Design!$B$26)*1000000) &lt; 0, 0, ($C$2-V10*(IF(ISBLANK(Design!$B$35),Constants!$C$6,Design!$B$35)/1000*(1+Constants!$C$36/100*(AH10-25))+AJ10/1000)-Design!$C$22) / (IF(ISBLANK(Design!$B$34),Design!$B$33,Design!$B$34)/1000000) * W10/100 / (IF(ISBLANK(Design!$B$26),Design!$B$25,Design!$B$26)*1000000) )</f>
        <v>0.29266477996924517</v>
      </c>
      <c r="Y10" s="203">
        <f>$W$2*Constants!$C$21/1000+IF(ISBLANK(Design!$B$26),Design!$B$25,Design!$B$26)*1000000*(Constants!$D$26+Constants!$D$27)/1000000000*$W$2</f>
        <v>5.6999999999999995E-2</v>
      </c>
      <c r="Z10" s="203">
        <f>$W$2*V10*($W$2/(Constants!$C$28*1000000000)*IF(ISBLANK(Design!$B$26),Design!$B$25,Design!$B$26)*1000000/2+$W$2/(Constants!$C$29*1000000000)*IF(ISBLANK(Design!$B$26),Design!$B$25,Design!$B$26)*1000000/2)</f>
        <v>0.13125000000000001</v>
      </c>
      <c r="AA10" s="203">
        <f t="shared" ca="1" si="17"/>
        <v>0.1154538829294473</v>
      </c>
      <c r="AB10" s="203">
        <f t="shared" ca="1" si="18"/>
        <v>0.13963693529748911</v>
      </c>
      <c r="AC10" s="203">
        <f>2*V10*Constants!$C$20/1000000000*Constants!$C$25*IF(ISBLANK(Design!$B$26),Design!$B$25,Design!$B$26)*1000000</f>
        <v>6.3E-2</v>
      </c>
      <c r="AD10" s="203">
        <f>(Constants!$D$26+Constants!$D$27)/1000000000*$W$2*IF(ISBLANK(Design!$B$26),Design!$B$25,Design!$B$26)*1000000</f>
        <v>4.6999999999999993E-2</v>
      </c>
      <c r="AE10" s="203">
        <f t="shared" ca="1" si="19"/>
        <v>0.55334081822693648</v>
      </c>
      <c r="AF10" s="203">
        <f ca="1">V10^2*IF(ISBLANK(Design!$B$35),Constants!$C$6,Design!$B$35)/1000*(1+(AH10-25)*(Constants!$C$36/100))</f>
        <v>2.2660542511455821E-2</v>
      </c>
      <c r="AG10" s="203">
        <f>0.5*Snubber!$B$15/1000000000000*$W$2^2*Design!$B$26*1000000</f>
        <v>1.1750000000000002E-2</v>
      </c>
      <c r="AH10" s="204">
        <f ca="1">AE10*Design!$C$12+$A10</f>
        <v>51.560359274892953</v>
      </c>
      <c r="AI10" s="204">
        <f ca="1">Constants!$D$22+Constants!$D$22*Constants!$C$24/100*(AH10-25)</f>
        <v>93.598903948745189</v>
      </c>
      <c r="AJ10" s="204">
        <f ca="1">Constants!$D$23+Constants!$D$23*Constants!$C$24/100*(AH10-25)</f>
        <v>76.049109458355474</v>
      </c>
      <c r="AK10" s="203">
        <f ca="1">(1-Constants!$C$19/1000000000*Design!$B$26*1000000) * ($C$2-V10*AI10/1000) - (V10*Design!$B$35/1000)</f>
        <v>2.9008567262807259</v>
      </c>
      <c r="AL10" s="203">
        <f ca="1">IF(AK10&gt;Design!$C$22,Design!$C$22,AK10)</f>
        <v>1.7973333333333334</v>
      </c>
      <c r="AM10" s="203">
        <f t="shared" ca="1" si="20"/>
        <v>0.58775136073839229</v>
      </c>
      <c r="AN10" s="203">
        <f t="shared" ca="1" si="21"/>
        <v>3.1453333333333333</v>
      </c>
      <c r="AO10" s="344">
        <f t="shared" ca="1" si="22"/>
        <v>84.255611407055312</v>
      </c>
      <c r="AP10" s="350">
        <f t="shared" si="31"/>
        <v>1.75</v>
      </c>
      <c r="AQ10" s="218">
        <f ca="1">IF( 100*(Design!$C$22+AP10*(IF(ISBLANK(Design!$B$35),Constants!$C$6,Design!$B$35)/1000*(1+Constants!$C$36/100*(BB10-25))+BD10/1000))/($AQ$2-AP10*BC10/1000) &gt; Design!$C$29, Design!$C$29, 100*(Design!$C$22+AP10*(IF(ISBLANK(Design!$B$35),Constants!$C$6,Design!$B$35)/1000*(1+Constants!$C$36/100*(BB10-25))+BD10/1000))/($AQ$2-AP10*BC10/1000) )</f>
        <v>36.459163461523666</v>
      </c>
      <c r="AR10" s="217">
        <f ca="1">IF( ($AQ$2-AP10*(IF(ISBLANK(Design!$B$35),Constants!$C$6,Design!$B$35)/1000*(1+Constants!$C$36/100*(BB10-25))+BD10/1000)-Design!$C$22) / (IF(ISBLANK(Design!$B$34),Design!$B$33,Design!$B$34)/1000000) * AQ10/100 / (IF(ISBLANK(Design!$B$26),Design!$B$25,Design!$B$26)*1000000) &lt; 0, 0, ($AQ$2-AP10*(IF(ISBLANK(Design!$B$35),Constants!$C$6,Design!$B$35)/1000*(1+Constants!$C$36/100*(BB10-25))+BD10/1000)-Design!$C$22) / (IF(ISBLANK(Design!$B$34),Design!$B$33,Design!$B$34)/1000000) * AQ10/100 / (IF(ISBLANK(Design!$B$26),Design!$B$25,Design!$B$26)*1000000) )</f>
        <v>0.64808138347237898</v>
      </c>
      <c r="AS10" s="217">
        <f>$AQ$2*Constants!$C$21/1000+IF(ISBLANK(Design!$B$26),Design!$B$25,Design!$B$26)*1000000*(Constants!$D$26+Constants!$D$27)/1000000000*$AQ$2</f>
        <v>6.2699999999999992E-2</v>
      </c>
      <c r="AT10" s="217">
        <f>$AQ$2*AP10*($AQ$2/(Constants!$C$28*1000000000)*IF(ISBLANK(Design!$B$26),Design!$B$25,Design!$B$26)*1000000/2+$AQ$2/(Constants!$C$29*1000000000)*IF(ISBLANK(Design!$B$26),Design!$B$25,Design!$B$26)*1000000/2)</f>
        <v>0.1588125</v>
      </c>
      <c r="AU10" s="217">
        <f t="shared" ca="1" si="23"/>
        <v>0.10684138130110106</v>
      </c>
      <c r="AV10" s="217">
        <f t="shared" ca="1" si="24"/>
        <v>0.15128960613618239</v>
      </c>
      <c r="AW10" s="217">
        <f>2*AP10*Constants!$C$20/1000000000*Constants!$C$25*IF(ISBLANK(Design!$B$26),Design!$B$25,Design!$B$26)*1000000</f>
        <v>6.3E-2</v>
      </c>
      <c r="AX10" s="217">
        <f>(Constants!$D$26+Constants!$D$27)/1000000000*$AQ$2*IF(ISBLANK(Design!$B$26),Design!$B$25,Design!$B$26)*1000000</f>
        <v>5.1699999999999996E-2</v>
      </c>
      <c r="AY10" s="217">
        <f t="shared" ca="1" si="25"/>
        <v>0.59434348743728338</v>
      </c>
      <c r="AZ10" s="217">
        <f ca="1">AP10^2*IF(ISBLANK(Design!$B$35),Constants!$C$6,Design!$B$35)/1000*(1+(BB10-25)*(Constants!$C$36/100))</f>
        <v>2.2819249780053535E-2</v>
      </c>
      <c r="BA10" s="217">
        <f>0.5*Snubber!$B$15/1000000000000*$AQ$2^2*Design!$B$26*1000000</f>
        <v>1.4217500000000001E-2</v>
      </c>
      <c r="BB10" s="218">
        <f ca="1">AY10*Design!$C$12+$A10</f>
        <v>53.528487396989604</v>
      </c>
      <c r="BC10" s="218">
        <f ca="1">Constants!$D$22+Constants!$D$22*Constants!$C$24/100*(BB10-25)</f>
        <v>94.606585547258675</v>
      </c>
      <c r="BD10" s="218">
        <f ca="1">Constants!$D$23+Constants!$D$23*Constants!$C$24/100*(BB10-25)</f>
        <v>76.867850757147679</v>
      </c>
      <c r="BE10" s="217">
        <f ca="1">(1-Constants!$C$19/1000000000*Design!$B$26*1000000) * ($AQ$2-AP10*BC10/1000) - (AP10*Design!$B$35/1000)</f>
        <v>4.7892696277630673</v>
      </c>
      <c r="BF10" s="217">
        <f ca="1">IF(BE10&gt;Design!$C$22,Design!$C$22,BE10)</f>
        <v>1.7973333333333334</v>
      </c>
      <c r="BG10" s="217">
        <f t="shared" ca="1" si="26"/>
        <v>0.63138023721733694</v>
      </c>
      <c r="BH10" s="217">
        <f t="shared" ca="1" si="27"/>
        <v>3.1453333333333333</v>
      </c>
      <c r="BI10" s="351">
        <f t="shared" ca="1" si="28"/>
        <v>83.282284308225215</v>
      </c>
    </row>
    <row r="11" spans="1:61" s="144" customFormat="1" ht="13.5" thickBot="1">
      <c r="A11" s="136">
        <v>25</v>
      </c>
      <c r="B11" s="337">
        <f t="shared" si="29"/>
        <v>2</v>
      </c>
      <c r="C11" s="189">
        <f ca="1">IF( 100*(Design!$C$22+B11*(IF(ISBLANK(Design!$B$35),Constants!$C$6,Design!$B$35)/1000*(1+Constants!$C$36/100*(N11-25))+P11/1000))/($C$2-B11*O11/1000) &gt; Design!$C$29, Design!$C$29, 100*(Design!$C$22+B11*(IF(ISBLANK(Design!$B$35),Constants!$C$6,Design!$B$35)/1000*(1+Constants!$C$36/100*(N11-25))+P11/1000))/($C$2-B11*O11/1000) )</f>
        <v>61.15564162711545</v>
      </c>
      <c r="D11" s="188">
        <f ca="1">IF( ($C$2-B11*(IF(ISBLANK(Design!$B$35),Constants!$C$6,Design!$B$35)/1000*(1+Constants!$C$36/100*(N11-25))+P11/1000)-Design!$C$22) / (IF(ISBLANK(Design!$B$34),Design!$B$33,Design!$B$34)/1000000) * C11/100 / (IF(ISBLANK(Design!$B$26),Design!$B$25,Design!$B$26)*1000000) &lt; 0, 0, ($C$2-B11*(IF(ISBLANK(Design!$B$35),Constants!$C$6,Design!$B$35)/1000*(1+Constants!$C$36/100*(N11-25))+P11/1000)-Design!$C$22) / (IF(ISBLANK(Design!$B$34),Design!$B$33,Design!$B$34)/1000000) * C11/100 / (IF(ISBLANK(Design!$B$26),Design!$B$25,Design!$B$26)*1000000) )</f>
        <v>0.43892333688336133</v>
      </c>
      <c r="E11" s="188">
        <f>$C$2*Constants!$C$21/1000+IF(ISBLANK(Design!$B$26),Design!$B$25,Design!$B$26)*1000000*(Constants!$D$26+Constants!$D$27)/1000000000*$C$2</f>
        <v>3.8759999999999996E-2</v>
      </c>
      <c r="F11" s="188">
        <f>$C$2*B11*($C$2/(Constants!$C$28*1000000000)*IF(ISBLANK(Design!$B$26),Design!$B$25,Design!$B$26)*1000000/2+$C$2/(Constants!$C$29*1000000000)*IF(ISBLANK(Design!$B$26),Design!$B$25,Design!$B$26)*1000000/2)</f>
        <v>6.9359999999999991E-2</v>
      </c>
      <c r="G11" s="188">
        <f t="shared" ca="1" si="11"/>
        <v>0.23036534141907725</v>
      </c>
      <c r="H11" s="188">
        <f t="shared" ca="1" si="12"/>
        <v>0.11888633383711662</v>
      </c>
      <c r="I11" s="188">
        <f>2*B11*Constants!$C$20/1000000000*Constants!$C$25*IF(ISBLANK(Design!$B$26),Design!$B$25,Design!$B$26)*1000000</f>
        <v>7.1999999999999995E-2</v>
      </c>
      <c r="J11" s="188">
        <f>(Constants!$D$26+Constants!$D$27)/1000000000*$C$2*IF(ISBLANK(Design!$B$26),Design!$B$25,Design!$B$26)*1000000</f>
        <v>3.1959999999999988E-2</v>
      </c>
      <c r="K11" s="188">
        <f t="shared" ca="1" si="13"/>
        <v>0.56133167525619387</v>
      </c>
      <c r="L11" s="188">
        <f ca="1">B11^2*IF(ISBLANK(Design!$B$35),Constants!$C$6,Design!$B$35)/1000*(1+(N11-25)*(Constants!$C$36/100))</f>
        <v>2.9637841473504799E-2</v>
      </c>
      <c r="M11" s="188">
        <f>0.5*Snubber!$B$15/1000000000000*$C$2^2*Design!$B$26*1000000</f>
        <v>5.4332E-3</v>
      </c>
      <c r="N11" s="189">
        <f ca="1">K11*Design!$C$12+$A11</f>
        <v>51.943920412297302</v>
      </c>
      <c r="O11" s="189">
        <f ca="1">Constants!$D$22+Constants!$D$22*Constants!$C$24/100*(N11-25)</f>
        <v>93.795287251096227</v>
      </c>
      <c r="P11" s="189">
        <f ca="1">Constants!$D$23+Constants!$D$23*Constants!$C$24/100*(N11-25)</f>
        <v>76.208670891515681</v>
      </c>
      <c r="Q11" s="188">
        <f ca="1">(1-Constants!$C$19/1000000000*Design!$B$26*1000000) * ($C$2-B11*O11/1000) - (B11*Design!$B$35/1000)</f>
        <v>2.8777684829480266</v>
      </c>
      <c r="R11" s="188">
        <f ca="1">IF(Q11&gt;Design!$C$22,Design!$C$22,Q11)</f>
        <v>1.7973333333333334</v>
      </c>
      <c r="S11" s="188">
        <f t="shared" ca="1" si="14"/>
        <v>0.59640271672969869</v>
      </c>
      <c r="T11" s="188">
        <f t="shared" ca="1" si="15"/>
        <v>3.5946666666666669</v>
      </c>
      <c r="U11" s="339">
        <f t="shared" ca="1" si="16"/>
        <v>85.769676849244021</v>
      </c>
      <c r="V11" s="343">
        <f t="shared" si="30"/>
        <v>2</v>
      </c>
      <c r="W11" s="208">
        <f ca="1">IF( 100*(Design!$C$22+V11*(IF(ISBLANK(Design!$B$35),Constants!$C$6,Design!$B$35)/1000*(1+Constants!$C$36/100*(AH11-25))+AJ11/1000))/($W$2-V11*AI11/1000) &gt; Design!$C$29, Design!$C$29, 100*(Design!$C$22+V11*(IF(ISBLANK(Design!$B$35),Constants!$C$6,Design!$B$35)/1000*(1+Constants!$C$36/100*(AH11-25))+AJ11/1000))/($W$2-V11*AI11/1000) )</f>
        <v>40.964011890446407</v>
      </c>
      <c r="X11" s="207">
        <f ca="1">IF( ($C$2-V11*(IF(ISBLANK(Design!$B$35),Constants!$C$6,Design!$B$35)/1000*(1+Constants!$C$36/100*(AH11-25))+AJ11/1000)-Design!$C$22) / (IF(ISBLANK(Design!$B$34),Design!$B$33,Design!$B$34)/1000000) * W11/100 / (IF(ISBLANK(Design!$B$26),Design!$B$25,Design!$B$26)*1000000) &lt; 0, 0, ($C$2-V11*(IF(ISBLANK(Design!$B$35),Constants!$C$6,Design!$B$35)/1000*(1+Constants!$C$36/100*(AH11-25))+AJ11/1000)-Design!$C$22) / (IF(ISBLANK(Design!$B$34),Design!$B$33,Design!$B$34)/1000000) * W11/100 / (IF(ISBLANK(Design!$B$26),Design!$B$25,Design!$B$26)*1000000) )</f>
        <v>0.29306204086156085</v>
      </c>
      <c r="Y11" s="207">
        <f>$W$2*Constants!$C$21/1000+IF(ISBLANK(Design!$B$26),Design!$B$25,Design!$B$26)*1000000*(Constants!$D$26+Constants!$D$27)/1000000000*$W$2</f>
        <v>5.6999999999999995E-2</v>
      </c>
      <c r="Z11" s="207">
        <f>$W$2*V11*($W$2/(Constants!$C$28*1000000000)*IF(ISBLANK(Design!$B$26),Design!$B$25,Design!$B$26)*1000000/2+$W$2/(Constants!$C$29*1000000000)*IF(ISBLANK(Design!$B$26),Design!$B$25,Design!$B$26)*1000000/2)</f>
        <v>0.15</v>
      </c>
      <c r="AA11" s="207">
        <f t="shared" ca="1" si="17"/>
        <v>0.15833769693701052</v>
      </c>
      <c r="AB11" s="207">
        <f t="shared" ca="1" si="18"/>
        <v>0.18540525803885172</v>
      </c>
      <c r="AC11" s="207">
        <f>2*V11*Constants!$C$20/1000000000*Constants!$C$25*IF(ISBLANK(Design!$B$26),Design!$B$25,Design!$B$26)*1000000</f>
        <v>7.1999999999999995E-2</v>
      </c>
      <c r="AD11" s="207">
        <f>(Constants!$D$26+Constants!$D$27)/1000000000*$W$2*IF(ISBLANK(Design!$B$26),Design!$B$25,Design!$B$26)*1000000</f>
        <v>4.6999999999999993E-2</v>
      </c>
      <c r="AE11" s="207">
        <f t="shared" ca="1" si="19"/>
        <v>0.66974295497586223</v>
      </c>
      <c r="AF11" s="207">
        <f ca="1">V11^2*IF(ISBLANK(Design!$B$35),Constants!$C$6,Design!$B$35)/1000*(1+(AH11-25)*(Constants!$C$36/100))</f>
        <v>3.0185920335514128E-2</v>
      </c>
      <c r="AG11" s="207">
        <f>0.5*Snubber!$B$15/1000000000000*$W$2^2*Design!$B$26*1000000</f>
        <v>1.1750000000000002E-2</v>
      </c>
      <c r="AH11" s="208">
        <f ca="1">AE11*Design!$C$12+$A11</f>
        <v>57.147661838841387</v>
      </c>
      <c r="AI11" s="208">
        <f ca="1">Constants!$D$22+Constants!$D$22*Constants!$C$24/100*(AH11-25)</f>
        <v>96.459602861486786</v>
      </c>
      <c r="AJ11" s="208">
        <f ca="1">Constants!$D$23+Constants!$D$23*Constants!$C$24/100*(AH11-25)</f>
        <v>78.373427324958016</v>
      </c>
      <c r="AK11" s="207">
        <f ca="1">(1-Constants!$C$19/1000000000*Design!$B$26*1000000) * ($C$2-V11*AI11/1000) - (V11*Design!$B$35/1000)</f>
        <v>2.872972714849324</v>
      </c>
      <c r="AL11" s="207">
        <f ca="1">IF(AK11&gt;Design!$C$22,Design!$C$22,AK11)</f>
        <v>1.7973333333333334</v>
      </c>
      <c r="AM11" s="207">
        <f t="shared" ca="1" si="20"/>
        <v>0.71167887531137641</v>
      </c>
      <c r="AN11" s="207">
        <f t="shared" ca="1" si="21"/>
        <v>3.5946666666666669</v>
      </c>
      <c r="AO11" s="345">
        <f t="shared" ca="1" si="22"/>
        <v>83.473716440681187</v>
      </c>
      <c r="AP11" s="352">
        <f t="shared" si="31"/>
        <v>2</v>
      </c>
      <c r="AQ11" s="222">
        <f ca="1">IF( 100*(Design!$C$22+AP11*(IF(ISBLANK(Design!$B$35),Constants!$C$6,Design!$B$35)/1000*(1+Constants!$C$36/100*(BB11-25))+BD11/1000))/($AQ$2-AP11*BC11/1000) &gt; Design!$C$29, Design!$C$29, 100*(Design!$C$22+AP11*(IF(ISBLANK(Design!$B$35),Constants!$C$6,Design!$B$35)/1000*(1+Constants!$C$36/100*(BB11-25))+BD11/1000))/($AQ$2-AP11*BC11/1000) )</f>
        <v>37.1567788911604</v>
      </c>
      <c r="AR11" s="221">
        <f ca="1">IF( ($AQ$2-AP11*(IF(ISBLANK(Design!$B$35),Constants!$C$6,Design!$B$35)/1000*(1+Constants!$C$36/100*(BB11-25))+BD11/1000)-Design!$C$22) / (IF(ISBLANK(Design!$B$34),Design!$B$33,Design!$B$34)/1000000) * AQ11/100 / (IF(ISBLANK(Design!$B$26),Design!$B$25,Design!$B$26)*1000000) &lt; 0, 0, ($AQ$2-AP11*(IF(ISBLANK(Design!$B$35),Constants!$C$6,Design!$B$35)/1000*(1+Constants!$C$36/100*(BB11-25))+BD11/1000)-Design!$C$22) / (IF(ISBLANK(Design!$B$34),Design!$B$33,Design!$B$34)/1000000) * AQ11/100 / (IF(ISBLANK(Design!$B$26),Design!$B$25,Design!$B$26)*1000000) )</f>
        <v>0.65561128414364567</v>
      </c>
      <c r="AS11" s="221">
        <f>$AQ$2*Constants!$C$21/1000+IF(ISBLANK(Design!$B$26),Design!$B$25,Design!$B$26)*1000000*(Constants!$D$26+Constants!$D$27)/1000000000*$AQ$2</f>
        <v>6.2699999999999992E-2</v>
      </c>
      <c r="AT11" s="221">
        <f>$AQ$2*AP11*($AQ$2/(Constants!$C$28*1000000000)*IF(ISBLANK(Design!$B$26),Design!$B$25,Design!$B$26)*1000000/2+$AQ$2/(Constants!$C$29*1000000000)*IF(ISBLANK(Design!$B$26),Design!$B$25,Design!$B$26)*1000000/2)</f>
        <v>0.18149999999999999</v>
      </c>
      <c r="AU11" s="221">
        <f t="shared" ca="1" si="23"/>
        <v>0.14632821697077406</v>
      </c>
      <c r="AV11" s="221">
        <f t="shared" ca="1" si="24"/>
        <v>0.20108136722239461</v>
      </c>
      <c r="AW11" s="221">
        <f>2*AP11*Constants!$C$20/1000000000*Constants!$C$25*IF(ISBLANK(Design!$B$26),Design!$B$25,Design!$B$26)*1000000</f>
        <v>7.1999999999999995E-2</v>
      </c>
      <c r="AX11" s="221">
        <f>(Constants!$D$26+Constants!$D$27)/1000000000*$AQ$2*IF(ISBLANK(Design!$B$26),Design!$B$25,Design!$B$26)*1000000</f>
        <v>5.1699999999999996E-2</v>
      </c>
      <c r="AY11" s="221">
        <f t="shared" ca="1" si="25"/>
        <v>0.71530958419316848</v>
      </c>
      <c r="AZ11" s="221">
        <f ca="1">AP11^2*IF(ISBLANK(Design!$B$35),Constants!$C$6,Design!$B$35)/1000*(1+(BB11-25)*(Constants!$C$36/100))</f>
        <v>3.0416284798986941E-2</v>
      </c>
      <c r="BA11" s="221">
        <f>0.5*Snubber!$B$15/1000000000000*$AQ$2^2*Design!$B$26*1000000</f>
        <v>1.4217500000000001E-2</v>
      </c>
      <c r="BB11" s="222">
        <f ca="1">AY11*Design!$C$12+$A11</f>
        <v>59.334860041272087</v>
      </c>
      <c r="BC11" s="222">
        <f ca="1">Constants!$D$22+Constants!$D$22*Constants!$C$24/100*(BB11-25)</f>
        <v>97.579448341131311</v>
      </c>
      <c r="BD11" s="222">
        <f ca="1">Constants!$D$23+Constants!$D$23*Constants!$C$24/100*(BB11-25)</f>
        <v>79.283301777169186</v>
      </c>
      <c r="BE11" s="221">
        <f ca="1">(1-Constants!$C$19/1000000000*Design!$B$26*1000000) * ($AQ$2-AP11*BC11/1000) - (AP11*Design!$B$35/1000)</f>
        <v>4.7609569929859639</v>
      </c>
      <c r="BF11" s="221">
        <f ca="1">IF(BE11&gt;Design!$C$22,Design!$C$22,BE11)</f>
        <v>1.7973333333333334</v>
      </c>
      <c r="BG11" s="221">
        <f t="shared" ca="1" si="26"/>
        <v>0.75994336899215542</v>
      </c>
      <c r="BH11" s="221">
        <f t="shared" ca="1" si="27"/>
        <v>3.5946666666666669</v>
      </c>
      <c r="BI11" s="353">
        <f t="shared" ca="1" si="28"/>
        <v>82.548532181546278</v>
      </c>
    </row>
    <row r="12" spans="1:61" s="305" customFormat="1" ht="12.75">
      <c r="A12" s="180"/>
      <c r="B12" s="277"/>
      <c r="C12" s="278"/>
      <c r="D12" s="279"/>
      <c r="E12" s="279"/>
      <c r="F12" s="302" t="s">
        <v>275</v>
      </c>
      <c r="G12" s="302" t="s">
        <v>275</v>
      </c>
      <c r="H12" s="302" t="s">
        <v>276</v>
      </c>
      <c r="I12" s="279"/>
      <c r="J12" s="279"/>
      <c r="K12" s="279"/>
      <c r="L12" s="279"/>
      <c r="M12" s="279"/>
      <c r="N12" s="278"/>
      <c r="O12" s="302" t="s">
        <v>275</v>
      </c>
      <c r="P12" s="302" t="s">
        <v>276</v>
      </c>
      <c r="Q12" s="279"/>
      <c r="R12" s="279"/>
      <c r="S12" s="279"/>
      <c r="T12" s="279"/>
      <c r="U12" s="280"/>
      <c r="V12" s="277"/>
      <c r="W12" s="278"/>
      <c r="X12" s="279"/>
      <c r="Y12" s="279"/>
      <c r="Z12" s="302" t="s">
        <v>275</v>
      </c>
      <c r="AA12" s="302" t="s">
        <v>275</v>
      </c>
      <c r="AB12" s="302" t="s">
        <v>276</v>
      </c>
      <c r="AC12" s="279"/>
      <c r="AD12" s="279"/>
      <c r="AE12" s="279"/>
      <c r="AF12" s="279"/>
      <c r="AG12" s="279"/>
      <c r="AH12" s="278"/>
      <c r="AI12" s="302" t="s">
        <v>275</v>
      </c>
      <c r="AJ12" s="302" t="s">
        <v>276</v>
      </c>
      <c r="AK12" s="279"/>
      <c r="AL12" s="279"/>
      <c r="AM12" s="279"/>
      <c r="AN12" s="279"/>
      <c r="AO12" s="280"/>
      <c r="AP12" s="277"/>
      <c r="AQ12" s="278"/>
      <c r="AR12" s="279"/>
      <c r="AS12" s="279"/>
      <c r="AT12" s="302" t="s">
        <v>275</v>
      </c>
      <c r="AU12" s="302" t="s">
        <v>275</v>
      </c>
      <c r="AV12" s="302" t="s">
        <v>276</v>
      </c>
      <c r="AW12" s="279"/>
      <c r="AX12" s="279"/>
      <c r="AY12" s="279"/>
      <c r="AZ12" s="279"/>
      <c r="BA12" s="279"/>
      <c r="BB12" s="278"/>
      <c r="BC12" s="302" t="s">
        <v>275</v>
      </c>
      <c r="BD12" s="302" t="s">
        <v>276</v>
      </c>
      <c r="BE12" s="279"/>
      <c r="BF12" s="279"/>
      <c r="BG12" s="279"/>
      <c r="BH12" s="279"/>
      <c r="BI12" s="280"/>
    </row>
    <row r="13" spans="1:61" ht="15.75" thickBot="1">
      <c r="A13" s="233" t="s">
        <v>207</v>
      </c>
      <c r="B13" s="233" t="s">
        <v>95</v>
      </c>
      <c r="C13" s="223" t="s">
        <v>230</v>
      </c>
      <c r="D13" s="223" t="s">
        <v>231</v>
      </c>
      <c r="E13" s="223" t="s">
        <v>96</v>
      </c>
      <c r="F13" s="223" t="s">
        <v>282</v>
      </c>
      <c r="G13" s="223" t="s">
        <v>283</v>
      </c>
      <c r="H13" s="223" t="s">
        <v>283</v>
      </c>
      <c r="I13" s="223" t="s">
        <v>280</v>
      </c>
      <c r="J13" s="223" t="s">
        <v>196</v>
      </c>
      <c r="K13" s="223" t="s">
        <v>242</v>
      </c>
      <c r="L13" s="223" t="s">
        <v>244</v>
      </c>
      <c r="M13" s="223" t="s">
        <v>252</v>
      </c>
      <c r="N13" s="223" t="s">
        <v>265</v>
      </c>
      <c r="O13" s="223" t="s">
        <v>281</v>
      </c>
      <c r="P13" s="223" t="s">
        <v>281</v>
      </c>
      <c r="Q13" s="223" t="s">
        <v>238</v>
      </c>
      <c r="R13" s="223" t="s">
        <v>243</v>
      </c>
      <c r="S13" s="223" t="s">
        <v>245</v>
      </c>
      <c r="T13" s="223" t="s">
        <v>246</v>
      </c>
      <c r="U13" s="276" t="s">
        <v>236</v>
      </c>
      <c r="V13" s="233" t="s">
        <v>95</v>
      </c>
      <c r="W13" s="223" t="s">
        <v>230</v>
      </c>
      <c r="X13" s="223" t="s">
        <v>231</v>
      </c>
      <c r="Y13" s="223" t="s">
        <v>96</v>
      </c>
      <c r="Z13" s="223" t="s">
        <v>282</v>
      </c>
      <c r="AA13" s="223" t="s">
        <v>283</v>
      </c>
      <c r="AB13" s="223" t="s">
        <v>283</v>
      </c>
      <c r="AC13" s="223" t="s">
        <v>280</v>
      </c>
      <c r="AD13" s="223" t="s">
        <v>196</v>
      </c>
      <c r="AE13" s="223" t="s">
        <v>242</v>
      </c>
      <c r="AF13" s="223" t="s">
        <v>244</v>
      </c>
      <c r="AG13" s="223" t="s">
        <v>252</v>
      </c>
      <c r="AH13" s="223" t="s">
        <v>265</v>
      </c>
      <c r="AI13" s="223" t="s">
        <v>281</v>
      </c>
      <c r="AJ13" s="223" t="s">
        <v>281</v>
      </c>
      <c r="AK13" s="223" t="s">
        <v>238</v>
      </c>
      <c r="AL13" s="223" t="s">
        <v>243</v>
      </c>
      <c r="AM13" s="223" t="s">
        <v>245</v>
      </c>
      <c r="AN13" s="223" t="s">
        <v>246</v>
      </c>
      <c r="AO13" s="276" t="s">
        <v>236</v>
      </c>
      <c r="AP13" s="233" t="s">
        <v>95</v>
      </c>
      <c r="AQ13" s="223" t="s">
        <v>230</v>
      </c>
      <c r="AR13" s="223" t="s">
        <v>231</v>
      </c>
      <c r="AS13" s="223" t="s">
        <v>96</v>
      </c>
      <c r="AT13" s="223" t="s">
        <v>282</v>
      </c>
      <c r="AU13" s="223" t="s">
        <v>283</v>
      </c>
      <c r="AV13" s="223" t="s">
        <v>283</v>
      </c>
      <c r="AW13" s="223" t="s">
        <v>280</v>
      </c>
      <c r="AX13" s="223" t="s">
        <v>196</v>
      </c>
      <c r="AY13" s="223" t="s">
        <v>242</v>
      </c>
      <c r="AZ13" s="223" t="s">
        <v>244</v>
      </c>
      <c r="BA13" s="223" t="s">
        <v>252</v>
      </c>
      <c r="BB13" s="223" t="s">
        <v>265</v>
      </c>
      <c r="BC13" s="223" t="s">
        <v>281</v>
      </c>
      <c r="BD13" s="223" t="s">
        <v>281</v>
      </c>
      <c r="BE13" s="223" t="s">
        <v>238</v>
      </c>
      <c r="BF13" s="223" t="s">
        <v>243</v>
      </c>
      <c r="BG13" s="223" t="s">
        <v>245</v>
      </c>
      <c r="BH13" s="223" t="s">
        <v>246</v>
      </c>
      <c r="BI13" s="276" t="s">
        <v>236</v>
      </c>
    </row>
    <row r="14" spans="1:61" ht="12.75" customHeight="1">
      <c r="A14" s="180">
        <f>Design!$D$13</f>
        <v>105</v>
      </c>
      <c r="B14" s="335">
        <v>0.25</v>
      </c>
      <c r="C14" s="185">
        <f ca="1">IF( 100*(Design!$C$22+B14*(IF(ISBLANK(Design!$B$35),Constants!$C$6,Design!$B$35)/1000*(1+Constants!$C$36/100*(N14-25))+P14/1000))/($C$2-B14*O14/1000) &gt; Design!$C$29, Design!$C$29, 100*(Design!$C$22+B14*(IF(ISBLANK(Design!$B$35),Constants!$C$6,Design!$B$35)/1000*(1+Constants!$C$36/100*(N14-25))+P14/1000))/($C$2-B14*O14/1000) )</f>
        <v>54.156493199246292</v>
      </c>
      <c r="D14" s="184">
        <f ca="1">IF( ($C$2-B14*(IF(ISBLANK(Design!$B$35),Constants!$C$6,Design!$B$35)/1000*(1+Constants!$C$36/100*(N14-25))+P14/1000)-Design!$C$22) / (IF(ISBLANK(Design!$B$34),Design!$B$33,Design!$B$34)/1000000) * C14/100 / (IF(ISBLANK(Design!$B$26),Design!$B$25,Design!$B$26)*1000000) &lt; 0, 0, ($C$2-B14*(IF(ISBLANK(Design!$B$35),Constants!$C$6,Design!$B$35)/1000*(1+Constants!$C$36/100*(N14-25))+P14/1000)-Design!$C$22) / (IF(ISBLANK(Design!$B$34),Design!$B$33,Design!$B$34)/1000000) * C14/100 / (IF(ISBLANK(Design!$B$26),Design!$B$25,Design!$B$26)*1000000) )</f>
        <v>0.42658511797011756</v>
      </c>
      <c r="E14" s="184">
        <f>$C$2*Constants!$C$21/1000+IF(ISBLANK(Design!$B$26),Design!$B$25,Design!$B$26)*1000000*(Constants!$D$26+Constants!$D$27)/1000000000*$C$2</f>
        <v>3.8759999999999996E-2</v>
      </c>
      <c r="F14" s="184">
        <f>$C$2*B14*($C$2/(Constants!$C$28*1000000000)*IF(ISBLANK(Design!$B$26),Design!$B$25,Design!$B$26)*1000000/2+$C$2/(Constants!$C$29*1000000000)*IF(ISBLANK(Design!$B$26),Design!$B$25,Design!$B$26)*1000000/2)</f>
        <v>8.6699999999999989E-3</v>
      </c>
      <c r="G14" s="184">
        <f t="shared" ref="G14" ca="1" si="32">IF($C$74,1,C14/100*(B14^2+D14^2/12)*O14/1000)</f>
        <v>5.188044869014424E-3</v>
      </c>
      <c r="H14" s="184">
        <f t="shared" ref="H14" ca="1" si="33">IF($C$74,1,(1-C14/100)*(B14^2+D14^2/12)*P14/1000)</f>
        <v>3.5682427332435346E-3</v>
      </c>
      <c r="I14" s="184">
        <f>2*B14*Constants!$C$20/1000000000*Constants!$C$25*IF(ISBLANK(Design!$B$26),Design!$B$25,Design!$B$26)*1000000</f>
        <v>8.9999999999999993E-3</v>
      </c>
      <c r="J14" s="184">
        <f>(Constants!$D$26+Constants!$D$27)/1000000000*$C$2*IF(ISBLANK(Design!$B$26),Design!$B$25,Design!$B$26)*1000000</f>
        <v>3.1959999999999988E-2</v>
      </c>
      <c r="K14" s="184">
        <f ca="1">SUM(E14:J14)</f>
        <v>9.7146287602257936E-2</v>
      </c>
      <c r="L14" s="184">
        <f ca="1">B14^2*IF(ISBLANK(Design!$B$35),Constants!$C$6,Design!$B$35)/1000*(1+(N14-25)*(Constants!$C$36/100))</f>
        <v>5.5807887669656522E-4</v>
      </c>
      <c r="M14" s="184">
        <f>0.5*Snubber!$B$15/1000000000000*$C$2^2*Design!$B$26*1000000</f>
        <v>5.4332E-3</v>
      </c>
      <c r="N14" s="185">
        <f ca="1">K14*Design!$C$12+$A14</f>
        <v>109.66302180490838</v>
      </c>
      <c r="O14" s="185">
        <f ca="1">Constants!$D$22+Constants!$D$22*Constants!$C$24/100*(N14-25)</f>
        <v>123.34746716411308</v>
      </c>
      <c r="P14" s="185">
        <f ca="1">Constants!$D$23+Constants!$D$23*Constants!$C$24/100*(N14-25)</f>
        <v>100.21981707084188</v>
      </c>
      <c r="Q14" s="184">
        <f ca="1">(1-Constants!$C$19/1000000000*Design!$B$26*1000000) * ($C$2-B14*O14/1000) - (B14*Design!$B$35/1000)</f>
        <v>3.0305718198880744</v>
      </c>
      <c r="R14" s="184">
        <f ca="1">IF(Q14&gt;Design!$C$22,Design!$C$22,Q14)</f>
        <v>1.7973333333333334</v>
      </c>
      <c r="S14" s="184">
        <f t="shared" ref="S14" ca="1" si="34">SUM(K14:M14)</f>
        <v>0.1031375664789545</v>
      </c>
      <c r="T14" s="184">
        <f t="shared" ref="T14" ca="1" si="35">R14*B14</f>
        <v>0.44933333333333336</v>
      </c>
      <c r="U14" s="336">
        <f t="shared" ref="U14" ca="1" si="36">100*T14/(T14+S14)</f>
        <v>81.331583887224227</v>
      </c>
      <c r="V14" s="341">
        <v>0.25</v>
      </c>
      <c r="W14" s="200">
        <f ca="1">IF( 100*(Design!$C$22+V14*(IF(ISBLANK(Design!$B$35),Constants!$C$6,Design!$B$35)/1000*(1+Constants!$C$36/100*(AH14-25))+AJ14/1000))/($W$2-V14*AI14/1000) &gt; Design!$C$29, Design!$C$29, 100*(Design!$C$22+V14*(IF(ISBLANK(Design!$B$35),Constants!$C$6,Design!$B$35)/1000*(1+Constants!$C$36/100*(AH14-25))+AJ14/1000))/($W$2-V14*AI14/1000) )</f>
        <v>36.72529800681243</v>
      </c>
      <c r="X14" s="199">
        <f ca="1">IF( ($C$2-V14*(IF(ISBLANK(Design!$B$35),Constants!$C$6,Design!$B$35)/1000*(1+Constants!$C$36/100*(AH14-25))+AJ14/1000)-Design!$C$22) / (IF(ISBLANK(Design!$B$34),Design!$B$33,Design!$B$34)/1000000) * W14/100 / (IF(ISBLANK(Design!$B$26),Design!$B$25,Design!$B$26)*1000000) &lt; 0, 0, ($C$2-V14*(IF(ISBLANK(Design!$B$35),Constants!$C$6,Design!$B$35)/1000*(1+Constants!$C$36/100*(AH14-25))+AJ14/1000)-Design!$C$22) / (IF(ISBLANK(Design!$B$34),Design!$B$33,Design!$B$34)/1000000) * W14/100 / (IF(ISBLANK(Design!$B$26),Design!$B$25,Design!$B$26)*1000000) )</f>
        <v>0.28924023819517575</v>
      </c>
      <c r="Y14" s="199">
        <f>$W$2*Constants!$C$21/1000+IF(ISBLANK(Design!$B$26),Design!$B$25,Design!$B$26)*1000000*(Constants!$D$26+Constants!$D$27)/1000000000*$W$2</f>
        <v>5.6999999999999995E-2</v>
      </c>
      <c r="Z14" s="199">
        <f>$W$2*V14*($W$2/(Constants!$C$28*1000000000)*IF(ISBLANK(Design!$B$26),Design!$B$25,Design!$B$26)*1000000/2+$W$2/(Constants!$C$29*1000000000)*IF(ISBLANK(Design!$B$26),Design!$B$25,Design!$B$26)*1000000/2)</f>
        <v>1.8749999999999999E-2</v>
      </c>
      <c r="AA14" s="199">
        <f ca="1">IF($C$74,1,W14/100*(V14^2+X14^2/12)*AI14/1000)</f>
        <v>3.1735198689839868E-3</v>
      </c>
      <c r="AB14" s="199">
        <f ca="1">IF($C$74,1,(1-W14/100)*(V14^2+X14^2/12)*AJ14/1000)</f>
        <v>4.4425197912081084E-3</v>
      </c>
      <c r="AC14" s="199">
        <f>2*V14*Constants!$C$20/1000000000*Constants!$C$25*IF(ISBLANK(Design!$B$26),Design!$B$25,Design!$B$26)*1000000</f>
        <v>8.9999999999999993E-3</v>
      </c>
      <c r="AD14" s="199">
        <f>(Constants!$D$26+Constants!$D$27)/1000000000*$W$2*IF(ISBLANK(Design!$B$26),Design!$B$25,Design!$B$26)*1000000</f>
        <v>4.6999999999999993E-2</v>
      </c>
      <c r="AE14" s="199">
        <f ca="1">SUM(Y14:AD14)</f>
        <v>0.13936603966019206</v>
      </c>
      <c r="AF14" s="199">
        <f ca="1">V14^2*IF(ISBLANK(Design!$B$35),Constants!$C$6,Design!$B$35)/1000*(1+(AH14-25)*(Constants!$C$36/100))</f>
        <v>5.6141394157087755E-4</v>
      </c>
      <c r="AG14" s="199">
        <f>0.5*Snubber!$B$15/1000000000000*$W$2^2*Design!$B$26*1000000</f>
        <v>1.1750000000000002E-2</v>
      </c>
      <c r="AH14" s="200">
        <f ca="1">AE14*Design!$C$12+$A14</f>
        <v>111.68956990368922</v>
      </c>
      <c r="AI14" s="200">
        <f ca="1">Constants!$D$22+Constants!$D$22*Constants!$C$24/100*(AH14-25)</f>
        <v>124.38505979068887</v>
      </c>
      <c r="AJ14" s="200">
        <f ca="1">Constants!$D$23+Constants!$D$23*Constants!$C$24/100*(AH14-25)</f>
        <v>101.06286107993472</v>
      </c>
      <c r="AK14" s="199">
        <f ca="1">(1-Constants!$C$19/1000000000*Design!$B$26*1000000) * ($C$2-V14*AI14/1000) - (V14*Design!$B$35/1000)</f>
        <v>3.0303383615470949</v>
      </c>
      <c r="AL14" s="199">
        <f ca="1">IF(AK14&gt;Design!$C$22,Design!$C$22,AK14)</f>
        <v>1.7973333333333334</v>
      </c>
      <c r="AM14" s="199">
        <f t="shared" ref="AM14" ca="1" si="37">SUM(AE14:AG14)</f>
        <v>0.15167745360176296</v>
      </c>
      <c r="AN14" s="199">
        <f t="shared" ref="AN14" ca="1" si="38">AL14*V14</f>
        <v>0.44933333333333336</v>
      </c>
      <c r="AO14" s="342">
        <f t="shared" ref="AO14" ca="1" si="39">100*AN14/(AN14+AM14)</f>
        <v>74.762939884115127</v>
      </c>
      <c r="AP14" s="348">
        <v>0.25</v>
      </c>
      <c r="AQ14" s="214">
        <f ca="1">IF( 100*(Design!$C$22+AP14*(IF(ISBLANK(Design!$B$35),Constants!$C$6,Design!$B$35)/1000*(1+Constants!$C$36/100*(BB14-25))+BD14/1000))/($AQ$2-AP14*BC14/1000) &gt; Design!$C$29, Design!$C$29, 100*(Design!$C$22+AP14*(IF(ISBLANK(Design!$B$35),Constants!$C$6,Design!$B$35)/1000*(1+Constants!$C$36/100*(BB14-25))+BD14/1000))/($AQ$2-AP14*BC14/1000) )</f>
        <v>33.369933980990247</v>
      </c>
      <c r="AR14" s="213">
        <f ca="1">IF( ($AQ$2-AP14*(IF(ISBLANK(Design!$B$35),Constants!$C$6,Design!$B$35)/1000*(1+Constants!$C$36/100*(BB14-25))+BD14/1000)-Design!$C$22) / (IF(ISBLANK(Design!$B$34),Design!$B$33,Design!$B$34)/1000000) * AQ14/100 / (IF(ISBLANK(Design!$B$26),Design!$B$25,Design!$B$26)*1000000) &lt; 0, 0, ($AQ$2-AP14*(IF(ISBLANK(Design!$B$35),Constants!$C$6,Design!$B$35)/1000*(1+Constants!$C$36/100*(BB14-25))+BD14/1000)-Design!$C$22) / (IF(ISBLANK(Design!$B$34),Design!$B$33,Design!$B$34)/1000000) * AQ14/100 / (IF(ISBLANK(Design!$B$26),Design!$B$25,Design!$B$26)*1000000) )</f>
        <v>0.61318341963024359</v>
      </c>
      <c r="AS14" s="213">
        <f>$AQ$2*Constants!$C$21/1000+IF(ISBLANK(Design!$B$26),Design!$B$25,Design!$B$26)*1000000*(Constants!$D$26+Constants!$D$27)/1000000000*$AQ$2</f>
        <v>6.2699999999999992E-2</v>
      </c>
      <c r="AT14" s="213">
        <f>$AQ$2*AP14*($AQ$2/(Constants!$C$28*1000000000)*IF(ISBLANK(Design!$B$26),Design!$B$25,Design!$B$26)*1000000/2+$AQ$2/(Constants!$C$29*1000000000)*IF(ISBLANK(Design!$B$26),Design!$B$25,Design!$B$26)*1000000/2)</f>
        <v>2.2687499999999999E-2</v>
      </c>
      <c r="AU14" s="213">
        <f ca="1">IF($C$74,1,AQ14/100*(AP14^2+AR14^2/12)*BC14/1000)</f>
        <v>3.9077970248367691E-3</v>
      </c>
      <c r="AV14" s="213">
        <f ca="1">IF($C$74,1,(1-AQ14/100)*(AP14^2+AR14^2/12)*BD14/1000)</f>
        <v>6.3397227215208065E-3</v>
      </c>
      <c r="AW14" s="213">
        <f>2*AP14*Constants!$C$20/1000000000*Constants!$C$25*IF(ISBLANK(Design!$B$26),Design!$B$25,Design!$B$26)*1000000</f>
        <v>8.9999999999999993E-3</v>
      </c>
      <c r="AX14" s="213">
        <f>(Constants!$D$26+Constants!$D$27)/1000000000*$AQ$2*IF(ISBLANK(Design!$B$26),Design!$B$25,Design!$B$26)*1000000</f>
        <v>5.1699999999999996E-2</v>
      </c>
      <c r="AY14" s="213">
        <f ca="1">SUM(AS14:AX14)</f>
        <v>0.15633501974635755</v>
      </c>
      <c r="AZ14" s="213">
        <f ca="1">AP14^2*IF(ISBLANK(Design!$B$35),Constants!$C$6,Design!$B$35)/1000*(1+(BB14-25)*(Constants!$C$36/100))</f>
        <v>5.6275437221482401E-4</v>
      </c>
      <c r="BA14" s="213">
        <f>0.5*Snubber!$B$15/1000000000000*$AQ$2^2*Design!$B$26*1000000</f>
        <v>1.4217500000000001E-2</v>
      </c>
      <c r="BB14" s="214">
        <f ca="1">AY14*Design!$C$12+$A14</f>
        <v>112.50408094782516</v>
      </c>
      <c r="BC14" s="214">
        <f ca="1">Constants!$D$22+Constants!$D$22*Constants!$C$24/100*(BB14-25)</f>
        <v>124.80208944528648</v>
      </c>
      <c r="BD14" s="214">
        <f ca="1">Constants!$D$23+Constants!$D$23*Constants!$C$24/100*(BB14-25)</f>
        <v>101.40169767429526</v>
      </c>
      <c r="BE14" s="213">
        <f ca="1">(1-Constants!$C$19/1000000000*Design!$B$26*1000000) * ($AQ$2-AP14*BC14/1000) - (AP14*Design!$B$35/1000)</f>
        <v>4.920244529874811</v>
      </c>
      <c r="BF14" s="213">
        <f ca="1">IF(BE14&gt;Design!$C$22,Design!$C$22,BE14)</f>
        <v>1.7973333333333334</v>
      </c>
      <c r="BG14" s="213">
        <f t="shared" ref="BG14" ca="1" si="40">SUM(AY14:BA14)</f>
        <v>0.17111527411857236</v>
      </c>
      <c r="BH14" s="213">
        <f t="shared" ref="BH14" ca="1" si="41">BF14*AP14</f>
        <v>0.44933333333333336</v>
      </c>
      <c r="BI14" s="349">
        <f t="shared" ref="BI14" ca="1" si="42">100*BH14/(BH14+BG14)</f>
        <v>72.420717515779671</v>
      </c>
    </row>
    <row r="15" spans="1:61" ht="12.75" customHeight="1">
      <c r="A15" s="136">
        <f>Design!$D$13</f>
        <v>105</v>
      </c>
      <c r="B15" s="337">
        <f>B14+0.25</f>
        <v>0.5</v>
      </c>
      <c r="C15" s="187">
        <f ca="1">IF( 100*(Design!$C$22+B15*(IF(ISBLANK(Design!$B$35),Constants!$C$6,Design!$B$35)/1000*(1+Constants!$C$36/100*(N15-25))+P15/1000))/($C$2-B15*O15/1000) &gt; Design!$C$29, Design!$C$29, 100*(Design!$C$22+B15*(IF(ISBLANK(Design!$B$35),Constants!$C$6,Design!$B$35)/1000*(1+Constants!$C$36/100*(N15-25))+P15/1000))/($C$2-B15*O15/1000) )</f>
        <v>55.494588853676255</v>
      </c>
      <c r="D15" s="186">
        <f ca="1">IF( ($C$2-B15*(IF(ISBLANK(Design!$B$35),Constants!$C$6,Design!$B$35)/1000*(1+Constants!$C$36/100*(N15-25))+P15/1000)-Design!$C$22) / (IF(ISBLANK(Design!$B$34),Design!$B$33,Design!$B$34)/1000000) * C15/100 / (IF(ISBLANK(Design!$B$26),Design!$B$25,Design!$B$26)*1000000) &lt; 0, 0, ($C$2-B15*(IF(ISBLANK(Design!$B$35),Constants!$C$6,Design!$B$35)/1000*(1+Constants!$C$36/100*(N15-25))+P15/1000)-Design!$C$22) / (IF(ISBLANK(Design!$B$34),Design!$B$33,Design!$B$34)/1000000) * C15/100 / (IF(ISBLANK(Design!$B$26),Design!$B$25,Design!$B$26)*1000000) )</f>
        <v>0.42943836247013834</v>
      </c>
      <c r="E15" s="186">
        <f>$C$2*Constants!$C$21/1000+IF(ISBLANK(Design!$B$26),Design!$B$25,Design!$B$26)*1000000*(Constants!$D$26+Constants!$D$27)/1000000000*$C$2</f>
        <v>3.8759999999999996E-2</v>
      </c>
      <c r="F15" s="186">
        <f>$C$2*B15*($C$2/(Constants!$C$28*1000000000)*IF(ISBLANK(Design!$B$26),Design!$B$25,Design!$B$26)*1000000/2+$C$2/(Constants!$C$29*1000000000)*IF(ISBLANK(Design!$B$26),Design!$B$25,Design!$B$26)*1000000/2)</f>
        <v>1.7339999999999998E-2</v>
      </c>
      <c r="G15" s="186">
        <f t="shared" ref="G15:G21" ca="1" si="43">IF($C$74,1,C15/100*(B15^2+D15^2/12)*O15/1000)</f>
        <v>1.8306444001869298E-2</v>
      </c>
      <c r="H15" s="186">
        <f t="shared" ref="H15:H21" ca="1" si="44">IF($C$74,1,(1-C15/100)*(B15^2+D15^2/12)*P15/1000)</f>
        <v>1.1928601777757886E-2</v>
      </c>
      <c r="I15" s="186">
        <f>2*B15*Constants!$C$20/1000000000*Constants!$C$25*IF(ISBLANK(Design!$B$26),Design!$B$25,Design!$B$26)*1000000</f>
        <v>1.7999999999999999E-2</v>
      </c>
      <c r="J15" s="186">
        <f>(Constants!$D$26+Constants!$D$27)/1000000000*$C$2*IF(ISBLANK(Design!$B$26),Design!$B$25,Design!$B$26)*1000000</f>
        <v>3.1959999999999988E-2</v>
      </c>
      <c r="K15" s="186">
        <f t="shared" ref="K15:K21" ca="1" si="45">SUM(E15:J15)</f>
        <v>0.13629504577962717</v>
      </c>
      <c r="L15" s="186">
        <f ca="1">B15^2*IF(ISBLANK(Design!$B$35),Constants!$C$6,Design!$B$35)/1000*(1+(N15-25)*(Constants!$C$36/100))</f>
        <v>2.2446854182050805E-3</v>
      </c>
      <c r="M15" s="186">
        <f>0.5*Snubber!$B$15/1000000000000*$C$2^2*Design!$B$26*1000000</f>
        <v>5.4332E-3</v>
      </c>
      <c r="N15" s="187">
        <f ca="1">K15*Design!$C$12+$A15</f>
        <v>111.5421621974221</v>
      </c>
      <c r="O15" s="187">
        <f ca="1">Constants!$D$22+Constants!$D$22*Constants!$C$24/100*(N15-25)</f>
        <v>124.30958704508012</v>
      </c>
      <c r="P15" s="187">
        <f ca="1">Constants!$D$23+Constants!$D$23*Constants!$C$24/100*(N15-25)</f>
        <v>101.0015394741276</v>
      </c>
      <c r="Q15" s="186">
        <f ca="1">(1-Constants!$C$19/1000000000*Design!$B$26*1000000) * ($C$2-B15*O15/1000) - (B15*Design!$B$35/1000)</f>
        <v>3.0007106858297137</v>
      </c>
      <c r="R15" s="186">
        <f ca="1">IF(Q15&gt;Design!$C$22,Design!$C$22,Q15)</f>
        <v>1.7973333333333334</v>
      </c>
      <c r="S15" s="186">
        <f t="shared" ref="S15:S21" ca="1" si="46">SUM(K15:M15)</f>
        <v>0.14397293119783225</v>
      </c>
      <c r="T15" s="186">
        <f t="shared" ref="T15:T21" ca="1" si="47">R15*B15</f>
        <v>0.89866666666666672</v>
      </c>
      <c r="U15" s="338">
        <f t="shared" ref="U15:U21" ca="1" si="48">100*T15/(T15+S15)</f>
        <v>86.191495940427274</v>
      </c>
      <c r="V15" s="346">
        <f>V14+0.25</f>
        <v>0.5</v>
      </c>
      <c r="W15" s="204">
        <f ca="1">IF( 100*(Design!$C$22+V15*(IF(ISBLANK(Design!$B$35),Constants!$C$6,Design!$B$35)/1000*(1+Constants!$C$36/100*(AH15-25))+AJ15/1000))/($W$2-V15*AI15/1000) &gt; Design!$C$29, Design!$C$29, 100*(Design!$C$22+V15*(IF(ISBLANK(Design!$B$35),Constants!$C$6,Design!$B$35)/1000*(1+Constants!$C$36/100*(AH15-25))+AJ15/1000))/($W$2-V15*AI15/1000) )</f>
        <v>37.528733203554999</v>
      </c>
      <c r="X15" s="203">
        <f ca="1">IF( ($C$2-V15*(IF(ISBLANK(Design!$B$35),Constants!$C$6,Design!$B$35)/1000*(1+Constants!$C$36/100*(AH15-25))+AJ15/1000)-Design!$C$22) / (IF(ISBLANK(Design!$B$34),Design!$B$33,Design!$B$34)/1000000) * W15/100 / (IF(ISBLANK(Design!$B$26),Design!$B$25,Design!$B$26)*1000000) &lt; 0, 0, ($C$2-V15*(IF(ISBLANK(Design!$B$35),Constants!$C$6,Design!$B$35)/1000*(1+Constants!$C$36/100*(AH15-25))+AJ15/1000)-Design!$C$22) / (IF(ISBLANK(Design!$B$34),Design!$B$33,Design!$B$34)/1000000) * W15/100 / (IF(ISBLANK(Design!$B$26),Design!$B$25,Design!$B$26)*1000000) )</f>
        <v>0.29030870749760923</v>
      </c>
      <c r="Y15" s="203">
        <f>$W$2*Constants!$C$21/1000+IF(ISBLANK(Design!$B$26),Design!$B$25,Design!$B$26)*1000000*(Constants!$D$26+Constants!$D$27)/1000000000*$W$2</f>
        <v>5.6999999999999995E-2</v>
      </c>
      <c r="Z15" s="203">
        <f>$W$2*V15*($W$2/(Constants!$C$28*1000000000)*IF(ISBLANK(Design!$B$26),Design!$B$25,Design!$B$26)*1000000/2+$W$2/(Constants!$C$29*1000000000)*IF(ISBLANK(Design!$B$26),Design!$B$25,Design!$B$26)*1000000/2)</f>
        <v>3.7499999999999999E-2</v>
      </c>
      <c r="AA15" s="203">
        <f t="shared" ref="AA15:AA21" ca="1" si="49">IF($C$74,1,W15/100*(V15^2+X15^2/12)*AI15/1000)</f>
        <v>1.2113161206373355E-2</v>
      </c>
      <c r="AB15" s="203">
        <f t="shared" ref="AB15:AB21" ca="1" si="50">IF($C$74,1,(1-W15/100)*(V15^2+X15^2/12)*AJ15/1000)</f>
        <v>1.638314497883217E-2</v>
      </c>
      <c r="AC15" s="203">
        <f>2*V15*Constants!$C$20/1000000000*Constants!$C$25*IF(ISBLANK(Design!$B$26),Design!$B$25,Design!$B$26)*1000000</f>
        <v>1.7999999999999999E-2</v>
      </c>
      <c r="AD15" s="203">
        <f>(Constants!$D$26+Constants!$D$27)/1000000000*$W$2*IF(ISBLANK(Design!$B$26),Design!$B$25,Design!$B$26)*1000000</f>
        <v>4.6999999999999993E-2</v>
      </c>
      <c r="AE15" s="203">
        <f t="shared" ref="AE15:AE21" ca="1" si="51">SUM(Y15:AD15)</f>
        <v>0.18799630618520552</v>
      </c>
      <c r="AF15" s="203">
        <f ca="1">V15^2*IF(ISBLANK(Design!$B$35),Constants!$C$6,Design!$B$35)/1000*(1+(AH15-25)*(Constants!$C$36/100))</f>
        <v>2.2610215688579518E-3</v>
      </c>
      <c r="AG15" s="203">
        <f>0.5*Snubber!$B$15/1000000000000*$W$2^2*Design!$B$26*1000000</f>
        <v>1.1750000000000002E-2</v>
      </c>
      <c r="AH15" s="204">
        <f ca="1">AE15*Design!$C$12+$A15</f>
        <v>114.02382269688987</v>
      </c>
      <c r="AI15" s="204">
        <f ca="1">Constants!$D$22+Constants!$D$22*Constants!$C$24/100*(AH15-25)</f>
        <v>125.58019722080761</v>
      </c>
      <c r="AJ15" s="204">
        <f ca="1">Constants!$D$23+Constants!$D$23*Constants!$C$24/100*(AH15-25)</f>
        <v>102.03391024190618</v>
      </c>
      <c r="AK15" s="203">
        <f ca="1">(1-Constants!$C$19/1000000000*Design!$B$26*1000000) * ($C$2-V15*AI15/1000) - (V15*Design!$B$35/1000)</f>
        <v>3.000138911250636</v>
      </c>
      <c r="AL15" s="203">
        <f ca="1">IF(AK15&gt;Design!$C$22,Design!$C$22,AK15)</f>
        <v>1.7973333333333334</v>
      </c>
      <c r="AM15" s="203">
        <f t="shared" ref="AM15:AM21" ca="1" si="52">SUM(AE15:AG15)</f>
        <v>0.20200732775406349</v>
      </c>
      <c r="AN15" s="203">
        <f t="shared" ref="AN15:AN21" ca="1" si="53">AL15*V15</f>
        <v>0.89866666666666672</v>
      </c>
      <c r="AO15" s="344">
        <f t="shared" ref="AO15:AO21" ca="1" si="54">100*AN15/(AN15+AM15)</f>
        <v>81.646942802498288</v>
      </c>
      <c r="AP15" s="350">
        <f>AP14+0.25</f>
        <v>0.5</v>
      </c>
      <c r="AQ15" s="218">
        <f ca="1">IF( 100*(Design!$C$22+AP15*(IF(ISBLANK(Design!$B$35),Constants!$C$6,Design!$B$35)/1000*(1+Constants!$C$36/100*(BB15-25))+BD15/1000))/($AQ$2-AP15*BC15/1000) &gt; Design!$C$29, Design!$C$29, 100*(Design!$C$22+AP15*(IF(ISBLANK(Design!$B$35),Constants!$C$6,Design!$B$35)/1000*(1+Constants!$C$36/100*(BB15-25))+BD15/1000))/($AQ$2-AP15*BC15/1000) )</f>
        <v>34.08333890008938</v>
      </c>
      <c r="AR15" s="217">
        <f ca="1">IF( ($AQ$2-AP15*(IF(ISBLANK(Design!$B$35),Constants!$C$6,Design!$B$35)/1000*(1+Constants!$C$36/100*(BB15-25))+BD15/1000)-Design!$C$22) / (IF(ISBLANK(Design!$B$34),Design!$B$33,Design!$B$34)/1000000) * AQ15/100 / (IF(ISBLANK(Design!$B$26),Design!$B$25,Design!$B$26)*1000000) &lt; 0, 0, ($AQ$2-AP15*(IF(ISBLANK(Design!$B$35),Constants!$C$6,Design!$B$35)/1000*(1+Constants!$C$36/100*(BB15-25))+BD15/1000)-Design!$C$22) / (IF(ISBLANK(Design!$B$34),Design!$B$33,Design!$B$34)/1000000) * AQ15/100 / (IF(ISBLANK(Design!$B$26),Design!$B$25,Design!$B$26)*1000000) )</f>
        <v>0.62149351589378754</v>
      </c>
      <c r="AS15" s="217">
        <f>$AQ$2*Constants!$C$21/1000+IF(ISBLANK(Design!$B$26),Design!$B$25,Design!$B$26)*1000000*(Constants!$D$26+Constants!$D$27)/1000000000*$AQ$2</f>
        <v>6.2699999999999992E-2</v>
      </c>
      <c r="AT15" s="217">
        <f>$AQ$2*AP15*($AQ$2/(Constants!$C$28*1000000000)*IF(ISBLANK(Design!$B$26),Design!$B$25,Design!$B$26)*1000000/2+$AQ$2/(Constants!$C$29*1000000000)*IF(ISBLANK(Design!$B$26),Design!$B$25,Design!$B$26)*1000000/2)</f>
        <v>4.5374999999999999E-2</v>
      </c>
      <c r="AU15" s="217">
        <f t="shared" ref="AU15:AU21" ca="1" si="55">IF($C$74,1,AQ15/100*(AP15^2+AR15^2/12)*BC15/1000)</f>
        <v>1.2127734271047299E-2</v>
      </c>
      <c r="AV15" s="217">
        <f t="shared" ref="AV15:AV21" ca="1" si="56">IF($C$74,1,(1-AQ15/100)*(AP15^2+AR15^2/12)*BD15/1000)</f>
        <v>1.9057069163930813E-2</v>
      </c>
      <c r="AW15" s="217">
        <f>2*AP15*Constants!$C$20/1000000000*Constants!$C$25*IF(ISBLANK(Design!$B$26),Design!$B$25,Design!$B$26)*1000000</f>
        <v>1.7999999999999999E-2</v>
      </c>
      <c r="AX15" s="217">
        <f>(Constants!$D$26+Constants!$D$27)/1000000000*$AQ$2*IF(ISBLANK(Design!$B$26),Design!$B$25,Design!$B$26)*1000000</f>
        <v>5.1699999999999996E-2</v>
      </c>
      <c r="AY15" s="217">
        <f t="shared" ref="AY15:AY21" ca="1" si="57">SUM(AS15:AX15)</f>
        <v>0.20895980343497808</v>
      </c>
      <c r="AZ15" s="217">
        <f ca="1">AP15^2*IF(ISBLANK(Design!$B$35),Constants!$C$6,Design!$B$35)/1000*(1+(BB15-25)*(Constants!$C$36/100))</f>
        <v>2.2676454470109569E-3</v>
      </c>
      <c r="BA15" s="217">
        <f>0.5*Snubber!$B$15/1000000000000*$AQ$2^2*Design!$B$26*1000000</f>
        <v>1.4217500000000001E-2</v>
      </c>
      <c r="BB15" s="218">
        <f ca="1">AY15*Design!$C$12+$A15</f>
        <v>115.03007056487894</v>
      </c>
      <c r="BC15" s="218">
        <f ca="1">Constants!$D$22+Constants!$D$22*Constants!$C$24/100*(BB15-25)</f>
        <v>126.09539612921802</v>
      </c>
      <c r="BD15" s="218">
        <f ca="1">Constants!$D$23+Constants!$D$23*Constants!$C$24/100*(BB15-25)</f>
        <v>102.45250935498964</v>
      </c>
      <c r="BE15" s="217">
        <f ca="1">(1-Constants!$C$19/1000000000*Design!$B$26*1000000) * ($AQ$2-AP15*BC15/1000) - (AP15*Design!$B$35/1000)</f>
        <v>4.8899070717418516</v>
      </c>
      <c r="BF15" s="217">
        <f ca="1">IF(BE15&gt;Design!$C$22,Design!$C$22,BE15)</f>
        <v>1.7973333333333334</v>
      </c>
      <c r="BG15" s="217">
        <f t="shared" ref="BG15:BG21" ca="1" si="58">SUM(AY15:BA15)</f>
        <v>0.22544494888198904</v>
      </c>
      <c r="BH15" s="217">
        <f t="shared" ref="BH15:BH21" ca="1" si="59">BF15*AP15</f>
        <v>0.89866666666666672</v>
      </c>
      <c r="BI15" s="351">
        <f t="shared" ref="BI15:BI21" ca="1" si="60">100*BH15/(BH15+BG15)</f>
        <v>79.944611748188905</v>
      </c>
    </row>
    <row r="16" spans="1:61" ht="12.75" customHeight="1">
      <c r="A16" s="136">
        <f>Design!$D$13</f>
        <v>105</v>
      </c>
      <c r="B16" s="337">
        <f t="shared" ref="B16:B21" si="61">B15+0.25</f>
        <v>0.75</v>
      </c>
      <c r="C16" s="187">
        <f ca="1">IF( 100*(Design!$C$22+B16*(IF(ISBLANK(Design!$B$35),Constants!$C$6,Design!$B$35)/1000*(1+Constants!$C$36/100*(N16-25))+P16/1000))/($C$2-B16*O16/1000) &gt; Design!$C$29, Design!$C$29, 100*(Design!$C$22+B16*(IF(ISBLANK(Design!$B$35),Constants!$C$6,Design!$B$35)/1000*(1+Constants!$C$36/100*(N16-25))+P16/1000))/($C$2-B16*O16/1000) )</f>
        <v>56.890894657198992</v>
      </c>
      <c r="D16" s="186">
        <f ca="1">IF( ($C$2-B16*(IF(ISBLANK(Design!$B$35),Constants!$C$6,Design!$B$35)/1000*(1+Constants!$C$36/100*(N16-25))+P16/1000)-Design!$C$22) / (IF(ISBLANK(Design!$B$34),Design!$B$33,Design!$B$34)/1000000) * C16/100 / (IF(ISBLANK(Design!$B$26),Design!$B$25,Design!$B$26)*1000000) &lt; 0, 0, ($C$2-B16*(IF(ISBLANK(Design!$B$35),Constants!$C$6,Design!$B$35)/1000*(1+Constants!$C$36/100*(N16-25))+P16/1000)-Design!$C$22) / (IF(ISBLANK(Design!$B$34),Design!$B$33,Design!$B$34)/1000000) * C16/100 / (IF(ISBLANK(Design!$B$26),Design!$B$25,Design!$B$26)*1000000) )</f>
        <v>0.43217693985231348</v>
      </c>
      <c r="E16" s="186">
        <f>$C$2*Constants!$C$21/1000+IF(ISBLANK(Design!$B$26),Design!$B$25,Design!$B$26)*1000000*(Constants!$D$26+Constants!$D$27)/1000000000*$C$2</f>
        <v>3.8759999999999996E-2</v>
      </c>
      <c r="F16" s="186">
        <f>$C$2*B16*($C$2/(Constants!$C$28*1000000000)*IF(ISBLANK(Design!$B$26),Design!$B$25,Design!$B$26)*1000000/2+$C$2/(Constants!$C$29*1000000000)*IF(ISBLANK(Design!$B$26),Design!$B$25,Design!$B$26)*1000000/2)</f>
        <v>2.6009999999999995E-2</v>
      </c>
      <c r="G16" s="186">
        <f t="shared" ca="1" si="43"/>
        <v>4.1319223741547277E-2</v>
      </c>
      <c r="H16" s="186">
        <f t="shared" ca="1" si="44"/>
        <v>2.5439101608407014E-2</v>
      </c>
      <c r="I16" s="186">
        <f>2*B16*Constants!$C$20/1000000000*Constants!$C$25*IF(ISBLANK(Design!$B$26),Design!$B$25,Design!$B$26)*1000000</f>
        <v>2.6999999999999996E-2</v>
      </c>
      <c r="J16" s="186">
        <f>(Constants!$D$26+Constants!$D$27)/1000000000*$C$2*IF(ISBLANK(Design!$B$26),Design!$B$25,Design!$B$26)*1000000</f>
        <v>3.1959999999999988E-2</v>
      </c>
      <c r="K16" s="186">
        <f t="shared" ca="1" si="45"/>
        <v>0.19048832534995427</v>
      </c>
      <c r="L16" s="186">
        <f ca="1">B16^2*IF(ISBLANK(Design!$B$35),Constants!$C$6,Design!$B$35)/1000*(1+(N16-25)*(Constants!$C$36/100))</f>
        <v>5.0890701985593211E-3</v>
      </c>
      <c r="M16" s="186">
        <f>0.5*Snubber!$B$15/1000000000000*$C$2^2*Design!$B$26*1000000</f>
        <v>5.4332E-3</v>
      </c>
      <c r="N16" s="187">
        <f ca="1">K16*Design!$C$12+$A16</f>
        <v>114.14343961679781</v>
      </c>
      <c r="O16" s="187">
        <f ca="1">Constants!$D$22+Constants!$D$22*Constants!$C$24/100*(N16-25)</f>
        <v>125.64144108380049</v>
      </c>
      <c r="P16" s="187">
        <f ca="1">Constants!$D$23+Constants!$D$23*Constants!$C$24/100*(N16-25)</f>
        <v>102.08367088058789</v>
      </c>
      <c r="Q16" s="186">
        <f ca="1">(1-Constants!$C$19/1000000000*Design!$B$26*1000000) * ($C$2-B16*O16/1000) - (B16*Design!$B$35/1000)</f>
        <v>2.9701670272684346</v>
      </c>
      <c r="R16" s="186">
        <f ca="1">IF(Q16&gt;Design!$C$22,Design!$C$22,Q16)</f>
        <v>1.7973333333333334</v>
      </c>
      <c r="S16" s="186">
        <f t="shared" ca="1" si="46"/>
        <v>0.20101059554851358</v>
      </c>
      <c r="T16" s="186">
        <f t="shared" ca="1" si="47"/>
        <v>1.3480000000000001</v>
      </c>
      <c r="U16" s="338">
        <f t="shared" ca="1" si="48"/>
        <v>87.023291117170544</v>
      </c>
      <c r="V16" s="346">
        <f t="shared" ref="V16:V21" si="62">V15+0.25</f>
        <v>0.75</v>
      </c>
      <c r="W16" s="204">
        <f ca="1">IF( 100*(Design!$C$22+V16*(IF(ISBLANK(Design!$B$35),Constants!$C$6,Design!$B$35)/1000*(1+Constants!$C$36/100*(AH16-25))+AJ16/1000))/($W$2-V16*AI16/1000) &gt; Design!$C$29, Design!$C$29, 100*(Design!$C$22+V16*(IF(ISBLANK(Design!$B$35),Constants!$C$6,Design!$B$35)/1000*(1+Constants!$C$36/100*(AH16-25))+AJ16/1000))/($W$2-V16*AI16/1000) )</f>
        <v>38.364623200798007</v>
      </c>
      <c r="X16" s="203">
        <f ca="1">IF( ($C$2-V16*(IF(ISBLANK(Design!$B$35),Constants!$C$6,Design!$B$35)/1000*(1+Constants!$C$36/100*(AH16-25))+AJ16/1000)-Design!$C$22) / (IF(ISBLANK(Design!$B$34),Design!$B$33,Design!$B$34)/1000000) * W16/100 / (IF(ISBLANK(Design!$B$26),Design!$B$25,Design!$B$26)*1000000) &lt; 0, 0, ($C$2-V16*(IF(ISBLANK(Design!$B$35),Constants!$C$6,Design!$B$35)/1000*(1+Constants!$C$36/100*(AH16-25))+AJ16/1000)-Design!$C$22) / (IF(ISBLANK(Design!$B$34),Design!$B$33,Design!$B$34)/1000000) * W16/100 / (IF(ISBLANK(Design!$B$26),Design!$B$25,Design!$B$26)*1000000) )</f>
        <v>0.29125467028684227</v>
      </c>
      <c r="Y16" s="203">
        <f>$W$2*Constants!$C$21/1000+IF(ISBLANK(Design!$B$26),Design!$B$25,Design!$B$26)*1000000*(Constants!$D$26+Constants!$D$27)/1000000000*$W$2</f>
        <v>5.6999999999999995E-2</v>
      </c>
      <c r="Z16" s="203">
        <f>$W$2*V16*($W$2/(Constants!$C$28*1000000000)*IF(ISBLANK(Design!$B$26),Design!$B$25,Design!$B$26)*1000000/2+$W$2/(Constants!$C$29*1000000000)*IF(ISBLANK(Design!$B$26),Design!$B$25,Design!$B$26)*1000000/2)</f>
        <v>5.6249999999999994E-2</v>
      </c>
      <c r="AA16" s="203">
        <f t="shared" ca="1" si="49"/>
        <v>2.7780831553776943E-2</v>
      </c>
      <c r="AB16" s="203">
        <f t="shared" ca="1" si="50"/>
        <v>3.6263333917442873E-2</v>
      </c>
      <c r="AC16" s="203">
        <f>2*V16*Constants!$C$20/1000000000*Constants!$C$25*IF(ISBLANK(Design!$B$26),Design!$B$25,Design!$B$26)*1000000</f>
        <v>2.6999999999999996E-2</v>
      </c>
      <c r="AD16" s="203">
        <f>(Constants!$D$26+Constants!$D$27)/1000000000*$W$2*IF(ISBLANK(Design!$B$26),Design!$B$25,Design!$B$26)*1000000</f>
        <v>4.6999999999999993E-2</v>
      </c>
      <c r="AE16" s="203">
        <f t="shared" ca="1" si="51"/>
        <v>0.2512941654712198</v>
      </c>
      <c r="AF16" s="203">
        <f ca="1">V16^2*IF(ISBLANK(Design!$B$35),Constants!$C$6,Design!$B$35)/1000*(1+(AH16-25)*(Constants!$C$36/100))</f>
        <v>5.1322993201176129E-3</v>
      </c>
      <c r="AG16" s="203">
        <f>0.5*Snubber!$B$15/1000000000000*$W$2^2*Design!$B$26*1000000</f>
        <v>1.1750000000000002E-2</v>
      </c>
      <c r="AH16" s="204">
        <f ca="1">AE16*Design!$C$12+$A16</f>
        <v>117.06211994261855</v>
      </c>
      <c r="AI16" s="204">
        <f ca="1">Constants!$D$22+Constants!$D$22*Constants!$C$24/100*(AH16-25)</f>
        <v>127.13580541062069</v>
      </c>
      <c r="AJ16" s="204">
        <f ca="1">Constants!$D$23+Constants!$D$23*Constants!$C$24/100*(AH16-25)</f>
        <v>103.29784189612931</v>
      </c>
      <c r="AK16" s="203">
        <f ca="1">(1-Constants!$C$19/1000000000*Design!$B$26*1000000) * ($C$2-V16*AI16/1000) - (V16*Design!$B$35/1000)</f>
        <v>2.9691583313478311</v>
      </c>
      <c r="AL16" s="203">
        <f ca="1">IF(AK16&gt;Design!$C$22,Design!$C$22,AK16)</f>
        <v>1.7973333333333334</v>
      </c>
      <c r="AM16" s="203">
        <f t="shared" ca="1" si="52"/>
        <v>0.26817646479133739</v>
      </c>
      <c r="AN16" s="203">
        <f t="shared" ca="1" si="53"/>
        <v>1.3480000000000001</v>
      </c>
      <c r="AO16" s="344">
        <f t="shared" ca="1" si="54"/>
        <v>83.406733693157619</v>
      </c>
      <c r="AP16" s="350">
        <f t="shared" ref="AP16:AP21" si="63">AP15+0.25</f>
        <v>0.75</v>
      </c>
      <c r="AQ16" s="218">
        <f ca="1">IF( 100*(Design!$C$22+AP16*(IF(ISBLANK(Design!$B$35),Constants!$C$6,Design!$B$35)/1000*(1+Constants!$C$36/100*(BB16-25))+BD16/1000))/($AQ$2-AP16*BC16/1000) &gt; Design!$C$29, Design!$C$29, 100*(Design!$C$22+AP16*(IF(ISBLANK(Design!$B$35),Constants!$C$6,Design!$B$35)/1000*(1+Constants!$C$36/100*(BB16-25))+BD16/1000))/($AQ$2-AP16*BC16/1000) )</f>
        <v>34.825714708204551</v>
      </c>
      <c r="AR16" s="217">
        <f ca="1">IF( ($AQ$2-AP16*(IF(ISBLANK(Design!$B$35),Constants!$C$6,Design!$B$35)/1000*(1+Constants!$C$36/100*(BB16-25))+BD16/1000)-Design!$C$22) / (IF(ISBLANK(Design!$B$34),Design!$B$33,Design!$B$34)/1000000) * AQ16/100 / (IF(ISBLANK(Design!$B$26),Design!$B$25,Design!$B$26)*1000000) &lt; 0, 0, ($AQ$2-AP16*(IF(ISBLANK(Design!$B$35),Constants!$C$6,Design!$B$35)/1000*(1+Constants!$C$36/100*(BB16-25))+BD16/1000)-Design!$C$22) / (IF(ISBLANK(Design!$B$34),Design!$B$33,Design!$B$34)/1000000) * AQ16/100 / (IF(ISBLANK(Design!$B$26),Design!$B$25,Design!$B$26)*1000000) )</f>
        <v>0.62998896754087574</v>
      </c>
      <c r="AS16" s="217">
        <f>$AQ$2*Constants!$C$21/1000+IF(ISBLANK(Design!$B$26),Design!$B$25,Design!$B$26)*1000000*(Constants!$D$26+Constants!$D$27)/1000000000*$AQ$2</f>
        <v>6.2699999999999992E-2</v>
      </c>
      <c r="AT16" s="217">
        <f>$AQ$2*AP16*($AQ$2/(Constants!$C$28*1000000000)*IF(ISBLANK(Design!$B$26),Design!$B$25,Design!$B$26)*1000000/2+$AQ$2/(Constants!$C$29*1000000000)*IF(ISBLANK(Design!$B$26),Design!$B$25,Design!$B$26)*1000000/2)</f>
        <v>6.8062499999999998E-2</v>
      </c>
      <c r="AU16" s="217">
        <f t="shared" ca="1" si="55"/>
        <v>2.6496803146560357E-2</v>
      </c>
      <c r="AV16" s="217">
        <f t="shared" ca="1" si="56"/>
        <v>4.0289612300187683E-2</v>
      </c>
      <c r="AW16" s="217">
        <f>2*AP16*Constants!$C$20/1000000000*Constants!$C$25*IF(ISBLANK(Design!$B$26),Design!$B$25,Design!$B$26)*1000000</f>
        <v>2.6999999999999996E-2</v>
      </c>
      <c r="AX16" s="217">
        <f>(Constants!$D$26+Constants!$D$27)/1000000000*$AQ$2*IF(ISBLANK(Design!$B$26),Design!$B$25,Design!$B$26)*1000000</f>
        <v>5.1699999999999996E-2</v>
      </c>
      <c r="AY16" s="217">
        <f t="shared" ca="1" si="57"/>
        <v>0.27624891544674801</v>
      </c>
      <c r="AZ16" s="217">
        <f ca="1">AP16^2*IF(ISBLANK(Design!$B$35),Constants!$C$6,Design!$B$35)/1000*(1+(BB16-25)*(Constants!$C$36/100))</f>
        <v>5.1500405752009648E-3</v>
      </c>
      <c r="BA16" s="217">
        <f>0.5*Snubber!$B$15/1000000000000*$AQ$2^2*Design!$B$26*1000000</f>
        <v>1.4217500000000001E-2</v>
      </c>
      <c r="BB16" s="218">
        <f ca="1">AY16*Design!$C$12+$A16</f>
        <v>118.2599479414439</v>
      </c>
      <c r="BC16" s="218">
        <f ca="1">Constants!$D$22+Constants!$D$22*Constants!$C$24/100*(BB16-25)</f>
        <v>127.74909334601928</v>
      </c>
      <c r="BD16" s="218">
        <f ca="1">Constants!$D$23+Constants!$D$23*Constants!$C$24/100*(BB16-25)</f>
        <v>103.79613834364066</v>
      </c>
      <c r="BE16" s="217">
        <f ca="1">(1-Constants!$C$19/1000000000*Design!$B$26*1000000) * ($AQ$2-AP16*BC16/1000) - (AP16*Design!$B$35/1000)</f>
        <v>4.8587443619914366</v>
      </c>
      <c r="BF16" s="217">
        <f ca="1">IF(BE16&gt;Design!$C$22,Design!$C$22,BE16)</f>
        <v>1.7973333333333334</v>
      </c>
      <c r="BG16" s="217">
        <f t="shared" ca="1" si="58"/>
        <v>0.29561645602194897</v>
      </c>
      <c r="BH16" s="217">
        <f t="shared" ca="1" si="59"/>
        <v>1.3480000000000001</v>
      </c>
      <c r="BI16" s="351">
        <f t="shared" ca="1" si="60"/>
        <v>82.014267687643468</v>
      </c>
    </row>
    <row r="17" spans="1:61" ht="12.75" customHeight="1">
      <c r="A17" s="136">
        <f>Design!$D$13</f>
        <v>105</v>
      </c>
      <c r="B17" s="337">
        <f t="shared" si="61"/>
        <v>1</v>
      </c>
      <c r="C17" s="187">
        <f ca="1">IF( 100*(Design!$C$22+B17*(IF(ISBLANK(Design!$B$35),Constants!$C$6,Design!$B$35)/1000*(1+Constants!$C$36/100*(N17-25))+P17/1000))/($C$2-B17*O17/1000) &gt; Design!$C$29, Design!$C$29, 100*(Design!$C$22+B17*(IF(ISBLANK(Design!$B$35),Constants!$C$6,Design!$B$35)/1000*(1+Constants!$C$36/100*(N17-25))+P17/1000))/($C$2-B17*O17/1000) )</f>
        <v>58.361385612861731</v>
      </c>
      <c r="D17" s="186">
        <f ca="1">IF( ($C$2-B17*(IF(ISBLANK(Design!$B$35),Constants!$C$6,Design!$B$35)/1000*(1+Constants!$C$36/100*(N17-25))+P17/1000)-Design!$C$22) / (IF(ISBLANK(Design!$B$34),Design!$B$33,Design!$B$34)/1000000) * C17/100 / (IF(ISBLANK(Design!$B$26),Design!$B$25,Design!$B$26)*1000000) &lt; 0, 0, ($C$2-B17*(IF(ISBLANK(Design!$B$35),Constants!$C$6,Design!$B$35)/1000*(1+Constants!$C$36/100*(N17-25))+P17/1000)-Design!$C$22) / (IF(ISBLANK(Design!$B$34),Design!$B$33,Design!$B$34)/1000000) * C17/100 / (IF(ISBLANK(Design!$B$26),Design!$B$25,Design!$B$26)*1000000) )</f>
        <v>0.43480563460796945</v>
      </c>
      <c r="E17" s="186">
        <f>$C$2*Constants!$C$21/1000+IF(ISBLANK(Design!$B$26),Design!$B$25,Design!$B$26)*1000000*(Constants!$D$26+Constants!$D$27)/1000000000*$C$2</f>
        <v>3.8759999999999996E-2</v>
      </c>
      <c r="F17" s="186">
        <f>$C$2*B17*($C$2/(Constants!$C$28*1000000000)*IF(ISBLANK(Design!$B$26),Design!$B$25,Design!$B$26)*1000000/2+$C$2/(Constants!$C$29*1000000000)*IF(ISBLANK(Design!$B$26),Design!$B$25,Design!$B$26)*1000000/2)</f>
        <v>3.4679999999999996E-2</v>
      </c>
      <c r="G17" s="186">
        <f t="shared" ca="1" si="43"/>
        <v>7.5503816330414419E-2</v>
      </c>
      <c r="H17" s="186">
        <f t="shared" ca="1" si="44"/>
        <v>4.3768629483162146E-2</v>
      </c>
      <c r="I17" s="186">
        <f>2*B17*Constants!$C$20/1000000000*Constants!$C$25*IF(ISBLANK(Design!$B$26),Design!$B$25,Design!$B$26)*1000000</f>
        <v>3.5999999999999997E-2</v>
      </c>
      <c r="J17" s="186">
        <f>(Constants!$D$26+Constants!$D$27)/1000000000*$C$2*IF(ISBLANK(Design!$B$26),Design!$B$25,Design!$B$26)*1000000</f>
        <v>3.1959999999999988E-2</v>
      </c>
      <c r="K17" s="186">
        <f t="shared" ca="1" si="45"/>
        <v>0.26067244581357657</v>
      </c>
      <c r="L17" s="186">
        <f ca="1">B17^2*IF(ISBLANK(Design!$B$35),Constants!$C$6,Design!$B$35)/1000*(1+(N17-25)*(Constants!$C$36/100))</f>
        <v>9.1359407761944303E-3</v>
      </c>
      <c r="M17" s="186">
        <f>0.5*Snubber!$B$15/1000000000000*$C$2^2*Design!$B$26*1000000</f>
        <v>5.4332E-3</v>
      </c>
      <c r="N17" s="187">
        <f ca="1">K17*Design!$C$12+$A17</f>
        <v>117.51227739905167</v>
      </c>
      <c r="O17" s="187">
        <f ca="1">Constants!$D$22+Constants!$D$22*Constants!$C$24/100*(N17-25)</f>
        <v>127.36628602831445</v>
      </c>
      <c r="P17" s="187">
        <f ca="1">Constants!$D$23+Constants!$D$23*Constants!$C$24/100*(N17-25)</f>
        <v>103.4851073980055</v>
      </c>
      <c r="Q17" s="186">
        <f ca="1">(1-Constants!$C$19/1000000000*Design!$B$26*1000000) * ($C$2-B17*O17/1000) - (B17*Design!$B$35/1000)</f>
        <v>2.9386703425745169</v>
      </c>
      <c r="R17" s="186">
        <f ca="1">IF(Q17&gt;Design!$C$22,Design!$C$22,Q17)</f>
        <v>1.7973333333333334</v>
      </c>
      <c r="S17" s="186">
        <f t="shared" ca="1" si="46"/>
        <v>0.27524158658977105</v>
      </c>
      <c r="T17" s="186">
        <f t="shared" ca="1" si="47"/>
        <v>1.7973333333333334</v>
      </c>
      <c r="U17" s="338">
        <f t="shared" ca="1" si="48"/>
        <v>86.719824506996218</v>
      </c>
      <c r="V17" s="346">
        <f t="shared" si="62"/>
        <v>1</v>
      </c>
      <c r="W17" s="204">
        <f ca="1">IF( 100*(Design!$C$22+V17*(IF(ISBLANK(Design!$B$35),Constants!$C$6,Design!$B$35)/1000*(1+Constants!$C$36/100*(AH17-25))+AJ17/1000))/($W$2-V17*AI17/1000) &gt; Design!$C$29, Design!$C$29, 100*(Design!$C$22+V17*(IF(ISBLANK(Design!$B$35),Constants!$C$6,Design!$B$35)/1000*(1+Constants!$C$36/100*(AH17-25))+AJ17/1000))/($W$2-V17*AI17/1000) )</f>
        <v>39.241623746360276</v>
      </c>
      <c r="X17" s="203">
        <f ca="1">IF( ($C$2-V17*(IF(ISBLANK(Design!$B$35),Constants!$C$6,Design!$B$35)/1000*(1+Constants!$C$36/100*(AH17-25))+AJ17/1000)-Design!$C$22) / (IF(ISBLANK(Design!$B$34),Design!$B$33,Design!$B$34)/1000000) * W17/100 / (IF(ISBLANK(Design!$B$26),Design!$B$25,Design!$B$26)*1000000) &lt; 0, 0, ($C$2-V17*(IF(ISBLANK(Design!$B$35),Constants!$C$6,Design!$B$35)/1000*(1+Constants!$C$36/100*(AH17-25))+AJ17/1000)-Design!$C$22) / (IF(ISBLANK(Design!$B$34),Design!$B$33,Design!$B$34)/1000000) * W17/100 / (IF(ISBLANK(Design!$B$26),Design!$B$25,Design!$B$26)*1000000) )</f>
        <v>0.29206947503910513</v>
      </c>
      <c r="Y17" s="203">
        <f>$W$2*Constants!$C$21/1000+IF(ISBLANK(Design!$B$26),Design!$B$25,Design!$B$26)*1000000*(Constants!$D$26+Constants!$D$27)/1000000000*$W$2</f>
        <v>5.6999999999999995E-2</v>
      </c>
      <c r="Z17" s="203">
        <f>$W$2*V17*($W$2/(Constants!$C$28*1000000000)*IF(ISBLANK(Design!$B$26),Design!$B$25,Design!$B$26)*1000000/2+$W$2/(Constants!$C$29*1000000000)*IF(ISBLANK(Design!$B$26),Design!$B$25,Design!$B$26)*1000000/2)</f>
        <v>7.4999999999999997E-2</v>
      </c>
      <c r="AA17" s="203">
        <f t="shared" ca="1" si="49"/>
        <v>5.101102497765686E-2</v>
      </c>
      <c r="AB17" s="203">
        <f t="shared" ca="1" si="50"/>
        <v>6.4172152847855948E-2</v>
      </c>
      <c r="AC17" s="203">
        <f>2*V17*Constants!$C$20/1000000000*Constants!$C$25*IF(ISBLANK(Design!$B$26),Design!$B$25,Design!$B$26)*1000000</f>
        <v>3.5999999999999997E-2</v>
      </c>
      <c r="AD17" s="203">
        <f>(Constants!$D$26+Constants!$D$27)/1000000000*$W$2*IF(ISBLANK(Design!$B$26),Design!$B$25,Design!$B$26)*1000000</f>
        <v>4.6999999999999993E-2</v>
      </c>
      <c r="AE17" s="203">
        <f t="shared" ca="1" si="51"/>
        <v>0.33018317782551276</v>
      </c>
      <c r="AF17" s="203">
        <f ca="1">V17^2*IF(ISBLANK(Design!$B$35),Constants!$C$6,Design!$B$35)/1000*(1+(AH17-25)*(Constants!$C$36/100))</f>
        <v>9.2237945562555334E-3</v>
      </c>
      <c r="AG17" s="203">
        <f>0.5*Snubber!$B$15/1000000000000*$W$2^2*Design!$B$26*1000000</f>
        <v>1.1750000000000002E-2</v>
      </c>
      <c r="AH17" s="204">
        <f ca="1">AE17*Design!$C$12+$A17</f>
        <v>120.84879253562461</v>
      </c>
      <c r="AI17" s="204">
        <f ca="1">Constants!$D$22+Constants!$D$22*Constants!$C$24/100*(AH17-25)</f>
        <v>129.0745817782398</v>
      </c>
      <c r="AJ17" s="204">
        <f ca="1">Constants!$D$23+Constants!$D$23*Constants!$C$24/100*(AH17-25)</f>
        <v>104.87309769481985</v>
      </c>
      <c r="AK17" s="203">
        <f ca="1">(1-Constants!$C$19/1000000000*Design!$B$26*1000000) * ($C$2-V17*AI17/1000) - (V17*Design!$B$35/1000)</f>
        <v>2.9371328763995841</v>
      </c>
      <c r="AL17" s="203">
        <f ca="1">IF(AK17&gt;Design!$C$22,Design!$C$22,AK17)</f>
        <v>1.7973333333333334</v>
      </c>
      <c r="AM17" s="203">
        <f t="shared" ca="1" si="52"/>
        <v>0.3511569723817683</v>
      </c>
      <c r="AN17" s="203">
        <f t="shared" ca="1" si="53"/>
        <v>1.7973333333333334</v>
      </c>
      <c r="AO17" s="344">
        <f t="shared" ca="1" si="54"/>
        <v>83.655640826133975</v>
      </c>
      <c r="AP17" s="350">
        <f t="shared" si="63"/>
        <v>1</v>
      </c>
      <c r="AQ17" s="218">
        <f ca="1">IF( 100*(Design!$C$22+AP17*(IF(ISBLANK(Design!$B$35),Constants!$C$6,Design!$B$35)/1000*(1+Constants!$C$36/100*(BB17-25))+BD17/1000))/($AQ$2-AP17*BC17/1000) &gt; Design!$C$29, Design!$C$29, 100*(Design!$C$22+AP17*(IF(ISBLANK(Design!$B$35),Constants!$C$6,Design!$B$35)/1000*(1+Constants!$C$36/100*(BB17-25))+BD17/1000))/($AQ$2-AP17*BC17/1000) )</f>
        <v>35.604638506315943</v>
      </c>
      <c r="AR17" s="217">
        <f ca="1">IF( ($AQ$2-AP17*(IF(ISBLANK(Design!$B$35),Constants!$C$6,Design!$B$35)/1000*(1+Constants!$C$36/100*(BB17-25))+BD17/1000)-Design!$C$22) / (IF(ISBLANK(Design!$B$34),Design!$B$33,Design!$B$34)/1000000) * AQ17/100 / (IF(ISBLANK(Design!$B$26),Design!$B$25,Design!$B$26)*1000000) &lt; 0, 0, ($AQ$2-AP17*(IF(ISBLANK(Design!$B$35),Constants!$C$6,Design!$B$35)/1000*(1+Constants!$C$36/100*(BB17-25))+BD17/1000)-Design!$C$22) / (IF(ISBLANK(Design!$B$34),Design!$B$33,Design!$B$34)/1000000) * AQ17/100 / (IF(ISBLANK(Design!$B$26),Design!$B$25,Design!$B$26)*1000000) )</f>
        <v>0.63873917658244461</v>
      </c>
      <c r="AS17" s="217">
        <f>$AQ$2*Constants!$C$21/1000+IF(ISBLANK(Design!$B$26),Design!$B$25,Design!$B$26)*1000000*(Constants!$D$26+Constants!$D$27)/1000000000*$AQ$2</f>
        <v>6.2699999999999992E-2</v>
      </c>
      <c r="AT17" s="217">
        <f>$AQ$2*AP17*($AQ$2/(Constants!$C$28*1000000000)*IF(ISBLANK(Design!$B$26),Design!$B$25,Design!$B$26)*1000000/2+$AQ$2/(Constants!$C$29*1000000000)*IF(ISBLANK(Design!$B$26),Design!$B$25,Design!$B$26)*1000000/2)</f>
        <v>9.0749999999999997E-2</v>
      </c>
      <c r="AU17" s="217">
        <f t="shared" ca="1" si="55"/>
        <v>4.778105677497297E-2</v>
      </c>
      <c r="AV17" s="217">
        <f t="shared" ca="1" si="56"/>
        <v>7.0214551362764499E-2</v>
      </c>
      <c r="AW17" s="217">
        <f>2*AP17*Constants!$C$20/1000000000*Constants!$C$25*IF(ISBLANK(Design!$B$26),Design!$B$25,Design!$B$26)*1000000</f>
        <v>3.5999999999999997E-2</v>
      </c>
      <c r="AX17" s="217">
        <f>(Constants!$D$26+Constants!$D$27)/1000000000*$AQ$2*IF(ISBLANK(Design!$B$26),Design!$B$25,Design!$B$26)*1000000</f>
        <v>5.1699999999999996E-2</v>
      </c>
      <c r="AY17" s="217">
        <f t="shared" ca="1" si="57"/>
        <v>0.35914560813773744</v>
      </c>
      <c r="AZ17" s="217">
        <f ca="1">AP17^2*IF(ISBLANK(Design!$B$35),Constants!$C$6,Design!$B$35)/1000*(1+(BB17-25)*(Constants!$C$36/100))</f>
        <v>9.2603998243779885E-3</v>
      </c>
      <c r="BA17" s="217">
        <f>0.5*Snubber!$B$15/1000000000000*$AQ$2^2*Design!$B$26*1000000</f>
        <v>1.4217500000000001E-2</v>
      </c>
      <c r="BB17" s="218">
        <f ca="1">AY17*Design!$C$12+$A17</f>
        <v>122.23898919061139</v>
      </c>
      <c r="BC17" s="218">
        <f ca="1">Constants!$D$22+Constants!$D$22*Constants!$C$24/100*(BB17-25)</f>
        <v>129.78636246559304</v>
      </c>
      <c r="BD17" s="218">
        <f ca="1">Constants!$D$23+Constants!$D$23*Constants!$C$24/100*(BB17-25)</f>
        <v>105.45141950329435</v>
      </c>
      <c r="BE17" s="217">
        <f ca="1">(1-Constants!$C$19/1000000000*Design!$B$26*1000000) * ($AQ$2-AP17*BC17/1000) - (AP17*Design!$B$35/1000)</f>
        <v>4.8264922737809659</v>
      </c>
      <c r="BF17" s="217">
        <f ca="1">IF(BE17&gt;Design!$C$22,Design!$C$22,BE17)</f>
        <v>1.7973333333333334</v>
      </c>
      <c r="BG17" s="217">
        <f t="shared" ca="1" si="58"/>
        <v>0.38262350796211542</v>
      </c>
      <c r="BH17" s="217">
        <f t="shared" ca="1" si="59"/>
        <v>1.7973333333333334</v>
      </c>
      <c r="BI17" s="351">
        <f t="shared" ca="1" si="60"/>
        <v>82.448115452838977</v>
      </c>
    </row>
    <row r="18" spans="1:61" ht="12.75" customHeight="1">
      <c r="A18" s="136">
        <f>Design!$D$13</f>
        <v>105</v>
      </c>
      <c r="B18" s="337">
        <f t="shared" si="61"/>
        <v>1.25</v>
      </c>
      <c r="C18" s="187">
        <f ca="1">IF( 100*(Design!$C$22+B18*(IF(ISBLANK(Design!$B$35),Constants!$C$6,Design!$B$35)/1000*(1+Constants!$C$36/100*(N18-25))+P18/1000))/($C$2-B18*O18/1000) &gt; Design!$C$29, Design!$C$29, 100*(Design!$C$22+B18*(IF(ISBLANK(Design!$B$35),Constants!$C$6,Design!$B$35)/1000*(1+Constants!$C$36/100*(N18-25))+P18/1000))/($C$2-B18*O18/1000) )</f>
        <v>59.92489455397638</v>
      </c>
      <c r="D18" s="186">
        <f ca="1">IF( ($C$2-B18*(IF(ISBLANK(Design!$B$35),Constants!$C$6,Design!$B$35)/1000*(1+Constants!$C$36/100*(N18-25))+P18/1000)-Design!$C$22) / (IF(ISBLANK(Design!$B$34),Design!$B$33,Design!$B$34)/1000000) * C18/100 / (IF(ISBLANK(Design!$B$26),Design!$B$25,Design!$B$26)*1000000) &lt; 0, 0, ($C$2-B18*(IF(ISBLANK(Design!$B$35),Constants!$C$6,Design!$B$35)/1000*(1+Constants!$C$36/100*(N18-25))+P18/1000)-Design!$C$22) / (IF(ISBLANK(Design!$B$34),Design!$B$33,Design!$B$34)/1000000) * C18/100 / (IF(ISBLANK(Design!$B$26),Design!$B$25,Design!$B$26)*1000000) )</f>
        <v>0.43732257365855065</v>
      </c>
      <c r="E18" s="186">
        <f>$C$2*Constants!$C$21/1000+IF(ISBLANK(Design!$B$26),Design!$B$25,Design!$B$26)*1000000*(Constants!$D$26+Constants!$D$27)/1000000000*$C$2</f>
        <v>3.8759999999999996E-2</v>
      </c>
      <c r="F18" s="186">
        <f>$C$2*B18*($C$2/(Constants!$C$28*1000000000)*IF(ISBLANK(Design!$B$26),Design!$B$25,Design!$B$26)*1000000/2+$C$2/(Constants!$C$29*1000000000)*IF(ISBLANK(Design!$B$26),Design!$B$25,Design!$B$26)*1000000/2)</f>
        <v>4.3349999999999993E-2</v>
      </c>
      <c r="G18" s="186">
        <f t="shared" ca="1" si="43"/>
        <v>0.12250614406238353</v>
      </c>
      <c r="H18" s="186">
        <f t="shared" ca="1" si="44"/>
        <v>6.6565413682776464E-2</v>
      </c>
      <c r="I18" s="186">
        <f>2*B18*Constants!$C$20/1000000000*Constants!$C$25*IF(ISBLANK(Design!$B$26),Design!$B$25,Design!$B$26)*1000000</f>
        <v>4.4999999999999998E-2</v>
      </c>
      <c r="J18" s="186">
        <f>(Constants!$D$26+Constants!$D$27)/1000000000*$C$2*IF(ISBLANK(Design!$B$26),Design!$B$25,Design!$B$26)*1000000</f>
        <v>3.1959999999999988E-2</v>
      </c>
      <c r="K18" s="186">
        <f t="shared" ca="1" si="45"/>
        <v>0.34814155774515992</v>
      </c>
      <c r="L18" s="186">
        <f ca="1">B18^2*IF(ISBLANK(Design!$B$35),Constants!$C$6,Design!$B$35)/1000*(1+(N18-25)*(Constants!$C$36/100))</f>
        <v>1.4447643651774086E-2</v>
      </c>
      <c r="M18" s="186">
        <f>0.5*Snubber!$B$15/1000000000000*$C$2^2*Design!$B$26*1000000</f>
        <v>5.4332E-3</v>
      </c>
      <c r="N18" s="187">
        <f ca="1">K18*Design!$C$12+$A18</f>
        <v>121.71079477176768</v>
      </c>
      <c r="O18" s="187">
        <f ca="1">Constants!$D$22+Constants!$D$22*Constants!$C$24/100*(N18-25)</f>
        <v>129.51592692314506</v>
      </c>
      <c r="P18" s="187">
        <f ca="1">Constants!$D$23+Constants!$D$23*Constants!$C$24/100*(N18-25)</f>
        <v>105.23169062505536</v>
      </c>
      <c r="Q18" s="186">
        <f ca="1">(1-Constants!$C$19/1000000000*Design!$B$26*1000000) * ($C$2-B18*O18/1000) - (B18*Design!$B$35/1000)</f>
        <v>2.9059195822114616</v>
      </c>
      <c r="R18" s="186">
        <f ca="1">IF(Q18&gt;Design!$C$22,Design!$C$22,Q18)</f>
        <v>1.7973333333333334</v>
      </c>
      <c r="S18" s="186">
        <f t="shared" ca="1" si="46"/>
        <v>0.36802240139693404</v>
      </c>
      <c r="T18" s="186">
        <f t="shared" ca="1" si="47"/>
        <v>2.246666666666667</v>
      </c>
      <c r="U18" s="338">
        <f t="shared" ca="1" si="48"/>
        <v>85.924812020976333</v>
      </c>
      <c r="V18" s="346">
        <f t="shared" si="62"/>
        <v>1.25</v>
      </c>
      <c r="W18" s="204">
        <f ca="1">IF( 100*(Design!$C$22+V18*(IF(ISBLANK(Design!$B$35),Constants!$C$6,Design!$B$35)/1000*(1+Constants!$C$36/100*(AH18-25))+AJ18/1000))/($W$2-V18*AI18/1000) &gt; Design!$C$29, Design!$C$29, 100*(Design!$C$22+V18*(IF(ISBLANK(Design!$B$35),Constants!$C$6,Design!$B$35)/1000*(1+Constants!$C$36/100*(AH18-25))+AJ18/1000))/($W$2-V18*AI18/1000) )</f>
        <v>40.169742194887824</v>
      </c>
      <c r="X18" s="203">
        <f ca="1">IF( ($C$2-V18*(IF(ISBLANK(Design!$B$35),Constants!$C$6,Design!$B$35)/1000*(1+Constants!$C$36/100*(AH18-25))+AJ18/1000)-Design!$C$22) / (IF(ISBLANK(Design!$B$34),Design!$B$33,Design!$B$34)/1000000) * W18/100 / (IF(ISBLANK(Design!$B$26),Design!$B$25,Design!$B$26)*1000000) &lt; 0, 0, ($C$2-V18*(IF(ISBLANK(Design!$B$35),Constants!$C$6,Design!$B$35)/1000*(1+Constants!$C$36/100*(AH18-25))+AJ18/1000)-Design!$C$22) / (IF(ISBLANK(Design!$B$34),Design!$B$33,Design!$B$34)/1000000) * W18/100 / (IF(ISBLANK(Design!$B$26),Design!$B$25,Design!$B$26)*1000000) )</f>
        <v>0.2927380443411231</v>
      </c>
      <c r="Y18" s="203">
        <f>$W$2*Constants!$C$21/1000+IF(ISBLANK(Design!$B$26),Design!$B$25,Design!$B$26)*1000000*(Constants!$D$26+Constants!$D$27)/1000000000*$W$2</f>
        <v>5.6999999999999995E-2</v>
      </c>
      <c r="Z18" s="203">
        <f>$W$2*V18*($W$2/(Constants!$C$28*1000000000)*IF(ISBLANK(Design!$B$26),Design!$B$25,Design!$B$26)*1000000/2+$W$2/(Constants!$C$29*1000000000)*IF(ISBLANK(Design!$B$26),Design!$B$25,Design!$B$26)*1000000/2)</f>
        <v>9.375E-2</v>
      </c>
      <c r="AA18" s="203">
        <f t="shared" ca="1" si="49"/>
        <v>8.2867426744852965E-2</v>
      </c>
      <c r="AB18" s="203">
        <f t="shared" ca="1" si="50"/>
        <v>0.10028340059816696</v>
      </c>
      <c r="AC18" s="203">
        <f>2*V18*Constants!$C$20/1000000000*Constants!$C$25*IF(ISBLANK(Design!$B$26),Design!$B$25,Design!$B$26)*1000000</f>
        <v>4.4999999999999998E-2</v>
      </c>
      <c r="AD18" s="203">
        <f>(Constants!$D$26+Constants!$D$27)/1000000000*$W$2*IF(ISBLANK(Design!$B$26),Design!$B$25,Design!$B$26)*1000000</f>
        <v>4.6999999999999993E-2</v>
      </c>
      <c r="AE18" s="203">
        <f t="shared" ca="1" si="51"/>
        <v>0.42590082734301993</v>
      </c>
      <c r="AF18" s="203">
        <f ca="1">V18^2*IF(ISBLANK(Design!$B$35),Constants!$C$6,Design!$B$35)/1000*(1+(AH18-25)*(Constants!$C$36/100))</f>
        <v>1.460120460135768E-2</v>
      </c>
      <c r="AG18" s="203">
        <f>0.5*Snubber!$B$15/1000000000000*$W$2^2*Design!$B$26*1000000</f>
        <v>1.1750000000000002E-2</v>
      </c>
      <c r="AH18" s="204">
        <f ca="1">AE18*Design!$C$12+$A18</f>
        <v>125.44323971246496</v>
      </c>
      <c r="AI18" s="204">
        <f ca="1">Constants!$D$22+Constants!$D$22*Constants!$C$24/100*(AH18-25)</f>
        <v>131.42693873278205</v>
      </c>
      <c r="AJ18" s="204">
        <f ca="1">Constants!$D$23+Constants!$D$23*Constants!$C$24/100*(AH18-25)</f>
        <v>106.78438772038542</v>
      </c>
      <c r="AK18" s="203">
        <f ca="1">(1-Constants!$C$19/1000000000*Design!$B$26*1000000) * ($C$2-V18*AI18/1000) - (V18*Design!$B$35/1000)</f>
        <v>2.9037696939256201</v>
      </c>
      <c r="AL18" s="203">
        <f ca="1">IF(AK18&gt;Design!$C$22,Design!$C$22,AK18)</f>
        <v>1.7973333333333334</v>
      </c>
      <c r="AM18" s="203">
        <f t="shared" ca="1" si="52"/>
        <v>0.45225203194437757</v>
      </c>
      <c r="AN18" s="203">
        <f t="shared" ca="1" si="53"/>
        <v>2.246666666666667</v>
      </c>
      <c r="AO18" s="344">
        <f t="shared" ca="1" si="54"/>
        <v>83.243213951679181</v>
      </c>
      <c r="AP18" s="350">
        <f t="shared" si="63"/>
        <v>1.25</v>
      </c>
      <c r="AQ18" s="218">
        <f ca="1">IF( 100*(Design!$C$22+AP18*(IF(ISBLANK(Design!$B$35),Constants!$C$6,Design!$B$35)/1000*(1+Constants!$C$36/100*(BB18-25))+BD18/1000))/($AQ$2-AP18*BC18/1000) &gt; Design!$C$29, Design!$C$29, 100*(Design!$C$22+AP18*(IF(ISBLANK(Design!$B$35),Constants!$C$6,Design!$B$35)/1000*(1+Constants!$C$36/100*(BB18-25))+BD18/1000))/($AQ$2-AP18*BC18/1000) )</f>
        <v>36.428848792983871</v>
      </c>
      <c r="AR18" s="217">
        <f ca="1">IF( ($AQ$2-AP18*(IF(ISBLANK(Design!$B$35),Constants!$C$6,Design!$B$35)/1000*(1+Constants!$C$36/100*(BB18-25))+BD18/1000)-Design!$C$22) / (IF(ISBLANK(Design!$B$34),Design!$B$33,Design!$B$34)/1000000) * AQ18/100 / (IF(ISBLANK(Design!$B$26),Design!$B$25,Design!$B$26)*1000000) &lt; 0, 0, ($AQ$2-AP18*(IF(ISBLANK(Design!$B$35),Constants!$C$6,Design!$B$35)/1000*(1+Constants!$C$36/100*(BB18-25))+BD18/1000)-Design!$C$22) / (IF(ISBLANK(Design!$B$34),Design!$B$33,Design!$B$34)/1000000) * AQ18/100 / (IF(ISBLANK(Design!$B$26),Design!$B$25,Design!$B$26)*1000000) )</f>
        <v>0.64781955643357403</v>
      </c>
      <c r="AS18" s="217">
        <f>$AQ$2*Constants!$C$21/1000+IF(ISBLANK(Design!$B$26),Design!$B$25,Design!$B$26)*1000000*(Constants!$D$26+Constants!$D$27)/1000000000*$AQ$2</f>
        <v>6.2699999999999992E-2</v>
      </c>
      <c r="AT18" s="217">
        <f>$AQ$2*AP18*($AQ$2/(Constants!$C$28*1000000000)*IF(ISBLANK(Design!$B$26),Design!$B$25,Design!$B$26)*1000000/2+$AQ$2/(Constants!$C$29*1000000000)*IF(ISBLANK(Design!$B$26),Design!$B$25,Design!$B$26)*1000000/2)</f>
        <v>0.11343750000000001</v>
      </c>
      <c r="AU18" s="217">
        <f t="shared" ca="1" si="55"/>
        <v>7.6954713696498742E-2</v>
      </c>
      <c r="AV18" s="217">
        <f t="shared" ca="1" si="56"/>
        <v>0.10911217814590699</v>
      </c>
      <c r="AW18" s="217">
        <f>2*AP18*Constants!$C$20/1000000000*Constants!$C$25*IF(ISBLANK(Design!$B$26),Design!$B$25,Design!$B$26)*1000000</f>
        <v>4.4999999999999998E-2</v>
      </c>
      <c r="AX18" s="217">
        <f>(Constants!$D$26+Constants!$D$27)/1000000000*$AQ$2*IF(ISBLANK(Design!$B$26),Design!$B$25,Design!$B$26)*1000000</f>
        <v>5.1699999999999996E-2</v>
      </c>
      <c r="AY18" s="217">
        <f t="shared" ca="1" si="57"/>
        <v>0.45890439184240572</v>
      </c>
      <c r="AZ18" s="217">
        <f ca="1">AP18^2*IF(ISBLANK(Design!$B$35),Constants!$C$6,Design!$B$35)/1000*(1+(BB18-25)*(Constants!$C$36/100))</f>
        <v>1.4666380865620179E-2</v>
      </c>
      <c r="BA18" s="217">
        <f>0.5*Snubber!$B$15/1000000000000*$AQ$2^2*Design!$B$26*1000000</f>
        <v>1.4217500000000001E-2</v>
      </c>
      <c r="BB18" s="218">
        <f ca="1">AY18*Design!$C$12+$A18</f>
        <v>127.02741080843548</v>
      </c>
      <c r="BC18" s="218">
        <f ca="1">Constants!$D$22+Constants!$D$22*Constants!$C$24/100*(BB18-25)</f>
        <v>132.23803433391896</v>
      </c>
      <c r="BD18" s="218">
        <f ca="1">Constants!$D$23+Constants!$D$23*Constants!$C$24/100*(BB18-25)</f>
        <v>107.44340289630915</v>
      </c>
      <c r="BE18" s="217">
        <f ca="1">(1-Constants!$C$19/1000000000*Design!$B$26*1000000) * ($AQ$2-AP18*BC18/1000) - (AP18*Design!$B$35/1000)</f>
        <v>4.7928572113743408</v>
      </c>
      <c r="BF18" s="217">
        <f ca="1">IF(BE18&gt;Design!$C$22,Design!$C$22,BE18)</f>
        <v>1.7973333333333334</v>
      </c>
      <c r="BG18" s="217">
        <f t="shared" ca="1" si="58"/>
        <v>0.48778827270802588</v>
      </c>
      <c r="BH18" s="217">
        <f t="shared" ca="1" si="59"/>
        <v>2.246666666666667</v>
      </c>
      <c r="BI18" s="351">
        <f t="shared" ca="1" si="60"/>
        <v>82.161407537416878</v>
      </c>
    </row>
    <row r="19" spans="1:61" ht="12.75" customHeight="1">
      <c r="A19" s="136">
        <f>Design!$D$13</f>
        <v>105</v>
      </c>
      <c r="B19" s="337">
        <f t="shared" si="61"/>
        <v>1.5</v>
      </c>
      <c r="C19" s="187">
        <f ca="1">IF( 100*(Design!$C$22+B19*(IF(ISBLANK(Design!$B$35),Constants!$C$6,Design!$B$35)/1000*(1+Constants!$C$36/100*(N19-25))+P19/1000))/($C$2-B19*O19/1000) &gt; Design!$C$29, Design!$C$29, 100*(Design!$C$22+B19*(IF(ISBLANK(Design!$B$35),Constants!$C$6,Design!$B$35)/1000*(1+Constants!$C$36/100*(N19-25))+P19/1000))/($C$2-B19*O19/1000) )</f>
        <v>61.604118331246816</v>
      </c>
      <c r="D19" s="186">
        <f ca="1">IF( ($C$2-B19*(IF(ISBLANK(Design!$B$35),Constants!$C$6,Design!$B$35)/1000*(1+Constants!$C$36/100*(N19-25))+P19/1000)-Design!$C$22) / (IF(ISBLANK(Design!$B$34),Design!$B$33,Design!$B$34)/1000000) * C19/100 / (IF(ISBLANK(Design!$B$26),Design!$B$25,Design!$B$26)*1000000) &lt; 0, 0, ($C$2-B19*(IF(ISBLANK(Design!$B$35),Constants!$C$6,Design!$B$35)/1000*(1+Constants!$C$36/100*(N19-25))+P19/1000)-Design!$C$22) / (IF(ISBLANK(Design!$B$34),Design!$B$33,Design!$B$34)/1000000) * C19/100 / (IF(ISBLANK(Design!$B$26),Design!$B$25,Design!$B$26)*1000000) )</f>
        <v>0.43971743877255864</v>
      </c>
      <c r="E19" s="186">
        <f>$C$2*Constants!$C$21/1000+IF(ISBLANK(Design!$B$26),Design!$B$25,Design!$B$26)*1000000*(Constants!$D$26+Constants!$D$27)/1000000000*$C$2</f>
        <v>3.8759999999999996E-2</v>
      </c>
      <c r="F19" s="186">
        <f>$C$2*B19*($C$2/(Constants!$C$28*1000000000)*IF(ISBLANK(Design!$B$26),Design!$B$25,Design!$B$26)*1000000/2+$C$2/(Constants!$C$29*1000000000)*IF(ISBLANK(Design!$B$26),Design!$B$25,Design!$B$26)*1000000/2)</f>
        <v>5.201999999999999E-2</v>
      </c>
      <c r="G19" s="186">
        <f t="shared" ca="1" si="43"/>
        <v>0.18445945871595412</v>
      </c>
      <c r="H19" s="186">
        <f t="shared" ca="1" si="44"/>
        <v>9.3411253011675299E-2</v>
      </c>
      <c r="I19" s="186">
        <f>2*B19*Constants!$C$20/1000000000*Constants!$C$25*IF(ISBLANK(Design!$B$26),Design!$B$25,Design!$B$26)*1000000</f>
        <v>5.3999999999999992E-2</v>
      </c>
      <c r="J19" s="186">
        <f>(Constants!$D$26+Constants!$D$27)/1000000000*$C$2*IF(ISBLANK(Design!$B$26),Design!$B$25,Design!$B$26)*1000000</f>
        <v>3.1959999999999988E-2</v>
      </c>
      <c r="K19" s="186">
        <f t="shared" ca="1" si="45"/>
        <v>0.4546107117276294</v>
      </c>
      <c r="L19" s="186">
        <f ca="1">B19^2*IF(ISBLANK(Design!$B$35),Constants!$C$6,Design!$B$35)/1000*(1+(N19-25)*(Constants!$C$36/100))</f>
        <v>2.1107378302254027E-2</v>
      </c>
      <c r="M19" s="186">
        <f>0.5*Snubber!$B$15/1000000000000*$C$2^2*Design!$B$26*1000000</f>
        <v>5.4332E-3</v>
      </c>
      <c r="N19" s="187">
        <f ca="1">K19*Design!$C$12+$A19</f>
        <v>126.82131416292621</v>
      </c>
      <c r="O19" s="187">
        <f ca="1">Constants!$D$22+Constants!$D$22*Constants!$C$24/100*(N19-25)</f>
        <v>132.13251285141823</v>
      </c>
      <c r="P19" s="187">
        <f ca="1">Constants!$D$23+Constants!$D$23*Constants!$C$24/100*(N19-25)</f>
        <v>107.35766669177731</v>
      </c>
      <c r="Q19" s="186">
        <f ca="1">(1-Constants!$C$19/1000000000*Design!$B$26*1000000) * ($C$2-B19*O19/1000) - (B19*Design!$B$35/1000)</f>
        <v>2.8715711076505852</v>
      </c>
      <c r="R19" s="186">
        <f ca="1">IF(Q19&gt;Design!$C$22,Design!$C$22,Q19)</f>
        <v>1.7973333333333334</v>
      </c>
      <c r="S19" s="186">
        <f t="shared" ca="1" si="46"/>
        <v>0.48115129002988344</v>
      </c>
      <c r="T19" s="186">
        <f t="shared" ca="1" si="47"/>
        <v>2.6960000000000002</v>
      </c>
      <c r="U19" s="338">
        <f t="shared" ca="1" si="48"/>
        <v>84.855889880353871</v>
      </c>
      <c r="V19" s="346">
        <f t="shared" si="62"/>
        <v>1.5</v>
      </c>
      <c r="W19" s="204">
        <f ca="1">IF( 100*(Design!$C$22+V19*(IF(ISBLANK(Design!$B$35),Constants!$C$6,Design!$B$35)/1000*(1+Constants!$C$36/100*(AH19-25))+AJ19/1000))/($W$2-V19*AI19/1000) &gt; Design!$C$29, Design!$C$29, 100*(Design!$C$22+V19*(IF(ISBLANK(Design!$B$35),Constants!$C$6,Design!$B$35)/1000*(1+Constants!$C$36/100*(AH19-25))+AJ19/1000))/($W$2-V19*AI19/1000) )</f>
        <v>41.160789412562899</v>
      </c>
      <c r="X19" s="203">
        <f ca="1">IF( ($C$2-V19*(IF(ISBLANK(Design!$B$35),Constants!$C$6,Design!$B$35)/1000*(1+Constants!$C$36/100*(AH19-25))+AJ19/1000)-Design!$C$22) / (IF(ISBLANK(Design!$B$34),Design!$B$33,Design!$B$34)/1000000) * W19/100 / (IF(ISBLANK(Design!$B$26),Design!$B$25,Design!$B$26)*1000000) &lt; 0, 0, ($C$2-V19*(IF(ISBLANK(Design!$B$35),Constants!$C$6,Design!$B$35)/1000*(1+Constants!$C$36/100*(AH19-25))+AJ19/1000)-Design!$C$22) / (IF(ISBLANK(Design!$B$34),Design!$B$33,Design!$B$34)/1000000) * W19/100 / (IF(ISBLANK(Design!$B$26),Design!$B$25,Design!$B$26)*1000000) )</f>
        <v>0.2932371303368641</v>
      </c>
      <c r="Y19" s="203">
        <f>$W$2*Constants!$C$21/1000+IF(ISBLANK(Design!$B$26),Design!$B$25,Design!$B$26)*1000000*(Constants!$D$26+Constants!$D$27)/1000000000*$W$2</f>
        <v>5.6999999999999995E-2</v>
      </c>
      <c r="Z19" s="203">
        <f>$W$2*V19*($W$2/(Constants!$C$28*1000000000)*IF(ISBLANK(Design!$B$26),Design!$B$25,Design!$B$26)*1000000/2+$W$2/(Constants!$C$29*1000000000)*IF(ISBLANK(Design!$B$26),Design!$B$25,Design!$B$26)*1000000/2)</f>
        <v>0.11249999999999999</v>
      </c>
      <c r="AA19" s="203">
        <f t="shared" ca="1" si="49"/>
        <v>0.12471099497929732</v>
      </c>
      <c r="AB19" s="203">
        <f t="shared" ca="1" si="50"/>
        <v>0.14484758402876474</v>
      </c>
      <c r="AC19" s="203">
        <f>2*V19*Constants!$C$20/1000000000*Constants!$C$25*IF(ISBLANK(Design!$B$26),Design!$B$25,Design!$B$26)*1000000</f>
        <v>5.3999999999999992E-2</v>
      </c>
      <c r="AD19" s="203">
        <f>(Constants!$D$26+Constants!$D$27)/1000000000*$W$2*IF(ISBLANK(Design!$B$26),Design!$B$25,Design!$B$26)*1000000</f>
        <v>4.6999999999999993E-2</v>
      </c>
      <c r="AE19" s="203">
        <f t="shared" ca="1" si="51"/>
        <v>0.54005857900806209</v>
      </c>
      <c r="AF19" s="203">
        <f ca="1">V19^2*IF(ISBLANK(Design!$B$35),Constants!$C$6,Design!$B$35)/1000*(1+(AH19-25)*(Constants!$C$36/100))</f>
        <v>2.1350370503937021E-2</v>
      </c>
      <c r="AG19" s="203">
        <f>0.5*Snubber!$B$15/1000000000000*$W$2^2*Design!$B$26*1000000</f>
        <v>1.1750000000000002E-2</v>
      </c>
      <c r="AH19" s="204">
        <f ca="1">AE19*Design!$C$12+$A19</f>
        <v>130.92281179238699</v>
      </c>
      <c r="AI19" s="204">
        <f ca="1">Constants!$D$22+Constants!$D$22*Constants!$C$24/100*(AH19-25)</f>
        <v>134.23247963770214</v>
      </c>
      <c r="AJ19" s="204">
        <f ca="1">Constants!$D$23+Constants!$D$23*Constants!$C$24/100*(AH19-25)</f>
        <v>109.06388970563299</v>
      </c>
      <c r="AK19" s="203">
        <f ca="1">(1-Constants!$C$19/1000000000*Design!$B$26*1000000) * ($C$2-V19*AI19/1000) - (V19*Design!$B$35/1000)</f>
        <v>2.868736152489102</v>
      </c>
      <c r="AL19" s="203">
        <f ca="1">IF(AK19&gt;Design!$C$22,Design!$C$22,AK19)</f>
        <v>1.7973333333333334</v>
      </c>
      <c r="AM19" s="203">
        <f t="shared" ca="1" si="52"/>
        <v>0.57315894951199919</v>
      </c>
      <c r="AN19" s="203">
        <f t="shared" ca="1" si="53"/>
        <v>2.6960000000000002</v>
      </c>
      <c r="AO19" s="344">
        <f t="shared" ca="1" si="54"/>
        <v>82.46769403495793</v>
      </c>
      <c r="AP19" s="350">
        <f t="shared" si="63"/>
        <v>1.5</v>
      </c>
      <c r="AQ19" s="218">
        <f ca="1">IF( 100*(Design!$C$22+AP19*(IF(ISBLANK(Design!$B$35),Constants!$C$6,Design!$B$35)/1000*(1+Constants!$C$36/100*(BB19-25))+BD19/1000))/($AQ$2-AP19*BC19/1000) &gt; Design!$C$29, Design!$C$29, 100*(Design!$C$22+AP19*(IF(ISBLANK(Design!$B$35),Constants!$C$6,Design!$B$35)/1000*(1+Constants!$C$36/100*(BB19-25))+BD19/1000))/($AQ$2-AP19*BC19/1000) )</f>
        <v>37.308629499253918</v>
      </c>
      <c r="AR19" s="217">
        <f ca="1">IF( ($AQ$2-AP19*(IF(ISBLANK(Design!$B$35),Constants!$C$6,Design!$B$35)/1000*(1+Constants!$C$36/100*(BB19-25))+BD19/1000)-Design!$C$22) / (IF(ISBLANK(Design!$B$34),Design!$B$33,Design!$B$34)/1000000) * AQ19/100 / (IF(ISBLANK(Design!$B$26),Design!$B$25,Design!$B$26)*1000000) &lt; 0, 0, ($AQ$2-AP19*(IF(ISBLANK(Design!$B$35),Constants!$C$6,Design!$B$35)/1000*(1+Constants!$C$36/100*(BB19-25))+BD19/1000)-Design!$C$22) / (IF(ISBLANK(Design!$B$34),Design!$B$33,Design!$B$34)/1000000) * AQ19/100 / (IF(ISBLANK(Design!$B$26),Design!$B$25,Design!$B$26)*1000000) )</f>
        <v>0.65731387411204156</v>
      </c>
      <c r="AS19" s="217">
        <f>$AQ$2*Constants!$C$21/1000+IF(ISBLANK(Design!$B$26),Design!$B$25,Design!$B$26)*1000000*(Constants!$D$26+Constants!$D$27)/1000000000*$AQ$2</f>
        <v>6.2699999999999992E-2</v>
      </c>
      <c r="AT19" s="217">
        <f>$AQ$2*AP19*($AQ$2/(Constants!$C$28*1000000000)*IF(ISBLANK(Design!$B$26),Design!$B$25,Design!$B$26)*1000000/2+$AQ$2/(Constants!$C$29*1000000000)*IF(ISBLANK(Design!$B$26),Design!$B$25,Design!$B$26)*1000000/2)</f>
        <v>0.136125</v>
      </c>
      <c r="AU19" s="217">
        <f t="shared" ca="1" si="55"/>
        <v>0.11526127141999513</v>
      </c>
      <c r="AV19" s="217">
        <f t="shared" ca="1" si="56"/>
        <v>0.15736394834034328</v>
      </c>
      <c r="AW19" s="217">
        <f>2*AP19*Constants!$C$20/1000000000*Constants!$C$25*IF(ISBLANK(Design!$B$26),Design!$B$25,Design!$B$26)*1000000</f>
        <v>5.3999999999999992E-2</v>
      </c>
      <c r="AX19" s="217">
        <f>(Constants!$D$26+Constants!$D$27)/1000000000*$AQ$2*IF(ISBLANK(Design!$B$26),Design!$B$25,Design!$B$26)*1000000</f>
        <v>5.1699999999999996E-2</v>
      </c>
      <c r="AY19" s="217">
        <f t="shared" ca="1" si="57"/>
        <v>0.57715021976033831</v>
      </c>
      <c r="AZ19" s="217">
        <f ca="1">AP19^2*IF(ISBLANK(Design!$B$35),Constants!$C$6,Design!$B$35)/1000*(1+(BB19-25)*(Constants!$C$36/100))</f>
        <v>2.1455849783143025E-2</v>
      </c>
      <c r="BA19" s="217">
        <f>0.5*Snubber!$B$15/1000000000000*$AQ$2^2*Design!$B$26*1000000</f>
        <v>1.4217500000000001E-2</v>
      </c>
      <c r="BB19" s="218">
        <f ca="1">AY19*Design!$C$12+$A19</f>
        <v>132.70321054849623</v>
      </c>
      <c r="BC19" s="218">
        <f ca="1">Constants!$D$22+Constants!$D$22*Constants!$C$24/100*(BB19-25)</f>
        <v>135.14404380083008</v>
      </c>
      <c r="BD19" s="218">
        <f ca="1">Constants!$D$23+Constants!$D$23*Constants!$C$24/100*(BB19-25)</f>
        <v>109.80453558817445</v>
      </c>
      <c r="BE19" s="217">
        <f ca="1">(1-Constants!$C$19/1000000000*Design!$B$26*1000000) * ($AQ$2-AP19*BC19/1000) - (AP19*Design!$B$35/1000)</f>
        <v>4.7575055408688796</v>
      </c>
      <c r="BF19" s="217">
        <f ca="1">IF(BE19&gt;Design!$C$22,Design!$C$22,BE19)</f>
        <v>1.7973333333333334</v>
      </c>
      <c r="BG19" s="217">
        <f t="shared" ca="1" si="58"/>
        <v>0.61282356954348138</v>
      </c>
      <c r="BH19" s="217">
        <f t="shared" ca="1" si="59"/>
        <v>2.6960000000000002</v>
      </c>
      <c r="BI19" s="351">
        <f t="shared" ca="1" si="60"/>
        <v>81.47911012287571</v>
      </c>
    </row>
    <row r="20" spans="1:61" ht="12.75" customHeight="1">
      <c r="A20" s="136">
        <f>Design!$D$13</f>
        <v>105</v>
      </c>
      <c r="B20" s="337">
        <f t="shared" si="61"/>
        <v>1.75</v>
      </c>
      <c r="C20" s="187">
        <f ca="1">IF( 100*(Design!$C$22+B20*(IF(ISBLANK(Design!$B$35),Constants!$C$6,Design!$B$35)/1000*(1+Constants!$C$36/100*(N20-25))+P20/1000))/($C$2-B20*O20/1000) &gt; Design!$C$29, Design!$C$29, 100*(Design!$C$22+B20*(IF(ISBLANK(Design!$B$35),Constants!$C$6,Design!$B$35)/1000*(1+Constants!$C$36/100*(N20-25))+P20/1000))/($C$2-B20*O20/1000) )</f>
        <v>63.427015035670905</v>
      </c>
      <c r="D20" s="186">
        <f ca="1">IF( ($C$2-B20*(IF(ISBLANK(Design!$B$35),Constants!$C$6,Design!$B$35)/1000*(1+Constants!$C$36/100*(N20-25))+P20/1000)-Design!$C$22) / (IF(ISBLANK(Design!$B$34),Design!$B$33,Design!$B$34)/1000000) * C20/100 / (IF(ISBLANK(Design!$B$26),Design!$B$25,Design!$B$26)*1000000) &lt; 0, 0, ($C$2-B20*(IF(ISBLANK(Design!$B$35),Constants!$C$6,Design!$B$35)/1000*(1+Constants!$C$36/100*(N20-25))+P20/1000)-Design!$C$22) / (IF(ISBLANK(Design!$B$34),Design!$B$33,Design!$B$34)/1000000) * C20/100 / (IF(ISBLANK(Design!$B$26),Design!$B$25,Design!$B$26)*1000000) )</f>
        <v>0.44196855435327626</v>
      </c>
      <c r="E20" s="186">
        <f>$C$2*Constants!$C$21/1000+IF(ISBLANK(Design!$B$26),Design!$B$25,Design!$B$26)*1000000*(Constants!$D$26+Constants!$D$27)/1000000000*$C$2</f>
        <v>3.8759999999999996E-2</v>
      </c>
      <c r="F20" s="186">
        <f>$C$2*B20*($C$2/(Constants!$C$28*1000000000)*IF(ISBLANK(Design!$B$26),Design!$B$25,Design!$B$26)*1000000/2+$C$2/(Constants!$C$29*1000000000)*IF(ISBLANK(Design!$B$26),Design!$B$25,Design!$B$26)*1000000/2)</f>
        <v>6.0689999999999994E-2</v>
      </c>
      <c r="G20" s="186">
        <f t="shared" ca="1" si="43"/>
        <v>0.26415431303864978</v>
      </c>
      <c r="H20" s="186">
        <f t="shared" ca="1" si="44"/>
        <v>0.12375626958471073</v>
      </c>
      <c r="I20" s="186">
        <f>2*B20*Constants!$C$20/1000000000*Constants!$C$25*IF(ISBLANK(Design!$B$26),Design!$B$25,Design!$B$26)*1000000</f>
        <v>6.3E-2</v>
      </c>
      <c r="J20" s="186">
        <f>(Constants!$D$26+Constants!$D$27)/1000000000*$C$2*IF(ISBLANK(Design!$B$26),Design!$B$25,Design!$B$26)*1000000</f>
        <v>3.1959999999999988E-2</v>
      </c>
      <c r="K20" s="186">
        <f t="shared" ca="1" si="45"/>
        <v>0.58232058262336039</v>
      </c>
      <c r="L20" s="186">
        <f ca="1">B20^2*IF(ISBLANK(Design!$B$35),Constants!$C$6,Design!$B$35)/1000*(1+(N20-25)*(Constants!$C$36/100))</f>
        <v>2.922380823937519E-2</v>
      </c>
      <c r="M20" s="186">
        <f>0.5*Snubber!$B$15/1000000000000*$C$2^2*Design!$B$26*1000000</f>
        <v>5.4332E-3</v>
      </c>
      <c r="N20" s="187">
        <f ca="1">K20*Design!$C$12+$A20</f>
        <v>132.9513879659213</v>
      </c>
      <c r="O20" s="187">
        <f ca="1">Constants!$D$22+Constants!$D$22*Constants!$C$24/100*(N20-25)</f>
        <v>135.2711106385517</v>
      </c>
      <c r="P20" s="187">
        <f ca="1">Constants!$D$23+Constants!$D$23*Constants!$C$24/100*(N20-25)</f>
        <v>109.90777739382327</v>
      </c>
      <c r="Q20" s="186">
        <f ca="1">(1-Constants!$C$19/1000000000*Design!$B$26*1000000) * ($C$2-B20*O20/1000) - (B20*Design!$B$35/1000)</f>
        <v>2.8352230007442807</v>
      </c>
      <c r="R20" s="186">
        <f ca="1">IF(Q20&gt;Design!$C$22,Design!$C$22,Q20)</f>
        <v>1.7973333333333334</v>
      </c>
      <c r="S20" s="186">
        <f t="shared" ca="1" si="46"/>
        <v>0.61697759086273563</v>
      </c>
      <c r="T20" s="186">
        <f t="shared" ca="1" si="47"/>
        <v>3.1453333333333333</v>
      </c>
      <c r="U20" s="338">
        <f t="shared" ca="1" si="48"/>
        <v>83.601100406272991</v>
      </c>
      <c r="V20" s="346">
        <f t="shared" si="62"/>
        <v>1.75</v>
      </c>
      <c r="W20" s="204">
        <f ca="1">IF( 100*(Design!$C$22+V20*(IF(ISBLANK(Design!$B$35),Constants!$C$6,Design!$B$35)/1000*(1+Constants!$C$36/100*(AH20-25))+AJ20/1000))/($W$2-V20*AI20/1000) &gt; Design!$C$29, Design!$C$29, 100*(Design!$C$22+V20*(IF(ISBLANK(Design!$B$35),Constants!$C$6,Design!$B$35)/1000*(1+Constants!$C$36/100*(AH20-25))+AJ20/1000))/($W$2-V20*AI20/1000) )</f>
        <v>42.22898493071407</v>
      </c>
      <c r="X20" s="203">
        <f ca="1">IF( ($C$2-V20*(IF(ISBLANK(Design!$B$35),Constants!$C$6,Design!$B$35)/1000*(1+Constants!$C$36/100*(AH20-25))+AJ20/1000)-Design!$C$22) / (IF(ISBLANK(Design!$B$34),Design!$B$33,Design!$B$34)/1000000) * W20/100 / (IF(ISBLANK(Design!$B$26),Design!$B$25,Design!$B$26)*1000000) &lt; 0, 0, ($C$2-V20*(IF(ISBLANK(Design!$B$35),Constants!$C$6,Design!$B$35)/1000*(1+Constants!$C$36/100*(AH20-25))+AJ20/1000)-Design!$C$22) / (IF(ISBLANK(Design!$B$34),Design!$B$33,Design!$B$34)/1000000) * W20/100 / (IF(ISBLANK(Design!$B$26),Design!$B$25,Design!$B$26)*1000000) )</f>
        <v>0.29353268967908214</v>
      </c>
      <c r="Y20" s="203">
        <f>$W$2*Constants!$C$21/1000+IF(ISBLANK(Design!$B$26),Design!$B$25,Design!$B$26)*1000000*(Constants!$D$26+Constants!$D$27)/1000000000*$W$2</f>
        <v>5.6999999999999995E-2</v>
      </c>
      <c r="Z20" s="203">
        <f>$W$2*V20*($W$2/(Constants!$C$28*1000000000)*IF(ISBLANK(Design!$B$26),Design!$B$25,Design!$B$26)*1000000/2+$W$2/(Constants!$C$29*1000000000)*IF(ISBLANK(Design!$B$26),Design!$B$25,Design!$B$26)*1000000/2)</f>
        <v>0.13125000000000001</v>
      </c>
      <c r="AA20" s="203">
        <f t="shared" ca="1" si="49"/>
        <v>0.17829506131663128</v>
      </c>
      <c r="AB20" s="203">
        <f t="shared" ca="1" si="50"/>
        <v>0.19818101089664664</v>
      </c>
      <c r="AC20" s="203">
        <f>2*V20*Constants!$C$20/1000000000*Constants!$C$25*IF(ISBLANK(Design!$B$26),Design!$B$25,Design!$B$26)*1000000</f>
        <v>6.3E-2</v>
      </c>
      <c r="AD20" s="203">
        <f>(Constants!$D$26+Constants!$D$27)/1000000000*$W$2*IF(ISBLANK(Design!$B$26),Design!$B$25,Design!$B$26)*1000000</f>
        <v>4.6999999999999993E-2</v>
      </c>
      <c r="AE20" s="203">
        <f t="shared" ca="1" si="51"/>
        <v>0.67472607221327785</v>
      </c>
      <c r="AF20" s="203">
        <f ca="1">V20^2*IF(ISBLANK(Design!$B$35),Constants!$C$6,Design!$B$35)/1000*(1+(AH20-25)*(Constants!$C$36/100))</f>
        <v>2.9581478194494835E-2</v>
      </c>
      <c r="AG20" s="203">
        <f>0.5*Snubber!$B$15/1000000000000*$W$2^2*Design!$B$26*1000000</f>
        <v>1.1750000000000002E-2</v>
      </c>
      <c r="AH20" s="204">
        <f ca="1">AE20*Design!$C$12+$A20</f>
        <v>137.38685146623735</v>
      </c>
      <c r="AI20" s="204">
        <f ca="1">Constants!$D$22+Constants!$D$22*Constants!$C$24/100*(AH20-25)</f>
        <v>137.54206795071352</v>
      </c>
      <c r="AJ20" s="204">
        <f ca="1">Constants!$D$23+Constants!$D$23*Constants!$C$24/100*(AH20-25)</f>
        <v>111.75293020995474</v>
      </c>
      <c r="AK20" s="203">
        <f ca="1">(1-Constants!$C$19/1000000000*Design!$B$26*1000000) * ($C$2-V20*AI20/1000) - (V20*Design!$B$35/1000)</f>
        <v>2.8316462429776257</v>
      </c>
      <c r="AL20" s="203">
        <f ca="1">IF(AK20&gt;Design!$C$22,Design!$C$22,AK20)</f>
        <v>1.7973333333333334</v>
      </c>
      <c r="AM20" s="203">
        <f t="shared" ca="1" si="52"/>
        <v>0.71605755040777275</v>
      </c>
      <c r="AN20" s="203">
        <f t="shared" ca="1" si="53"/>
        <v>3.1453333333333333</v>
      </c>
      <c r="AO20" s="344">
        <f t="shared" ca="1" si="54"/>
        <v>81.455968277575124</v>
      </c>
      <c r="AP20" s="350">
        <f t="shared" si="63"/>
        <v>1.75</v>
      </c>
      <c r="AQ20" s="218">
        <f ca="1">IF( 100*(Design!$C$22+AP20*(IF(ISBLANK(Design!$B$35),Constants!$C$6,Design!$B$35)/1000*(1+Constants!$C$36/100*(BB20-25))+BD20/1000))/($AQ$2-AP20*BC20/1000) &gt; Design!$C$29, Design!$C$29, 100*(Design!$C$22+AP20*(IF(ISBLANK(Design!$B$35),Constants!$C$6,Design!$B$35)/1000*(1+Constants!$C$36/100*(BB20-25))+BD20/1000))/($AQ$2-AP20*BC20/1000) )</f>
        <v>38.256321277812177</v>
      </c>
      <c r="AR20" s="217">
        <f ca="1">IF( ($AQ$2-AP20*(IF(ISBLANK(Design!$B$35),Constants!$C$6,Design!$B$35)/1000*(1+Constants!$C$36/100*(BB20-25))+BD20/1000)-Design!$C$22) / (IF(ISBLANK(Design!$B$34),Design!$B$33,Design!$B$34)/1000000) * AQ20/100 / (IF(ISBLANK(Design!$B$26),Design!$B$25,Design!$B$26)*1000000) &lt; 0, 0, ($AQ$2-AP20*(IF(ISBLANK(Design!$B$35),Constants!$C$6,Design!$B$35)/1000*(1+Constants!$C$36/100*(BB20-25))+BD20/1000)-Design!$C$22) / (IF(ISBLANK(Design!$B$34),Design!$B$33,Design!$B$34)/1000000) * AQ20/100 / (IF(ISBLANK(Design!$B$26),Design!$B$25,Design!$B$26)*1000000) )</f>
        <v>0.66731710440476311</v>
      </c>
      <c r="AS20" s="217">
        <f>$AQ$2*Constants!$C$21/1000+IF(ISBLANK(Design!$B$26),Design!$B$25,Design!$B$26)*1000000*(Constants!$D$26+Constants!$D$27)/1000000000*$AQ$2</f>
        <v>6.2699999999999992E-2</v>
      </c>
      <c r="AT20" s="217">
        <f>$AQ$2*AP20*($AQ$2/(Constants!$C$28*1000000000)*IF(ISBLANK(Design!$B$26),Design!$B$25,Design!$B$26)*1000000/2+$AQ$2/(Constants!$C$29*1000000000)*IF(ISBLANK(Design!$B$26),Design!$B$25,Design!$B$26)*1000000/2)</f>
        <v>0.1588125</v>
      </c>
      <c r="AU20" s="217">
        <f t="shared" ca="1" si="55"/>
        <v>0.16429857978180837</v>
      </c>
      <c r="AV20" s="217">
        <f t="shared" ca="1" si="56"/>
        <v>0.21544998809086063</v>
      </c>
      <c r="AW20" s="217">
        <f>2*AP20*Constants!$C$20/1000000000*Constants!$C$25*IF(ISBLANK(Design!$B$26),Design!$B$25,Design!$B$26)*1000000</f>
        <v>6.3E-2</v>
      </c>
      <c r="AX20" s="217">
        <f>(Constants!$D$26+Constants!$D$27)/1000000000*$AQ$2*IF(ISBLANK(Design!$B$26),Design!$B$25,Design!$B$26)*1000000</f>
        <v>5.1699999999999996E-2</v>
      </c>
      <c r="AY20" s="217">
        <f t="shared" ca="1" si="57"/>
        <v>0.715961067872669</v>
      </c>
      <c r="AZ20" s="217">
        <f ca="1">AP20^2*IF(ISBLANK(Design!$B$35),Constants!$C$6,Design!$B$35)/1000*(1+(BB20-25)*(Constants!$C$36/100))</f>
        <v>2.9741084719088828E-2</v>
      </c>
      <c r="BA20" s="217">
        <f>0.5*Snubber!$B$15/1000000000000*$AQ$2^2*Design!$B$26*1000000</f>
        <v>1.4217500000000001E-2</v>
      </c>
      <c r="BB20" s="218">
        <f ca="1">AY20*Design!$C$12+$A20</f>
        <v>139.36613125788813</v>
      </c>
      <c r="BC20" s="218">
        <f ca="1">Constants!$D$22+Constants!$D$22*Constants!$C$24/100*(BB20-25)</f>
        <v>138.55545920403873</v>
      </c>
      <c r="BD20" s="218">
        <f ca="1">Constants!$D$23+Constants!$D$23*Constants!$C$24/100*(BB20-25)</f>
        <v>112.57631060328146</v>
      </c>
      <c r="BE20" s="217">
        <f ca="1">(1-Constants!$C$19/1000000000*Design!$B$26*1000000) * ($AQ$2-AP20*BC20/1000) - (AP20*Design!$B$35/1000)</f>
        <v>4.7200501517536395</v>
      </c>
      <c r="BF20" s="217">
        <f ca="1">IF(BE20&gt;Design!$C$22,Design!$C$22,BE20)</f>
        <v>1.7973333333333334</v>
      </c>
      <c r="BG20" s="217">
        <f t="shared" ca="1" si="58"/>
        <v>0.75991965259175787</v>
      </c>
      <c r="BH20" s="217">
        <f t="shared" ca="1" si="59"/>
        <v>3.1453333333333333</v>
      </c>
      <c r="BI20" s="351">
        <f t="shared" ca="1" si="60"/>
        <v>80.541090287093255</v>
      </c>
    </row>
    <row r="21" spans="1:61" ht="12.75" customHeight="1" thickBot="1">
      <c r="A21" s="145">
        <f>Design!$D$13</f>
        <v>105</v>
      </c>
      <c r="B21" s="340">
        <f t="shared" si="61"/>
        <v>2</v>
      </c>
      <c r="C21" s="189">
        <f ca="1">IF( 100*(Design!$C$22+B21*(IF(ISBLANK(Design!$B$35),Constants!$C$6,Design!$B$35)/1000*(1+Constants!$C$36/100*(N21-25))+P21/1000))/($C$2-B21*O21/1000) &gt; Design!$C$29, Design!$C$29, 100*(Design!$C$22+B21*(IF(ISBLANK(Design!$B$35),Constants!$C$6,Design!$B$35)/1000*(1+Constants!$C$36/100*(N21-25))+P21/1000))/($C$2-B21*O21/1000) )</f>
        <v>65.428800622725149</v>
      </c>
      <c r="D21" s="188">
        <f ca="1">IF( ($C$2-B21*(IF(ISBLANK(Design!$B$35),Constants!$C$6,Design!$B$35)/1000*(1+Constants!$C$36/100*(N21-25))+P21/1000)-Design!$C$22) / (IF(ISBLANK(Design!$B$34),Design!$B$33,Design!$B$34)/1000000) * C21/100 / (IF(ISBLANK(Design!$B$26),Design!$B$25,Design!$B$26)*1000000) &lt; 0, 0, ($C$2-B21*(IF(ISBLANK(Design!$B$35),Constants!$C$6,Design!$B$35)/1000*(1+Constants!$C$36/100*(N21-25))+P21/1000)-Design!$C$22) / (IF(ISBLANK(Design!$B$34),Design!$B$33,Design!$B$34)/1000000) * C21/100 / (IF(ISBLANK(Design!$B$26),Design!$B$25,Design!$B$26)*1000000) )</f>
        <v>0.44403821656901438</v>
      </c>
      <c r="E21" s="188">
        <f>$C$2*Constants!$C$21/1000+IF(ISBLANK(Design!$B$26),Design!$B$25,Design!$B$26)*1000000*(Constants!$D$26+Constants!$D$27)/1000000000*$C$2</f>
        <v>3.8759999999999996E-2</v>
      </c>
      <c r="F21" s="188">
        <f>$C$2*B21*($C$2/(Constants!$C$28*1000000000)*IF(ISBLANK(Design!$B$26),Design!$B$25,Design!$B$26)*1000000/2+$C$2/(Constants!$C$29*1000000000)*IF(ISBLANK(Design!$B$26),Design!$B$25,Design!$B$26)*1000000/2)</f>
        <v>6.9359999999999991E-2</v>
      </c>
      <c r="G21" s="188">
        <f t="shared" ca="1" si="43"/>
        <v>0.36528740711026508</v>
      </c>
      <c r="H21" s="188">
        <f t="shared" ca="1" si="44"/>
        <v>0.15682076126388333</v>
      </c>
      <c r="I21" s="188">
        <f>2*B21*Constants!$C$20/1000000000*Constants!$C$25*IF(ISBLANK(Design!$B$26),Design!$B$25,Design!$B$26)*1000000</f>
        <v>7.1999999999999995E-2</v>
      </c>
      <c r="J21" s="188">
        <f>(Constants!$D$26+Constants!$D$27)/1000000000*$C$2*IF(ISBLANK(Design!$B$26),Design!$B$25,Design!$B$26)*1000000</f>
        <v>3.1959999999999988E-2</v>
      </c>
      <c r="K21" s="188">
        <f t="shared" ca="1" si="45"/>
        <v>0.73418816837414835</v>
      </c>
      <c r="L21" s="188">
        <f ca="1">B21^2*IF(ISBLANK(Design!$B$35),Constants!$C$6,Design!$B$35)/1000*(1+(N21-25)*(Constants!$C$36/100))</f>
        <v>3.8937646463000262E-2</v>
      </c>
      <c r="M21" s="188">
        <f>0.5*Snubber!$B$15/1000000000000*$C$2^2*Design!$B$26*1000000</f>
        <v>5.4332E-3</v>
      </c>
      <c r="N21" s="189">
        <f ca="1">K21*Design!$C$12+$A21</f>
        <v>140.24103208195913</v>
      </c>
      <c r="O21" s="189">
        <f ca="1">Constants!$D$22+Constants!$D$22*Constants!$C$24/100*(N21-25)</f>
        <v>139.00340842596307</v>
      </c>
      <c r="P21" s="189">
        <f ca="1">Constants!$D$23+Constants!$D$23*Constants!$C$24/100*(N21-25)</f>
        <v>112.94026934609499</v>
      </c>
      <c r="Q21" s="188">
        <f ca="1">(1-Constants!$C$19/1000000000*Design!$B$26*1000000) * ($C$2-B21*O21/1000) - (B21*Design!$B$35/1000)</f>
        <v>2.7963938648332665</v>
      </c>
      <c r="R21" s="188">
        <f ca="1">IF(Q21&gt;Design!$C$22,Design!$C$22,Q21)</f>
        <v>1.7973333333333334</v>
      </c>
      <c r="S21" s="188">
        <f t="shared" ca="1" si="46"/>
        <v>0.77855901483714862</v>
      </c>
      <c r="T21" s="188">
        <f t="shared" ca="1" si="47"/>
        <v>3.5946666666666669</v>
      </c>
      <c r="U21" s="339">
        <f t="shared" ca="1" si="48"/>
        <v>82.197145275854439</v>
      </c>
      <c r="V21" s="347">
        <f t="shared" si="62"/>
        <v>2</v>
      </c>
      <c r="W21" s="208">
        <f ca="1">IF( 100*(Design!$C$22+V21*(IF(ISBLANK(Design!$B$35),Constants!$C$6,Design!$B$35)/1000*(1+Constants!$C$36/100*(AH21-25))+AJ21/1000))/($W$2-V21*AI21/1000) &gt; Design!$C$29, Design!$C$29, 100*(Design!$C$22+V21*(IF(ISBLANK(Design!$B$35),Constants!$C$6,Design!$B$35)/1000*(1+Constants!$C$36/100*(AH21-25))+AJ21/1000))/($W$2-V21*AI21/1000) )</f>
        <v>43.391788618068112</v>
      </c>
      <c r="X21" s="207">
        <f ca="1">IF( ($C$2-V21*(IF(ISBLANK(Design!$B$35),Constants!$C$6,Design!$B$35)/1000*(1+Constants!$C$36/100*(AH21-25))+AJ21/1000)-Design!$C$22) / (IF(ISBLANK(Design!$B$34),Design!$B$33,Design!$B$34)/1000000) * W21/100 / (IF(ISBLANK(Design!$B$26),Design!$B$25,Design!$B$26)*1000000) &lt; 0, 0, ($C$2-V21*(IF(ISBLANK(Design!$B$35),Constants!$C$6,Design!$B$35)/1000*(1+Constants!$C$36/100*(AH21-25))+AJ21/1000)-Design!$C$22) / (IF(ISBLANK(Design!$B$34),Design!$B$33,Design!$B$34)/1000000) * W21/100 / (IF(ISBLANK(Design!$B$26),Design!$B$25,Design!$B$26)*1000000) )</f>
        <v>0.29357593978275626</v>
      </c>
      <c r="Y21" s="207">
        <f>$W$2*Constants!$C$21/1000+IF(ISBLANK(Design!$B$26),Design!$B$25,Design!$B$26)*1000000*(Constants!$D$26+Constants!$D$27)/1000000000*$W$2</f>
        <v>5.6999999999999995E-2</v>
      </c>
      <c r="Z21" s="207">
        <f>$W$2*V21*($W$2/(Constants!$C$28*1000000000)*IF(ISBLANK(Design!$B$26),Design!$B$25,Design!$B$26)*1000000/2+$W$2/(Constants!$C$29*1000000000)*IF(ISBLANK(Design!$B$26),Design!$B$25,Design!$B$26)*1000000/2)</f>
        <v>0.15</v>
      </c>
      <c r="AA21" s="207">
        <f t="shared" ca="1" si="49"/>
        <v>0.24590066457910537</v>
      </c>
      <c r="AB21" s="207">
        <f t="shared" ca="1" si="50"/>
        <v>0.26064833369982227</v>
      </c>
      <c r="AC21" s="207">
        <f>2*V21*Constants!$C$20/1000000000*Constants!$C$25*IF(ISBLANK(Design!$B$26),Design!$B$25,Design!$B$26)*1000000</f>
        <v>7.1999999999999995E-2</v>
      </c>
      <c r="AD21" s="207">
        <f>(Constants!$D$26+Constants!$D$27)/1000000000*$W$2*IF(ISBLANK(Design!$B$26),Design!$B$25,Design!$B$26)*1000000</f>
        <v>4.6999999999999993E-2</v>
      </c>
      <c r="AE21" s="207">
        <f t="shared" ca="1" si="51"/>
        <v>0.83254899827892759</v>
      </c>
      <c r="AF21" s="207">
        <f ca="1">V21^2*IF(ISBLANK(Design!$B$35),Constants!$C$6,Design!$B$35)/1000*(1+(AH21-25)*(Constants!$C$36/100))</f>
        <v>3.9434914753347025E-2</v>
      </c>
      <c r="AG21" s="207">
        <f>0.5*Snubber!$B$15/1000000000000*$W$2^2*Design!$B$26*1000000</f>
        <v>1.1750000000000002E-2</v>
      </c>
      <c r="AH21" s="208">
        <f ca="1">AE21*Design!$C$12+$A21</f>
        <v>144.96235191738853</v>
      </c>
      <c r="AI21" s="208">
        <f ca="1">Constants!$D$22+Constants!$D$22*Constants!$C$24/100*(AH21-25)</f>
        <v>141.42072418170292</v>
      </c>
      <c r="AJ21" s="208">
        <f ca="1">Constants!$D$23+Constants!$D$23*Constants!$C$24/100*(AH21-25)</f>
        <v>114.90433839763364</v>
      </c>
      <c r="AK21" s="207">
        <f ca="1">(1-Constants!$C$19/1000000000*Design!$B$26*1000000) * ($C$2-V21*AI21/1000) - (V21*Design!$B$35/1000)</f>
        <v>2.7920426964729348</v>
      </c>
      <c r="AL21" s="207">
        <f ca="1">IF(AK21&gt;Design!$C$22,Design!$C$22,AK21)</f>
        <v>1.7973333333333334</v>
      </c>
      <c r="AM21" s="207">
        <f t="shared" ca="1" si="52"/>
        <v>0.88373391303227466</v>
      </c>
      <c r="AN21" s="207">
        <f t="shared" ca="1" si="53"/>
        <v>3.5946666666666669</v>
      </c>
      <c r="AO21" s="345">
        <f t="shared" ca="1" si="54"/>
        <v>80.266751548793266</v>
      </c>
      <c r="AP21" s="352">
        <f t="shared" si="63"/>
        <v>2</v>
      </c>
      <c r="AQ21" s="222">
        <f ca="1">IF( 100*(Design!$C$22+AP21*(IF(ISBLANK(Design!$B$35),Constants!$C$6,Design!$B$35)/1000*(1+Constants!$C$36/100*(BB21-25))+BD21/1000))/($AQ$2-AP21*BC21/1000) &gt; Design!$C$29, Design!$C$29, 100*(Design!$C$22+AP21*(IF(ISBLANK(Design!$B$35),Constants!$C$6,Design!$B$35)/1000*(1+Constants!$C$36/100*(BB21-25))+BD21/1000))/($AQ$2-AP21*BC21/1000) )</f>
        <v>39.28701979529302</v>
      </c>
      <c r="AR21" s="221">
        <f ca="1">IF( ($AQ$2-AP21*(IF(ISBLANK(Design!$B$35),Constants!$C$6,Design!$B$35)/1000*(1+Constants!$C$36/100*(BB21-25))+BD21/1000)-Design!$C$22) / (IF(ISBLANK(Design!$B$34),Design!$B$33,Design!$B$34)/1000000) * AQ21/100 / (IF(ISBLANK(Design!$B$26),Design!$B$25,Design!$B$26)*1000000) &lt; 0, 0, ($AQ$2-AP21*(IF(ISBLANK(Design!$B$35),Constants!$C$6,Design!$B$35)/1000*(1+Constants!$C$36/100*(BB21-25))+BD21/1000)-Design!$C$22) / (IF(ISBLANK(Design!$B$34),Design!$B$33,Design!$B$34)/1000000) * AQ21/100 / (IF(ISBLANK(Design!$B$26),Design!$B$25,Design!$B$26)*1000000) )</f>
        <v>0.67793902026651742</v>
      </c>
      <c r="AS21" s="221">
        <f>$AQ$2*Constants!$C$21/1000+IF(ISBLANK(Design!$B$26),Design!$B$25,Design!$B$26)*1000000*(Constants!$D$26+Constants!$D$27)/1000000000*$AQ$2</f>
        <v>6.2699999999999992E-2</v>
      </c>
      <c r="AT21" s="221">
        <f>$AQ$2*AP21*($AQ$2/(Constants!$C$28*1000000000)*IF(ISBLANK(Design!$B$26),Design!$B$25,Design!$B$26)*1000000/2+$AQ$2/(Constants!$C$29*1000000000)*IF(ISBLANK(Design!$B$26),Design!$B$25,Design!$B$26)*1000000/2)</f>
        <v>0.18149999999999999</v>
      </c>
      <c r="AU21" s="221">
        <f t="shared" ca="1" si="55"/>
        <v>0.22613939960021492</v>
      </c>
      <c r="AV21" s="221">
        <f t="shared" ca="1" si="56"/>
        <v>0.28394359084537013</v>
      </c>
      <c r="AW21" s="221">
        <f>2*AP21*Constants!$C$20/1000000000*Constants!$C$25*IF(ISBLANK(Design!$B$26),Design!$B$25,Design!$B$26)*1000000</f>
        <v>7.1999999999999995E-2</v>
      </c>
      <c r="AX21" s="221">
        <f>(Constants!$D$26+Constants!$D$27)/1000000000*$AQ$2*IF(ISBLANK(Design!$B$26),Design!$B$25,Design!$B$26)*1000000</f>
        <v>5.1699999999999996E-2</v>
      </c>
      <c r="AY21" s="221">
        <f t="shared" ca="1" si="57"/>
        <v>0.87798299044558492</v>
      </c>
      <c r="AZ21" s="221">
        <f ca="1">AP21^2*IF(ISBLANK(Design!$B$35),Constants!$C$6,Design!$B$35)/1000*(1+(BB21-25)*(Constants!$C$36/100))</f>
        <v>3.9664608663313158E-2</v>
      </c>
      <c r="BA21" s="221">
        <f>0.5*Snubber!$B$15/1000000000000*$AQ$2^2*Design!$B$26*1000000</f>
        <v>1.4217500000000001E-2</v>
      </c>
      <c r="BB21" s="222">
        <f ca="1">AY21*Design!$C$12+$A21</f>
        <v>147.14318354138808</v>
      </c>
      <c r="BC21" s="222">
        <f ca="1">Constants!$D$22+Constants!$D$22*Constants!$C$24/100*(BB21-25)</f>
        <v>142.5373099731907</v>
      </c>
      <c r="BD21" s="222">
        <f ca="1">Constants!$D$23+Constants!$D$23*Constants!$C$24/100*(BB21-25)</f>
        <v>115.81156435321745</v>
      </c>
      <c r="BE21" s="221">
        <f ca="1">(1-Constants!$C$19/1000000000*Design!$B$26*1000000) * ($AQ$2-AP21*BC21/1000) - (AP21*Design!$B$35/1000)</f>
        <v>4.6800328420482575</v>
      </c>
      <c r="BF21" s="221">
        <f ca="1">IF(BE21&gt;Design!$C$22,Design!$C$22,BE21)</f>
        <v>1.7973333333333334</v>
      </c>
      <c r="BG21" s="221">
        <f t="shared" ca="1" si="58"/>
        <v>0.93186509910889803</v>
      </c>
      <c r="BH21" s="221">
        <f t="shared" ca="1" si="59"/>
        <v>3.5946666666666669</v>
      </c>
      <c r="BI21" s="353">
        <f t="shared" ca="1" si="60"/>
        <v>79.413265004465629</v>
      </c>
    </row>
    <row r="22" spans="1:61">
      <c r="A22" s="154"/>
      <c r="F22" s="174"/>
    </row>
    <row r="24" spans="1:61">
      <c r="F24" s="11"/>
    </row>
    <row r="34" spans="31:31">
      <c r="AE34" s="296"/>
    </row>
    <row r="71" spans="2:9" ht="15.75" thickBot="1"/>
    <row r="72" spans="2:9">
      <c r="B72" s="226" t="s">
        <v>208</v>
      </c>
      <c r="C72" s="172"/>
      <c r="D72" s="172"/>
      <c r="E72" s="172"/>
      <c r="G72" s="256">
        <v>0</v>
      </c>
      <c r="H72" s="257">
        <v>155</v>
      </c>
      <c r="I72" s="297"/>
    </row>
    <row r="73" spans="2:9" ht="15.75" thickBot="1">
      <c r="B73" s="224" t="s">
        <v>232</v>
      </c>
      <c r="C73" s="173"/>
      <c r="D73" s="173"/>
      <c r="E73" s="175"/>
      <c r="G73" s="258">
        <v>3.5</v>
      </c>
      <c r="H73" s="259">
        <v>155</v>
      </c>
      <c r="I73" s="297"/>
    </row>
    <row r="74" spans="2:9">
      <c r="B74" s="225" t="s">
        <v>209</v>
      </c>
      <c r="C74" s="153">
        <v>0</v>
      </c>
      <c r="E74" s="11"/>
    </row>
  </sheetData>
  <sheetProtection password="83AF" sheet="1" objects="1" scenarios="1"/>
  <mergeCells count="1">
    <mergeCell ref="A1:BI1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117"/>
  <sheetViews>
    <sheetView topLeftCell="A90" zoomScaleNormal="100" workbookViewId="0">
      <selection activeCell="A90" sqref="A90"/>
    </sheetView>
  </sheetViews>
  <sheetFormatPr defaultRowHeight="15"/>
  <cols>
    <col min="1" max="5" width="6.7109375" style="1" customWidth="1"/>
    <col min="6" max="16" width="6.7109375" style="178" customWidth="1"/>
    <col min="17" max="47" width="6.7109375" customWidth="1"/>
  </cols>
  <sheetData>
    <row r="1" spans="1:47" ht="24" customHeight="1" thickBot="1">
      <c r="A1" s="427" t="s">
        <v>174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</row>
    <row r="2" spans="1:47" s="245" customFormat="1" ht="18" customHeight="1">
      <c r="A2" s="255" t="s">
        <v>286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67"/>
      <c r="O2" s="267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</row>
    <row r="3" spans="1:47" s="283" customFormat="1" ht="18" customHeight="1">
      <c r="A3" s="284"/>
      <c r="B3" s="281"/>
      <c r="C3" s="298"/>
      <c r="D3" s="298"/>
      <c r="E3" s="298"/>
      <c r="F3" s="298"/>
      <c r="G3" s="298" t="s">
        <v>275</v>
      </c>
      <c r="H3" s="298" t="s">
        <v>275</v>
      </c>
      <c r="I3" s="298" t="s">
        <v>276</v>
      </c>
      <c r="J3" s="298"/>
      <c r="K3" s="298"/>
      <c r="L3" s="298"/>
      <c r="M3" s="298"/>
      <c r="N3" s="298" t="s">
        <v>275</v>
      </c>
      <c r="O3" s="298" t="s">
        <v>276</v>
      </c>
      <c r="P3" s="298"/>
      <c r="Q3" s="298"/>
      <c r="R3" s="313"/>
      <c r="S3" s="298"/>
      <c r="T3" s="298"/>
      <c r="U3" s="298"/>
      <c r="V3" s="298" t="s">
        <v>275</v>
      </c>
      <c r="W3" s="298" t="s">
        <v>275</v>
      </c>
      <c r="X3" s="298" t="s">
        <v>276</v>
      </c>
      <c r="Y3" s="298"/>
      <c r="Z3" s="298"/>
      <c r="AA3" s="298"/>
      <c r="AB3" s="298"/>
      <c r="AC3" s="298" t="s">
        <v>275</v>
      </c>
      <c r="AD3" s="298" t="s">
        <v>276</v>
      </c>
      <c r="AE3" s="298"/>
      <c r="AF3" s="298"/>
      <c r="AG3" s="313"/>
      <c r="AH3" s="298"/>
      <c r="AI3" s="298"/>
      <c r="AJ3" s="298"/>
      <c r="AK3" s="298" t="s">
        <v>275</v>
      </c>
      <c r="AL3" s="298" t="s">
        <v>275</v>
      </c>
      <c r="AM3" s="298" t="s">
        <v>276</v>
      </c>
      <c r="AN3" s="298"/>
      <c r="AO3" s="298"/>
      <c r="AP3" s="298"/>
      <c r="AQ3" s="298"/>
      <c r="AR3" s="298" t="s">
        <v>275</v>
      </c>
      <c r="AS3" s="298" t="s">
        <v>276</v>
      </c>
      <c r="AT3" s="298"/>
      <c r="AU3" s="298"/>
    </row>
    <row r="4" spans="1:47" s="179" customFormat="1" thickBot="1">
      <c r="A4" s="233" t="s">
        <v>207</v>
      </c>
      <c r="B4" s="252" t="s">
        <v>105</v>
      </c>
      <c r="C4" s="232" t="s">
        <v>95</v>
      </c>
      <c r="D4" s="223" t="s">
        <v>230</v>
      </c>
      <c r="E4" s="223" t="s">
        <v>231</v>
      </c>
      <c r="F4" s="223" t="s">
        <v>96</v>
      </c>
      <c r="G4" s="223" t="s">
        <v>282</v>
      </c>
      <c r="H4" s="223" t="s">
        <v>283</v>
      </c>
      <c r="I4" s="223" t="s">
        <v>283</v>
      </c>
      <c r="J4" s="223" t="s">
        <v>280</v>
      </c>
      <c r="K4" s="223" t="s">
        <v>274</v>
      </c>
      <c r="L4" s="223" t="s">
        <v>242</v>
      </c>
      <c r="M4" s="223" t="s">
        <v>265</v>
      </c>
      <c r="N4" s="223" t="s">
        <v>281</v>
      </c>
      <c r="O4" s="223" t="s">
        <v>281</v>
      </c>
      <c r="P4" s="223" t="s">
        <v>238</v>
      </c>
      <c r="Q4" s="234" t="s">
        <v>237</v>
      </c>
      <c r="R4" s="232" t="s">
        <v>95</v>
      </c>
      <c r="S4" s="223" t="s">
        <v>230</v>
      </c>
      <c r="T4" s="223" t="s">
        <v>231</v>
      </c>
      <c r="U4" s="223" t="s">
        <v>96</v>
      </c>
      <c r="V4" s="223" t="s">
        <v>282</v>
      </c>
      <c r="W4" s="223" t="s">
        <v>283</v>
      </c>
      <c r="X4" s="223" t="s">
        <v>283</v>
      </c>
      <c r="Y4" s="223" t="s">
        <v>280</v>
      </c>
      <c r="Z4" s="223" t="s">
        <v>274</v>
      </c>
      <c r="AA4" s="223" t="s">
        <v>242</v>
      </c>
      <c r="AB4" s="223" t="s">
        <v>265</v>
      </c>
      <c r="AC4" s="223" t="s">
        <v>281</v>
      </c>
      <c r="AD4" s="223" t="s">
        <v>281</v>
      </c>
      <c r="AE4" s="223" t="s">
        <v>238</v>
      </c>
      <c r="AF4" s="234" t="s">
        <v>237</v>
      </c>
      <c r="AG4" s="232" t="s">
        <v>95</v>
      </c>
      <c r="AH4" s="223" t="s">
        <v>230</v>
      </c>
      <c r="AI4" s="223" t="s">
        <v>231</v>
      </c>
      <c r="AJ4" s="223" t="s">
        <v>96</v>
      </c>
      <c r="AK4" s="223" t="s">
        <v>282</v>
      </c>
      <c r="AL4" s="223" t="s">
        <v>283</v>
      </c>
      <c r="AM4" s="223" t="s">
        <v>283</v>
      </c>
      <c r="AN4" s="223" t="s">
        <v>280</v>
      </c>
      <c r="AO4" s="223" t="s">
        <v>274</v>
      </c>
      <c r="AP4" s="223" t="s">
        <v>242</v>
      </c>
      <c r="AQ4" s="223" t="s">
        <v>265</v>
      </c>
      <c r="AR4" s="223" t="s">
        <v>281</v>
      </c>
      <c r="AS4" s="223" t="s">
        <v>281</v>
      </c>
      <c r="AT4" s="223" t="s">
        <v>238</v>
      </c>
      <c r="AU4" s="234" t="s">
        <v>237</v>
      </c>
    </row>
    <row r="5" spans="1:47" s="144" customFormat="1" ht="12.75" customHeight="1">
      <c r="A5" s="180">
        <v>25</v>
      </c>
      <c r="B5" s="181">
        <f t="shared" ref="B5:B44" si="0">$B6+$AU$90</f>
        <v>4.9999999999999947</v>
      </c>
      <c r="C5" s="182">
        <f>Design!$D$6</f>
        <v>2</v>
      </c>
      <c r="D5" s="192">
        <f ca="1">IF( 100*(Design!$C$22+C5*(IF(ISBLANK(Design!$B$35),Constants!$C$6,Design!$B$35)/1000*(1+Constants!$C$36/100*(M5-25))+O5/1000))/($B5-C5*N5/1000) &gt; Design!$C$29, Design!$C$29, 100*(Design!$C$22+C5*(IF(ISBLANK(Design!$B$35),Constants!$C$6,Design!$B$35)/1000*(1+Constants!$C$36/100*(M5-25))+O5/1000))/($B5-C5*N5/1000) )</f>
        <v>41.029867092781579</v>
      </c>
      <c r="E5" s="183">
        <f ca="1">IF(($B5-C5*IF(ISBLANK(Design!$B$35),Constants!$C$6,Design!$B$35)/1000*(1+Constants!$C$36/100*(M5-25))-Design!$C$22)/(IF(ISBLANK(Design!$B$34),Design!$B$33,Design!$B$34)/1000000)*D5/100/(IF(ISBLANK(Design!$B$26),Design!$B$25,Design!$B$26)*1000000)&lt;0, 0, ($B5-C5*IF(ISBLANK(Design!$B$35),Constants!$C$6,Design!$B$35)/1000*(1+Constants!$C$36/100*(M5-25))-Design!$C$22)/(IF(ISBLANK(Design!$B$34),Design!$B$33,Design!$B$34)/1000000)*D5/100/(IF(ISBLANK(Design!$B$26),Design!$B$25,Design!$B$26)*1000000))</f>
        <v>0.6539024160978204</v>
      </c>
      <c r="F5" s="184">
        <f>$B5*Constants!$C$21/1000+IF(ISBLANK(Design!$B$26),Design!$B$25,Design!$B$26)*1000000*(Constants!$D$26+Constants!$D$27)/1000000000*$B5</f>
        <v>5.6999999999999933E-2</v>
      </c>
      <c r="G5" s="184">
        <f>$B5*C5*($B5/(Constants!$C$28*1000000000)*IF(ISBLANK(Design!$B$26),Design!$B$25,Design!$B$26)*1000000/2+$B5/(Constants!$C$29*1000000000)*IF(ISBLANK(Design!$B$26),Design!$B$25,Design!$B$26)*1000000/2)</f>
        <v>0.14999999999999966</v>
      </c>
      <c r="H5" s="184">
        <f t="shared" ref="H5:H45" ca="1" si="1">IF($D$117,1,D5/100*(C5^2+E5^2/12)*N5/1000)</f>
        <v>0.16177608722116557</v>
      </c>
      <c r="I5" s="184">
        <f t="shared" ref="I5:I45" ca="1" si="2">IF($D$117,1,(1-D5/100)*(C5^2+E5^2/12)*N5/1000)</f>
        <v>0.23251250955965849</v>
      </c>
      <c r="J5" s="184">
        <f>2*C5*Constants!$C$20/1000000000*Constants!$C$25*IF(ISBLANK(Design!$B$26),Design!$B$25,Design!$B$26)*1000000</f>
        <v>7.1999999999999995E-2</v>
      </c>
      <c r="K5" s="184">
        <f>(Constants!$D$26+Constants!$D$27)/1000000000*$B5*IF(ISBLANK(Design!$B$26),Design!$B$25,Design!$B$26)*1000000</f>
        <v>4.6999999999999938E-2</v>
      </c>
      <c r="L5" s="184">
        <f ca="1">SUM(F5:K5)</f>
        <v>0.72028859678082358</v>
      </c>
      <c r="M5" s="185">
        <f ca="1">L5*Design!$C$12+$A5</f>
        <v>59.573852645479533</v>
      </c>
      <c r="N5" s="185">
        <f ca="1">Constants!$D$22+Constants!$D$22*Constants!$C$24/100*(M5-25)</f>
        <v>97.701812554485514</v>
      </c>
      <c r="O5" s="185">
        <f ca="1">Constants!$D$23+Constants!$D$23*Constants!$C$24/100*(M5-25)</f>
        <v>79.38272270051948</v>
      </c>
      <c r="P5" s="184">
        <f ca="1">(1-Constants!$C$19/1000000000*Design!$B$26*1000000) * ($B5+C5*O5/1000-C5*N5/1000) - (C5*O5/1000+C5*(1+($A5-25)*Constants!$C$36/100)*IF(ISBLANK(Design!$B$35),Constants!$C$6/1000,Design!$B$35/1000))</f>
        <v>4.2948601928618171</v>
      </c>
      <c r="Q5" s="190">
        <f ca="1">IF(P5&gt;Design!$C$22,Design!$C$22,P5)</f>
        <v>1.7973333333333334</v>
      </c>
      <c r="R5" s="195">
        <f>2*Design!$D$6/3</f>
        <v>1.3333333333333333</v>
      </c>
      <c r="S5" s="197">
        <f ca="1">IF( 100*(Design!$C$22+R5*(IF(ISBLANK(Design!$B$35),Constants!$C$6,Design!$B$35)/1000*(1+Constants!$C$36/100*(AB5-25))+AD5/1000))/($B5-R5*AC5/1000) &gt; Design!$C$29, Design!$C$29, 100*(Design!$C$22+R5*(IF(ISBLANK(Design!$B$35),Constants!$C$6,Design!$B$35)/1000*(1+Constants!$C$36/100*(AB5-25))+AD5/1000))/($B5-R5*AC5/1000) )</f>
        <v>39.032724709795858</v>
      </c>
      <c r="T5" s="198">
        <f ca="1">IF(($B5-R5*IF(ISBLANK(Design!$B$35),Constants!$C$6,Design!$B$35)/1000*(1+Constants!$C$36/100*(AB5-25))-Design!$C$22)/(IF(ISBLANK(Design!$B$34),Design!$B$33,Design!$B$34)/1000000)*S5/100/(IF(ISBLANK(Design!$B$26),Design!$B$25,Design!$B$26)*1000000)&lt;0, 0, ($B5-R5*IF(ISBLANK(Design!$B$35),Constants!$C$6,Design!$B$35)/1000*(1+Constants!$C$36/100*(AB5-25))-Design!$C$22)/(IF(ISBLANK(Design!$B$34),Design!$B$33,Design!$B$34)/1000000)*S5/100/(IF(ISBLANK(Design!$B$26),Design!$B$25,Design!$B$26)*1000000))</f>
        <v>0.62316398814292318</v>
      </c>
      <c r="U5" s="199">
        <f>$B5*Constants!$C$21/1000+IF(ISBLANK(Design!$B$26),Design!$B$25,Design!$B$26)*1000000*(Constants!$D$26+Constants!$D$27)/1000000000*$B5</f>
        <v>5.6999999999999933E-2</v>
      </c>
      <c r="V5" s="199">
        <f>$B5*R5*($B5/(Constants!$C$28*1000000000)*IF(ISBLANK(Design!$B$26),Design!$B$25,Design!$B$26)*1000000/2+$B5/(Constants!$C$29*1000000000)*IF(ISBLANK(Design!$B$26),Design!$B$25,Design!$B$26)*1000000/2)</f>
        <v>9.999999999999977E-2</v>
      </c>
      <c r="W5" s="199">
        <f ca="1">IF($D$117,1,S5/100*(R5^2+T5^2/12)*AC5/1000)</f>
        <v>6.3734776013628855E-2</v>
      </c>
      <c r="X5" s="199">
        <f ca="1">IF($D$117,1,(1-S5/100)*(R5^2+T5^2/12)*AC5/1000)</f>
        <v>9.9550714526655246E-2</v>
      </c>
      <c r="Y5" s="199">
        <f>2*R5*Constants!$C$20/1000000000*Constants!$C$25*IF(ISBLANK(Design!$B$26),Design!$B$25,Design!$B$26)*1000000</f>
        <v>4.8000000000000001E-2</v>
      </c>
      <c r="Z5" s="199">
        <f>(Constants!$D$26+Constants!$D$27)/1000000000*$B5*IF(ISBLANK(Design!$B$26),Design!$B$25,Design!$B$26)*1000000</f>
        <v>4.6999999999999938E-2</v>
      </c>
      <c r="AA5" s="199">
        <f ca="1">SUM(U5:Z5)</f>
        <v>0.41528549054028374</v>
      </c>
      <c r="AB5" s="200">
        <f ca="1">AA5*Design!$C$12+$A5</f>
        <v>44.933703545933618</v>
      </c>
      <c r="AC5" s="200">
        <f ca="1">Constants!$D$22+Constants!$D$22*Constants!$C$24/100*(AB5-25)</f>
        <v>90.206056215518018</v>
      </c>
      <c r="AD5" s="200">
        <f ca="1">Constants!$D$23+Constants!$D$23*Constants!$C$24/100*(AB5-25)</f>
        <v>73.292420675108389</v>
      </c>
      <c r="AE5" s="199">
        <f ca="1">(1-Constants!$C$19/1000000000*Design!$B$26*1000000) * ($B5+R5*AD5/1000-R5*AC5/1000) - (R5*AD5/1000+R5*(1+($A5-25)*Constants!$C$36/100)*IF(ISBLANK(Design!$B$35),Constants!$C$6/1000,Design!$B$35/1000))</f>
        <v>4.3730470764513596</v>
      </c>
      <c r="AF5" s="307">
        <f ca="1">IF(AE5&gt;Design!$C$22,Design!$C$22,AE5)</f>
        <v>1.7973333333333334</v>
      </c>
      <c r="AG5" s="210">
        <f>Design!$D$6/3</f>
        <v>0.66666666666666663</v>
      </c>
      <c r="AH5" s="211">
        <f ca="1">IF( 100*(Design!$C$22+AG5*(IF(ISBLANK(Design!$B$35),Constants!$C$6,Design!$B$35)/1000*(1+Constants!$C$36/100*(AQ5-25))+AS5/1000))/($B5-AG5*AR5/1000) &gt; Design!$C$29, Design!$C$29, 100*(Design!$C$22+AG5*(IF(ISBLANK(Design!$B$35),Constants!$C$6,Design!$B$35)/1000*(1+Constants!$C$36/100*(AQ5-25))+AS5/1000))/($B5-AG5*AR5/1000) )</f>
        <v>37.390114616389688</v>
      </c>
      <c r="AI5" s="212">
        <f ca="1">IF(($B5-AG5*IF(ISBLANK(Design!$B$35),Constants!$C$6,Design!$B$35)/1000*(1+Constants!$C$36/100*(AQ5-25))-Design!$C$22)/(IF(ISBLANK(Design!$B$34),Design!$B$33,Design!$B$34)/1000000)*AH5/100/(IF(ISBLANK(Design!$B$26),Design!$B$25,Design!$B$26)*1000000)&lt;0, 0, ($B5-AG5*IF(ISBLANK(Design!$B$35),Constants!$C$6,Design!$B$35)/1000*(1+Constants!$C$36/100*(AQ5-25))-Design!$C$22)/(IF(ISBLANK(Design!$B$34),Design!$B$33,Design!$B$34)/1000000)*AH5/100/(IF(ISBLANK(Design!$B$26),Design!$B$25,Design!$B$26)*1000000))</f>
        <v>0.59787090641583163</v>
      </c>
      <c r="AJ5" s="213">
        <f>$B5*Constants!$C$21/1000+IF(ISBLANK(Design!$B$26),Design!$B$25,Design!$B$26)*1000000*(Constants!$D$26+Constants!$D$27)/1000000000*$B5</f>
        <v>5.6999999999999933E-2</v>
      </c>
      <c r="AK5" s="213">
        <f>$B5*AG5*($B5/(Constants!$C$28*1000000000)*IF(ISBLANK(Design!$B$26),Design!$B$25,Design!$B$26)*1000000/2+$B5/(Constants!$C$29*1000000000)*IF(ISBLANK(Design!$B$26),Design!$B$25,Design!$B$26)*1000000/2)</f>
        <v>4.9999999999999885E-2</v>
      </c>
      <c r="AL5" s="213">
        <f ca="1">IF($D$117,1,AH5/100*(AG5^2+AI5^2/12)*AR5/1000)</f>
        <v>1.513736342155223E-2</v>
      </c>
      <c r="AM5" s="213">
        <f ca="1">IF($D$117,1,(1-AH5/100)*(AG5^2+AI5^2/12)*AR5/1000)</f>
        <v>2.5347571104208429E-2</v>
      </c>
      <c r="AN5" s="213">
        <f>2*AG5*Constants!$C$20/1000000000*Constants!$C$25*IF(ISBLANK(Design!$B$26),Design!$B$25,Design!$B$26)*1000000</f>
        <v>2.4E-2</v>
      </c>
      <c r="AO5" s="213">
        <f>(Constants!$D$26+Constants!$D$27)/1000000000*$B5*IF(ISBLANK(Design!$B$26),Design!$B$25,Design!$B$26)*1000000</f>
        <v>4.6999999999999938E-2</v>
      </c>
      <c r="AP5" s="213">
        <f ca="1">SUM(AJ5:AO5)</f>
        <v>0.2184849345257604</v>
      </c>
      <c r="AQ5" s="214">
        <f ca="1">AP5*Design!$C$12+$A5</f>
        <v>35.487276857236495</v>
      </c>
      <c r="AR5" s="214">
        <f ca="1">Constants!$D$22+Constants!$D$22*Constants!$C$24/100*(AQ5-25)</f>
        <v>85.369485750905085</v>
      </c>
      <c r="AS5" s="214">
        <f ca="1">Constants!$D$23+Constants!$D$23*Constants!$C$24/100*(AQ5-25)</f>
        <v>69.362707172610385</v>
      </c>
      <c r="AT5" s="213">
        <f ca="1">(1-Constants!$C$19/1000000000*Design!$B$26*1000000) * ($B5+AG5*AS5/1000-AG5*AR5/1000) - (AG5*AS5/1000+AG5*(1+($A5-25)*Constants!$C$36/100)*IF(ISBLANK(Design!$B$35),Constants!$C$6/1000,Design!$B$35/1000))</f>
        <v>4.4396874614046125</v>
      </c>
      <c r="AU5" s="310">
        <f ca="1">IF(AT5&gt;Design!$C$22,Design!$C$22,AT5)</f>
        <v>1.7973333333333334</v>
      </c>
    </row>
    <row r="6" spans="1:47" s="144" customFormat="1" ht="12.75" customHeight="1">
      <c r="A6" s="136">
        <v>25</v>
      </c>
      <c r="B6" s="137">
        <f t="shared" si="0"/>
        <v>4.9254999999999951</v>
      </c>
      <c r="C6" s="138">
        <f>Design!$D$6</f>
        <v>2</v>
      </c>
      <c r="D6" s="193">
        <f ca="1">IF( 100*(Design!$C$22+C6*(IF(ISBLANK(Design!$B$35),Constants!$C$6,Design!$B$35)/1000*(1+Constants!$C$36/100*(M6-25))+O6/1000))/($B6-C6*N6/1000) &gt; Design!$C$29, Design!$C$29, 100*(Design!$C$22+C6*(IF(ISBLANK(Design!$B$35),Constants!$C$6,Design!$B$35)/1000*(1+Constants!$C$36/100*(M6-25))+O6/1000))/($B6-C6*N6/1000) )</f>
        <v>41.667169082482722</v>
      </c>
      <c r="E6" s="139">
        <f ca="1">IF(($B6-C6*IF(ISBLANK(Design!$B$35),Constants!$C$6,Design!$B$35)/1000*(1+Constants!$C$36/100*(M6-25))-Design!$C$22)/(IF(ISBLANK(Design!$B$34),Design!$B$33,Design!$B$34)/1000000)*D6/100/(IF(ISBLANK(Design!$B$26),Design!$B$25,Design!$B$26)*1000000)&lt;0, 0, ($B6-C6*IF(ISBLANK(Design!$B$35),Constants!$C$6,Design!$B$35)/1000*(1+Constants!$C$36/100*(M6-25))-Design!$C$22)/(IF(ISBLANK(Design!$B$34),Design!$B$33,Design!$B$34)/1000000)*D6/100/(IF(ISBLANK(Design!$B$26),Design!$B$25,Design!$B$26)*1000000))</f>
        <v>0.64854175661949887</v>
      </c>
      <c r="F6" s="186">
        <f>$B6*Constants!$C$21/1000+IF(ISBLANK(Design!$B$26),Design!$B$25,Design!$B$26)*1000000*(Constants!$D$26+Constants!$D$27)/1000000000*$B6</f>
        <v>5.6150699999999942E-2</v>
      </c>
      <c r="G6" s="186">
        <f>$B6*C6*($B6/(Constants!$C$28*1000000000)*IF(ISBLANK(Design!$B$26),Design!$B$25,Design!$B$26)*1000000/2+$B6/(Constants!$C$29*1000000000)*IF(ISBLANK(Design!$B$26),Design!$B$25,Design!$B$26)*1000000/2)</f>
        <v>0.14556330149999969</v>
      </c>
      <c r="H6" s="186">
        <f t="shared" ca="1" si="1"/>
        <v>0.16398802373571775</v>
      </c>
      <c r="I6" s="186">
        <f t="shared" ca="1" si="2"/>
        <v>0.22957848761304553</v>
      </c>
      <c r="J6" s="186">
        <f>2*C6*Constants!$C$20/1000000000*Constants!$C$25*IF(ISBLANK(Design!$B$26),Design!$B$25,Design!$B$26)*1000000</f>
        <v>7.1999999999999995E-2</v>
      </c>
      <c r="K6" s="186">
        <f>(Constants!$D$26+Constants!$D$27)/1000000000*$B6*IF(ISBLANK(Design!$B$26),Design!$B$25,Design!$B$26)*1000000</f>
        <v>4.6299699999999944E-2</v>
      </c>
      <c r="L6" s="186">
        <f t="shared" ref="L6:L45" ca="1" si="3">SUM(F6:K6)</f>
        <v>0.71358021284876283</v>
      </c>
      <c r="M6" s="187">
        <f ca="1">L6*Design!$C$12+$A6</f>
        <v>59.251850216740614</v>
      </c>
      <c r="N6" s="187">
        <f ca="1">Constants!$D$22+Constants!$D$22*Constants!$C$24/100*(M6-25)</f>
        <v>97.536947310971186</v>
      </c>
      <c r="O6" s="187">
        <f ca="1">Constants!$D$23+Constants!$D$23*Constants!$C$24/100*(M6-25)</f>
        <v>79.248769690164096</v>
      </c>
      <c r="P6" s="186">
        <f ca="1">(1-Constants!$C$19/1000000000*Design!$B$26*1000000) * ($B6+C6*O6/1000-C6*N6/1000) - (C6*O6/1000+C6*(1+($A6-25)*Constants!$C$36/100)*IF(ISBLANK(Design!$B$35),Constants!$C$6/1000,Design!$B$35/1000))</f>
        <v>4.2281337409022148</v>
      </c>
      <c r="Q6" s="191">
        <f ca="1">IF(P6&gt;Design!$C$22,Design!$C$22,P6)</f>
        <v>1.7973333333333334</v>
      </c>
      <c r="R6" s="201">
        <f>2*Design!$D$6/3</f>
        <v>1.3333333333333333</v>
      </c>
      <c r="S6" s="202">
        <f ca="1">IF( 100*(Design!$C$22+R6*(IF(ISBLANK(Design!$B$35),Constants!$C$6,Design!$B$35)/1000*(1+Constants!$C$36/100*(AB6-25))+AD6/1000))/($B6-R6*AC6/1000) &gt; Design!$C$29, Design!$C$29, 100*(Design!$C$22+R6*(IF(ISBLANK(Design!$B$35),Constants!$C$6,Design!$B$35)/1000*(1+Constants!$C$36/100*(AB6-25))+AD6/1000))/($B6-R6*AC6/1000) )</f>
        <v>39.633789022152172</v>
      </c>
      <c r="T6" s="141">
        <f ca="1">IF(($B6-R6*IF(ISBLANK(Design!$B$35),Constants!$C$6,Design!$B$35)/1000*(1+Constants!$C$36/100*(AB6-25))-Design!$C$22)/(IF(ISBLANK(Design!$B$34),Design!$B$33,Design!$B$34)/1000000)*S6/100/(IF(ISBLANK(Design!$B$26),Design!$B$25,Design!$B$26)*1000000)&lt;0, 0, ($B6-R6*IF(ISBLANK(Design!$B$35),Constants!$C$6,Design!$B$35)/1000*(1+Constants!$C$36/100*(AB6-25))-Design!$C$22)/(IF(ISBLANK(Design!$B$34),Design!$B$33,Design!$B$34)/1000000)*S6/100/(IF(ISBLANK(Design!$B$26),Design!$B$25,Design!$B$26)*1000000))</f>
        <v>0.61799808631425179</v>
      </c>
      <c r="U6" s="203">
        <f>$B6*Constants!$C$21/1000+IF(ISBLANK(Design!$B$26),Design!$B$25,Design!$B$26)*1000000*(Constants!$D$26+Constants!$D$27)/1000000000*$B6</f>
        <v>5.6150699999999942E-2</v>
      </c>
      <c r="V6" s="203">
        <f>$B6*R6*($B6/(Constants!$C$28*1000000000)*IF(ISBLANK(Design!$B$26),Design!$B$25,Design!$B$26)*1000000/2+$B6/(Constants!$C$29*1000000000)*IF(ISBLANK(Design!$B$26),Design!$B$25,Design!$B$26)*1000000/2)</f>
        <v>9.70422009999998E-2</v>
      </c>
      <c r="W6" s="203">
        <f t="shared" ref="W6:W45" ca="1" si="4">IF($D$117,1,S6/100*(R6^2+T6^2/12)*AC6/1000)</f>
        <v>6.4613088636328753E-2</v>
      </c>
      <c r="X6" s="203">
        <f t="shared" ref="X6:X45" ca="1" si="5">IF($D$117,1,(1-S6/100)*(R6^2+T6^2/12)*AC6/1000)</f>
        <v>9.8412173975366335E-2</v>
      </c>
      <c r="Y6" s="203">
        <f>2*R6*Constants!$C$20/1000000000*Constants!$C$25*IF(ISBLANK(Design!$B$26),Design!$B$25,Design!$B$26)*1000000</f>
        <v>4.8000000000000001E-2</v>
      </c>
      <c r="Z6" s="203">
        <f>(Constants!$D$26+Constants!$D$27)/1000000000*$B6*IF(ISBLANK(Design!$B$26),Design!$B$25,Design!$B$26)*1000000</f>
        <v>4.6299699999999944E-2</v>
      </c>
      <c r="AA6" s="203">
        <f t="shared" ref="AA6:AA45" ca="1" si="6">SUM(U6:Z6)</f>
        <v>0.41051786361169479</v>
      </c>
      <c r="AB6" s="204">
        <f ca="1">AA6*Design!$C$12+$A6</f>
        <v>44.704857453361349</v>
      </c>
      <c r="AC6" s="204">
        <f ca="1">Constants!$D$22+Constants!$D$22*Constants!$C$24/100*(AB6-25)</f>
        <v>90.088887016121006</v>
      </c>
      <c r="AD6" s="204">
        <f ca="1">Constants!$D$23+Constants!$D$23*Constants!$C$24/100*(AB6-25)</f>
        <v>73.197220700598322</v>
      </c>
      <c r="AE6" s="203">
        <f ca="1">(1-Constants!$C$19/1000000000*Design!$B$26*1000000) * ($B6+R6*AD6/1000-R6*AC6/1000) - (R6*AD6/1000+R6*(1+($A6-25)*Constants!$C$36/100)*IF(ISBLANK(Design!$B$35),Constants!$C$6/1000,Design!$B$35/1000))</f>
        <v>4.3061503728205706</v>
      </c>
      <c r="AF6" s="308">
        <f ca="1">IF(AE6&gt;Design!$C$22,Design!$C$22,AE6)</f>
        <v>1.7973333333333334</v>
      </c>
      <c r="AG6" s="142">
        <f>Design!$D$6/3</f>
        <v>0.66666666666666663</v>
      </c>
      <c r="AH6" s="216">
        <f ca="1">IF( 100*(Design!$C$22+AG6*(IF(ISBLANK(Design!$B$35),Constants!$C$6,Design!$B$35)/1000*(1+Constants!$C$36/100*(AQ6-25))+AS6/1000))/($B6-AG6*AR6/1000) &gt; Design!$C$29, Design!$C$29, 100*(Design!$C$22+AG6*(IF(ISBLANK(Design!$B$35),Constants!$C$6,Design!$B$35)/1000*(1+Constants!$C$36/100*(AQ6-25))+AS6/1000))/($B6-AG6*AR6/1000) )</f>
        <v>37.96096464501953</v>
      </c>
      <c r="AI6" s="143">
        <f ca="1">IF(($B6-AG6*IF(ISBLANK(Design!$B$35),Constants!$C$6,Design!$B$35)/1000*(1+Constants!$C$36/100*(AQ6-25))-Design!$C$22)/(IF(ISBLANK(Design!$B$34),Design!$B$33,Design!$B$34)/1000000)*AH6/100/(IF(ISBLANK(Design!$B$26),Design!$B$25,Design!$B$26)*1000000)&lt;0, 0, ($B6-AG6*IF(ISBLANK(Design!$B$35),Constants!$C$6,Design!$B$35)/1000*(1+Constants!$C$36/100*(AQ6-25))-Design!$C$22)/(IF(ISBLANK(Design!$B$34),Design!$B$33,Design!$B$34)/1000000)*AH6/100/(IF(ISBLANK(Design!$B$26),Design!$B$25,Design!$B$26)*1000000))</f>
        <v>0.59285888136138032</v>
      </c>
      <c r="AJ6" s="217">
        <f>$B6*Constants!$C$21/1000+IF(ISBLANK(Design!$B$26),Design!$B$25,Design!$B$26)*1000000*(Constants!$D$26+Constants!$D$27)/1000000000*$B6</f>
        <v>5.6150699999999942E-2</v>
      </c>
      <c r="AK6" s="217">
        <f>$B6*AG6*($B6/(Constants!$C$28*1000000000)*IF(ISBLANK(Design!$B$26),Design!$B$25,Design!$B$26)*1000000/2+$B6/(Constants!$C$29*1000000000)*IF(ISBLANK(Design!$B$26),Design!$B$25,Design!$B$26)*1000000/2)</f>
        <v>4.85211004999999E-2</v>
      </c>
      <c r="AL6" s="217">
        <f t="shared" ref="AL6:AL45" ca="1" si="7">IF($D$117,1,AH6/100*(AG6^2+AI6^2/12)*AR6/1000)</f>
        <v>1.5338622353742781E-2</v>
      </c>
      <c r="AM6" s="217">
        <f t="shared" ref="AM6:AM45" ca="1" si="8">IF($D$117,1,(1-AH6/100)*(AG6^2+AI6^2/12)*AR6/1000)</f>
        <v>2.5067680534440556E-2</v>
      </c>
      <c r="AN6" s="217">
        <f>2*AG6*Constants!$C$20/1000000000*Constants!$C$25*IF(ISBLANK(Design!$B$26),Design!$B$25,Design!$B$26)*1000000</f>
        <v>2.4E-2</v>
      </c>
      <c r="AO6" s="217">
        <f>(Constants!$D$26+Constants!$D$27)/1000000000*$B6*IF(ISBLANK(Design!$B$26),Design!$B$25,Design!$B$26)*1000000</f>
        <v>4.6299699999999944E-2</v>
      </c>
      <c r="AP6" s="217">
        <f t="shared" ref="AP6:AP45" ca="1" si="9">SUM(AJ6:AO6)</f>
        <v>0.2153778033881831</v>
      </c>
      <c r="AQ6" s="218">
        <f ca="1">AP6*Design!$C$12+$A6</f>
        <v>35.338134562632789</v>
      </c>
      <c r="AR6" s="218">
        <f ca="1">Constants!$D$22+Constants!$D$22*Constants!$C$24/100*(AQ6-25)</f>
        <v>85.293124896067994</v>
      </c>
      <c r="AS6" s="218">
        <f ca="1">Constants!$D$23+Constants!$D$23*Constants!$C$24/100*(AQ6-25)</f>
        <v>69.30066397805524</v>
      </c>
      <c r="AT6" s="217">
        <f ca="1">(1-Constants!$C$19/1000000000*Design!$B$26*1000000) * ($B6+AG6*AS6/1000-AG6*AR6/1000) - (AG6*AS6/1000+AG6*(1+($A6-25)*Constants!$C$36/100)*IF(ISBLANK(Design!$B$35),Constants!$C$6/1000,Design!$B$35/1000))</f>
        <v>4.3726874141304846</v>
      </c>
      <c r="AU6" s="311">
        <f ca="1">IF(AT6&gt;Design!$C$22,Design!$C$22,AT6)</f>
        <v>1.7973333333333334</v>
      </c>
    </row>
    <row r="7" spans="1:47" s="144" customFormat="1" ht="12.75" customHeight="1">
      <c r="A7" s="136">
        <v>25</v>
      </c>
      <c r="B7" s="137">
        <f t="shared" si="0"/>
        <v>4.8509999999999955</v>
      </c>
      <c r="C7" s="138">
        <f>Design!$D$6</f>
        <v>2</v>
      </c>
      <c r="D7" s="193">
        <f ca="1">IF( 100*(Design!$C$22+C7*(IF(ISBLANK(Design!$B$35),Constants!$C$6,Design!$B$35)/1000*(1+Constants!$C$36/100*(M7-25))+O7/1000))/($B7-C7*N7/1000) &gt; Design!$C$29, Design!$C$29, 100*(Design!$C$22+C7*(IF(ISBLANK(Design!$B$35),Constants!$C$6,Design!$B$35)/1000*(1+Constants!$C$36/100*(M7-25))+O7/1000))/($B7-C7*N7/1000) )</f>
        <v>42.32487330689144</v>
      </c>
      <c r="E7" s="139">
        <f ca="1">IF(($B7-C7*IF(ISBLANK(Design!$B$35),Constants!$C$6,Design!$B$35)/1000*(1+Constants!$C$36/100*(M7-25))-Design!$C$22)/(IF(ISBLANK(Design!$B$34),Design!$B$33,Design!$B$34)/1000000)*D7/100/(IF(ISBLANK(Design!$B$26),Design!$B$25,Design!$B$26)*1000000)&lt;0, 0, ($B7-C7*IF(ISBLANK(Design!$B$35),Constants!$C$6,Design!$B$35)/1000*(1+Constants!$C$36/100*(M7-25))-Design!$C$22)/(IF(ISBLANK(Design!$B$34),Design!$B$33,Design!$B$34)/1000000)*D7/100/(IF(ISBLANK(Design!$B$26),Design!$B$25,Design!$B$26)*1000000))</f>
        <v>0.64301633520388701</v>
      </c>
      <c r="F7" s="186">
        <f>$B7*Constants!$C$21/1000+IF(ISBLANK(Design!$B$26),Design!$B$25,Design!$B$26)*1000000*(Constants!$D$26+Constants!$D$27)/1000000000*$B7</f>
        <v>5.5301399999999945E-2</v>
      </c>
      <c r="G7" s="186">
        <f>$B7*C7*($B7/(Constants!$C$28*1000000000)*IF(ISBLANK(Design!$B$26),Design!$B$25,Design!$B$26)*1000000/2+$B7/(Constants!$C$29*1000000000)*IF(ISBLANK(Design!$B$26),Design!$B$25,Design!$B$26)*1000000/2)</f>
        <v>0.14119320599999977</v>
      </c>
      <c r="H7" s="186">
        <f t="shared" ca="1" si="1"/>
        <v>0.16627350955739437</v>
      </c>
      <c r="I7" s="186">
        <f t="shared" ca="1" si="2"/>
        <v>0.22657706875803155</v>
      </c>
      <c r="J7" s="186">
        <f>2*C7*Constants!$C$20/1000000000*Constants!$C$25*IF(ISBLANK(Design!$B$26),Design!$B$25,Design!$B$26)*1000000</f>
        <v>7.1999999999999995E-2</v>
      </c>
      <c r="K7" s="186">
        <f>(Constants!$D$26+Constants!$D$27)/1000000000*$B7*IF(ISBLANK(Design!$B$26),Design!$B$25,Design!$B$26)*1000000</f>
        <v>4.559939999999995E-2</v>
      </c>
      <c r="L7" s="186">
        <f t="shared" ca="1" si="3"/>
        <v>0.70694458431542551</v>
      </c>
      <c r="M7" s="187">
        <f ca="1">L7*Design!$C$12+$A7</f>
        <v>58.933340047140426</v>
      </c>
      <c r="N7" s="187">
        <f ca="1">Constants!$D$22+Constants!$D$22*Constants!$C$24/100*(M7-25)</f>
        <v>97.373870104135904</v>
      </c>
      <c r="O7" s="187">
        <f ca="1">Constants!$D$23+Constants!$D$23*Constants!$C$24/100*(M7-25)</f>
        <v>79.116269459610422</v>
      </c>
      <c r="P7" s="186">
        <f ca="1">(1-Constants!$C$19/1000000000*Design!$B$26*1000000) * ($B7+C7*O7/1000-C7*N7/1000) - (C7*O7/1000+C7*(1+($A7-25)*Constants!$C$36/100)*IF(ISBLANK(Design!$B$35),Constants!$C$6/1000,Design!$B$35/1000))</f>
        <v>4.1614037799206294</v>
      </c>
      <c r="Q7" s="191">
        <f ca="1">IF(P7&gt;Design!$C$22,Design!$C$22,P7)</f>
        <v>1.7973333333333334</v>
      </c>
      <c r="R7" s="201">
        <f>2*Design!$D$6/3</f>
        <v>1.3333333333333333</v>
      </c>
      <c r="S7" s="202">
        <f ca="1">IF( 100*(Design!$C$22+R7*(IF(ISBLANK(Design!$B$35),Constants!$C$6,Design!$B$35)/1000*(1+Constants!$C$36/100*(AB7-25))+AD7/1000))/($B7-R7*AC7/1000) &gt; Design!$C$29, Design!$C$29, 100*(Design!$C$22+R7*(IF(ISBLANK(Design!$B$35),Constants!$C$6,Design!$B$35)/1000*(1+Constants!$C$36/100*(AB7-25))+AD7/1000))/($B7-R7*AC7/1000) )</f>
        <v>40.253783543041081</v>
      </c>
      <c r="T7" s="141">
        <f ca="1">IF(($B7-R7*IF(ISBLANK(Design!$B$35),Constants!$C$6,Design!$B$35)/1000*(1+Constants!$C$36/100*(AB7-25))-Design!$C$22)/(IF(ISBLANK(Design!$B$34),Design!$B$33,Design!$B$34)/1000000)*S7/100/(IF(ISBLANK(Design!$B$26),Design!$B$25,Design!$B$26)*1000000)&lt;0, 0, ($B7-R7*IF(ISBLANK(Design!$B$35),Constants!$C$6,Design!$B$35)/1000*(1+Constants!$C$36/100*(AB7-25))-Design!$C$22)/(IF(ISBLANK(Design!$B$34),Design!$B$33,Design!$B$34)/1000000)*S7/100/(IF(ISBLANK(Design!$B$26),Design!$B$25,Design!$B$26)*1000000))</f>
        <v>0.61267254690342743</v>
      </c>
      <c r="U7" s="203">
        <f>$B7*Constants!$C$21/1000+IF(ISBLANK(Design!$B$26),Design!$B$25,Design!$B$26)*1000000*(Constants!$D$26+Constants!$D$27)/1000000000*$B7</f>
        <v>5.5301399999999945E-2</v>
      </c>
      <c r="V7" s="203">
        <f>$B7*R7*($B7/(Constants!$C$28*1000000000)*IF(ISBLANK(Design!$B$26),Design!$B$25,Design!$B$26)*1000000/2+$B7/(Constants!$C$29*1000000000)*IF(ISBLANK(Design!$B$26),Design!$B$25,Design!$B$26)*1000000/2)</f>
        <v>9.412880399999983E-2</v>
      </c>
      <c r="W7" s="203">
        <f t="shared" ca="1" si="4"/>
        <v>6.5519519768848233E-2</v>
      </c>
      <c r="X7" s="203">
        <f t="shared" ca="1" si="5"/>
        <v>9.7246595617030793E-2</v>
      </c>
      <c r="Y7" s="203">
        <f>2*R7*Constants!$C$20/1000000000*Constants!$C$25*IF(ISBLANK(Design!$B$26),Design!$B$25,Design!$B$26)*1000000</f>
        <v>4.8000000000000001E-2</v>
      </c>
      <c r="Z7" s="203">
        <f>(Constants!$D$26+Constants!$D$27)/1000000000*$B7*IF(ISBLANK(Design!$B$26),Design!$B$25,Design!$B$26)*1000000</f>
        <v>4.559939999999995E-2</v>
      </c>
      <c r="AA7" s="203">
        <f t="shared" ca="1" si="6"/>
        <v>0.40579571938587877</v>
      </c>
      <c r="AB7" s="204">
        <f ca="1">AA7*Design!$C$12+$A7</f>
        <v>44.478194530522181</v>
      </c>
      <c r="AC7" s="204">
        <f ca="1">Constants!$D$22+Constants!$D$22*Constants!$C$24/100*(AB7-25)</f>
        <v>89.972835599627359</v>
      </c>
      <c r="AD7" s="204">
        <f ca="1">Constants!$D$23+Constants!$D$23*Constants!$C$24/100*(AB7-25)</f>
        <v>73.102928924697224</v>
      </c>
      <c r="AE7" s="203">
        <f ca="1">(1-Constants!$C$19/1000000000*Design!$B$26*1000000) * ($B7+R7*AD7/1000-R7*AC7/1000) - (R7*AD7/1000+R7*(1+($A7-25)*Constants!$C$36/100)*IF(ISBLANK(Design!$B$35),Constants!$C$6/1000,Design!$B$35/1000))</f>
        <v>4.2392522067571496</v>
      </c>
      <c r="AF7" s="308">
        <f ca="1">IF(AE7&gt;Design!$C$22,Design!$C$22,AE7)</f>
        <v>1.7973333333333334</v>
      </c>
      <c r="AG7" s="142">
        <f>Design!$D$6/3</f>
        <v>0.66666666666666663</v>
      </c>
      <c r="AH7" s="216">
        <f ca="1">IF( 100*(Design!$C$22+AG7*(IF(ISBLANK(Design!$B$35),Constants!$C$6,Design!$B$35)/1000*(1+Constants!$C$36/100*(AQ7-25))+AS7/1000))/($B7-AG7*AR7/1000) &gt; Design!$C$29, Design!$C$29, 100*(Design!$C$22+AG7*(IF(ISBLANK(Design!$B$35),Constants!$C$6,Design!$B$35)/1000*(1+Constants!$C$36/100*(AQ7-25))+AS7/1000))/($B7-AG7*AR7/1000) )</f>
        <v>38.549553385465899</v>
      </c>
      <c r="AI7" s="143">
        <f ca="1">IF(($B7-AG7*IF(ISBLANK(Design!$B$35),Constants!$C$6,Design!$B$35)/1000*(1+Constants!$C$36/100*(AQ7-25))-Design!$C$22)/(IF(ISBLANK(Design!$B$34),Design!$B$33,Design!$B$34)/1000000)*AH7/100/(IF(ISBLANK(Design!$B$26),Design!$B$25,Design!$B$26)*1000000)&lt;0, 0, ($B7-AG7*IF(ISBLANK(Design!$B$35),Constants!$C$6,Design!$B$35)/1000*(1+Constants!$C$36/100*(AQ7-25))-Design!$C$22)/(IF(ISBLANK(Design!$B$34),Design!$B$33,Design!$B$34)/1000000)*AH7/100/(IF(ISBLANK(Design!$B$26),Design!$B$25,Design!$B$26)*1000000))</f>
        <v>0.58769201301080021</v>
      </c>
      <c r="AJ7" s="217">
        <f>$B7*Constants!$C$21/1000+IF(ISBLANK(Design!$B$26),Design!$B$25,Design!$B$26)*1000000*(Constants!$D$26+Constants!$D$27)/1000000000*$B7</f>
        <v>5.5301399999999945E-2</v>
      </c>
      <c r="AK7" s="217">
        <f>$B7*AG7*($B7/(Constants!$C$28*1000000000)*IF(ISBLANK(Design!$B$26),Design!$B$25,Design!$B$26)*1000000/2+$B7/(Constants!$C$29*1000000000)*IF(ISBLANK(Design!$B$26),Design!$B$25,Design!$B$26)*1000000/2)</f>
        <v>4.7064401999999915E-2</v>
      </c>
      <c r="AL7" s="217">
        <f t="shared" ca="1" si="7"/>
        <v>1.554590247736972E-2</v>
      </c>
      <c r="AM7" s="217">
        <f t="shared" ca="1" si="8"/>
        <v>2.4781159997058051E-2</v>
      </c>
      <c r="AN7" s="217">
        <f>2*AG7*Constants!$C$20/1000000000*Constants!$C$25*IF(ISBLANK(Design!$B$26),Design!$B$25,Design!$B$26)*1000000</f>
        <v>2.4E-2</v>
      </c>
      <c r="AO7" s="217">
        <f>(Constants!$D$26+Constants!$D$27)/1000000000*$B7*IF(ISBLANK(Design!$B$26),Design!$B$25,Design!$B$26)*1000000</f>
        <v>4.559939999999995E-2</v>
      </c>
      <c r="AP7" s="217">
        <f t="shared" ca="1" si="9"/>
        <v>0.21229226447442759</v>
      </c>
      <c r="AQ7" s="218">
        <f ca="1">AP7*Design!$C$12+$A7</f>
        <v>35.190028694772522</v>
      </c>
      <c r="AR7" s="218">
        <f ca="1">Constants!$D$22+Constants!$D$22*Constants!$C$24/100*(AQ7-25)</f>
        <v>85.217294691723538</v>
      </c>
      <c r="AS7" s="218">
        <f ca="1">Constants!$D$23+Constants!$D$23*Constants!$C$24/100*(AQ7-25)</f>
        <v>69.239051937025366</v>
      </c>
      <c r="AT7" s="217">
        <f ca="1">(1-Constants!$C$19/1000000000*Design!$B$26*1000000) * ($B7+AG7*AS7/1000-AG7*AR7/1000) - (AG7*AS7/1000+AG7*(1+($A7-25)*Constants!$C$36/100)*IF(ISBLANK(Design!$B$35),Constants!$C$6/1000,Design!$B$35/1000))</f>
        <v>4.3056870197224937</v>
      </c>
      <c r="AU7" s="311">
        <f ca="1">IF(AT7&gt;Design!$C$22,Design!$C$22,AT7)</f>
        <v>1.7973333333333334</v>
      </c>
    </row>
    <row r="8" spans="1:47" s="144" customFormat="1" ht="12.75" customHeight="1">
      <c r="A8" s="136">
        <v>25</v>
      </c>
      <c r="B8" s="137">
        <f t="shared" si="0"/>
        <v>4.776499999999996</v>
      </c>
      <c r="C8" s="138">
        <f>Design!$D$6</f>
        <v>2</v>
      </c>
      <c r="D8" s="193">
        <f ca="1">IF( 100*(Design!$C$22+C8*(IF(ISBLANK(Design!$B$35),Constants!$C$6,Design!$B$35)/1000*(1+Constants!$C$36/100*(M8-25))+O8/1000))/($B8-C8*N8/1000) &gt; Design!$C$29, Design!$C$29, 100*(Design!$C$22+C8*(IF(ISBLANK(Design!$B$35),Constants!$C$6,Design!$B$35)/1000*(1+Constants!$C$36/100*(M8-25))+O8/1000))/($B8-C8*N8/1000) )</f>
        <v>43.003972053848749</v>
      </c>
      <c r="E8" s="139">
        <f ca="1">IF(($B8-C8*IF(ISBLANK(Design!$B$35),Constants!$C$6,Design!$B$35)/1000*(1+Constants!$C$36/100*(M8-25))-Design!$C$22)/(IF(ISBLANK(Design!$B$34),Design!$B$33,Design!$B$34)/1000000)*D8/100/(IF(ISBLANK(Design!$B$26),Design!$B$25,Design!$B$26)*1000000)&lt;0, 0, ($B8-C8*IF(ISBLANK(Design!$B$35),Constants!$C$6,Design!$B$35)/1000*(1+Constants!$C$36/100*(M8-25))-Design!$C$22)/(IF(ISBLANK(Design!$B$34),Design!$B$33,Design!$B$34)/1000000)*D8/100/(IF(ISBLANK(Design!$B$26),Design!$B$25,Design!$B$26)*1000000))</f>
        <v>0.63731806138161939</v>
      </c>
      <c r="F8" s="186">
        <f>$B8*Constants!$C$21/1000+IF(ISBLANK(Design!$B$26),Design!$B$25,Design!$B$26)*1000000*(Constants!$D$26+Constants!$D$27)/1000000000*$B8</f>
        <v>5.4452099999999948E-2</v>
      </c>
      <c r="G8" s="186">
        <f>$B8*C8*($B8/(Constants!$C$28*1000000000)*IF(ISBLANK(Design!$B$26),Design!$B$25,Design!$B$26)*1000000/2+$B8/(Constants!$C$29*1000000000)*IF(ISBLANK(Design!$B$26),Design!$B$25,Design!$B$26)*1000000/2)</f>
        <v>0.13688971349999976</v>
      </c>
      <c r="H8" s="186">
        <f t="shared" ca="1" si="1"/>
        <v>0.16863610177291513</v>
      </c>
      <c r="I8" s="186">
        <f t="shared" ca="1" si="2"/>
        <v>0.22350465574072159</v>
      </c>
      <c r="J8" s="186">
        <f>2*C8*Constants!$C$20/1000000000*Constants!$C$25*IF(ISBLANK(Design!$B$26),Design!$B$25,Design!$B$26)*1000000</f>
        <v>7.1999999999999995E-2</v>
      </c>
      <c r="K8" s="186">
        <f>(Constants!$D$26+Constants!$D$27)/1000000000*$B8*IF(ISBLANK(Design!$B$26),Design!$B$25,Design!$B$26)*1000000</f>
        <v>4.4899099999999956E-2</v>
      </c>
      <c r="L8" s="186">
        <f t="shared" ca="1" si="3"/>
        <v>0.70038167101363635</v>
      </c>
      <c r="M8" s="187">
        <f ca="1">L8*Design!$C$12+$A8</f>
        <v>58.618320208654545</v>
      </c>
      <c r="N8" s="187">
        <f ca="1">Constants!$D$22+Constants!$D$22*Constants!$C$24/100*(M8-25)</f>
        <v>97.212579946831127</v>
      </c>
      <c r="O8" s="187">
        <f ca="1">Constants!$D$23+Constants!$D$23*Constants!$C$24/100*(M8-25)</f>
        <v>78.98522120680029</v>
      </c>
      <c r="P8" s="186">
        <f ca="1">(1-Constants!$C$19/1000000000*Design!$B$26*1000000) * ($B8+C8*O8/1000-C8*N8/1000) - (C8*O8/1000+C8*(1+($A8-25)*Constants!$C$36/100)*IF(ISBLANK(Design!$B$35),Constants!$C$6/1000,Design!$B$35/1000))</f>
        <v>4.0946703118543404</v>
      </c>
      <c r="Q8" s="191">
        <f ca="1">IF(P8&gt;Design!$C$22,Design!$C$22,P8)</f>
        <v>1.7973333333333334</v>
      </c>
      <c r="R8" s="201">
        <f>2*Design!$D$6/3</f>
        <v>1.3333333333333333</v>
      </c>
      <c r="S8" s="202">
        <f ca="1">IF( 100*(Design!$C$22+R8*(IF(ISBLANK(Design!$B$35),Constants!$C$6,Design!$B$35)/1000*(1+Constants!$C$36/100*(AB8-25))+AD8/1000))/($B8-R8*AC8/1000) &gt; Design!$C$29, Design!$C$29, 100*(Design!$C$22+R8*(IF(ISBLANK(Design!$B$35),Constants!$C$6,Design!$B$35)/1000*(1+Constants!$C$36/100*(AB8-25))+AD8/1000))/($B8-R8*AC8/1000) )</f>
        <v>40.89361551741122</v>
      </c>
      <c r="T8" s="141">
        <f ca="1">IF(($B8-R8*IF(ISBLANK(Design!$B$35),Constants!$C$6,Design!$B$35)/1000*(1+Constants!$C$36/100*(AB8-25))-Design!$C$22)/(IF(ISBLANK(Design!$B$34),Design!$B$33,Design!$B$34)/1000000)*S8/100/(IF(ISBLANK(Design!$B$26),Design!$B$25,Design!$B$26)*1000000)&lt;0, 0, ($B8-R8*IF(ISBLANK(Design!$B$35),Constants!$C$6,Design!$B$35)/1000*(1+Constants!$C$36/100*(AB8-25))-Design!$C$22)/(IF(ISBLANK(Design!$B$34),Design!$B$33,Design!$B$34)/1000000)*S8/100/(IF(ISBLANK(Design!$B$26),Design!$B$25,Design!$B$26)*1000000))</f>
        <v>0.60717968753944052</v>
      </c>
      <c r="U8" s="203">
        <f>$B8*Constants!$C$21/1000+IF(ISBLANK(Design!$B$26),Design!$B$25,Design!$B$26)*1000000*(Constants!$D$26+Constants!$D$27)/1000000000*$B8</f>
        <v>5.4452099999999948E-2</v>
      </c>
      <c r="V8" s="203">
        <f>$B8*R8*($B8/(Constants!$C$28*1000000000)*IF(ISBLANK(Design!$B$26),Design!$B$25,Design!$B$26)*1000000/2+$B8/(Constants!$C$29*1000000000)*IF(ISBLANK(Design!$B$26),Design!$B$25,Design!$B$26)*1000000/2)</f>
        <v>9.1259808999999845E-2</v>
      </c>
      <c r="W8" s="203">
        <f t="shared" ca="1" si="4"/>
        <v>6.6455404119408354E-2</v>
      </c>
      <c r="X8" s="203">
        <f t="shared" ca="1" si="5"/>
        <v>9.605261401147501E-2</v>
      </c>
      <c r="Y8" s="203">
        <f>2*R8*Constants!$C$20/1000000000*Constants!$C$25*IF(ISBLANK(Design!$B$26),Design!$B$25,Design!$B$26)*1000000</f>
        <v>4.8000000000000001E-2</v>
      </c>
      <c r="Z8" s="203">
        <f>(Constants!$D$26+Constants!$D$27)/1000000000*$B8*IF(ISBLANK(Design!$B$26),Design!$B$25,Design!$B$26)*1000000</f>
        <v>4.4899099999999956E-2</v>
      </c>
      <c r="AA8" s="203">
        <f t="shared" ca="1" si="6"/>
        <v>0.40111902713088315</v>
      </c>
      <c r="AB8" s="204">
        <f ca="1">AA8*Design!$C$12+$A8</f>
        <v>44.253713302282392</v>
      </c>
      <c r="AC8" s="204">
        <f ca="1">Constants!$D$22+Constants!$D$22*Constants!$C$24/100*(AB8-25)</f>
        <v>89.857901210768588</v>
      </c>
      <c r="AD8" s="204">
        <f ca="1">Constants!$D$23+Constants!$D$23*Constants!$C$24/100*(AB8-25)</f>
        <v>73.009544733749479</v>
      </c>
      <c r="AE8" s="203">
        <f ca="1">(1-Constants!$C$19/1000000000*Design!$B$26*1000000) * ($B8+R8*AD8/1000-R8*AC8/1000) - (R8*AD8/1000+R8*(1+($A8-25)*Constants!$C$36/100)*IF(ISBLANK(Design!$B$35),Constants!$C$6/1000,Design!$B$35/1000))</f>
        <v>4.1723525792492406</v>
      </c>
      <c r="AF8" s="308">
        <f ca="1">IF(AE8&gt;Design!$C$22,Design!$C$22,AE8)</f>
        <v>1.7973333333333334</v>
      </c>
      <c r="AG8" s="142">
        <f>Design!$D$6/3</f>
        <v>0.66666666666666663</v>
      </c>
      <c r="AH8" s="216">
        <f ca="1">IF( 100*(Design!$C$22+AG8*(IF(ISBLANK(Design!$B$35),Constants!$C$6,Design!$B$35)/1000*(1+Constants!$C$36/100*(AQ8-25))+AS8/1000))/($B8-AG8*AR8/1000) &gt; Design!$C$29, Design!$C$29, 100*(Design!$C$22+AG8*(IF(ISBLANK(Design!$B$35),Constants!$C$6,Design!$B$35)/1000*(1+Constants!$C$36/100*(AQ8-25))+AS8/1000))/($B8-AG8*AR8/1000) )</f>
        <v>39.156720393688175</v>
      </c>
      <c r="AI8" s="143">
        <f ca="1">IF(($B8-AG8*IF(ISBLANK(Design!$B$35),Constants!$C$6,Design!$B$35)/1000*(1+Constants!$C$36/100*(AQ8-25))-Design!$C$22)/(IF(ISBLANK(Design!$B$34),Design!$B$33,Design!$B$34)/1000000)*AH8/100/(IF(ISBLANK(Design!$B$26),Design!$B$25,Design!$B$26)*1000000)&lt;0, 0, ($B8-AG8*IF(ISBLANK(Design!$B$35),Constants!$C$6,Design!$B$35)/1000*(1+Constants!$C$36/100*(AQ8-25))-Design!$C$22)/(IF(ISBLANK(Design!$B$34),Design!$B$33,Design!$B$34)/1000000)*AH8/100/(IF(ISBLANK(Design!$B$26),Design!$B$25,Design!$B$26)*1000000))</f>
        <v>0.58236296528444942</v>
      </c>
      <c r="AJ8" s="217">
        <f>$B8*Constants!$C$21/1000+IF(ISBLANK(Design!$B$26),Design!$B$25,Design!$B$26)*1000000*(Constants!$D$26+Constants!$D$27)/1000000000*$B8</f>
        <v>5.4452099999999948E-2</v>
      </c>
      <c r="AK8" s="217">
        <f>$B8*AG8*($B8/(Constants!$C$28*1000000000)*IF(ISBLANK(Design!$B$26),Design!$B$25,Design!$B$26)*1000000/2+$B8/(Constants!$C$29*1000000000)*IF(ISBLANK(Design!$B$26),Design!$B$25,Design!$B$26)*1000000/2)</f>
        <v>4.5629904499999922E-2</v>
      </c>
      <c r="AL8" s="217">
        <f t="shared" ca="1" si="7"/>
        <v>1.5759478916562462E-2</v>
      </c>
      <c r="AM8" s="217">
        <f t="shared" ca="1" si="8"/>
        <v>2.4487709198565768E-2</v>
      </c>
      <c r="AN8" s="217">
        <f>2*AG8*Constants!$C$20/1000000000*Constants!$C$25*IF(ISBLANK(Design!$B$26),Design!$B$25,Design!$B$26)*1000000</f>
        <v>2.4E-2</v>
      </c>
      <c r="AO8" s="217">
        <f>(Constants!$D$26+Constants!$D$27)/1000000000*$B8*IF(ISBLANK(Design!$B$26),Design!$B$25,Design!$B$26)*1000000</f>
        <v>4.4899099999999956E-2</v>
      </c>
      <c r="AP8" s="217">
        <f t="shared" ca="1" si="9"/>
        <v>0.20922829261512804</v>
      </c>
      <c r="AQ8" s="218">
        <f ca="1">AP8*Design!$C$12+$A8</f>
        <v>35.042958045526149</v>
      </c>
      <c r="AR8" s="218">
        <f ca="1">Constants!$D$22+Constants!$D$22*Constants!$C$24/100*(AQ8-25)</f>
        <v>85.141994519309392</v>
      </c>
      <c r="AS8" s="218">
        <f ca="1">Constants!$D$23+Constants!$D$23*Constants!$C$24/100*(AQ8-25)</f>
        <v>69.177870546938877</v>
      </c>
      <c r="AT8" s="217">
        <f ca="1">(1-Constants!$C$19/1000000000*Design!$B$26*1000000) * ($B8+AG8*AS8/1000-AG8*AR8/1000) - (AG8*AS8/1000+AG8*(1+($A8-25)*Constants!$C$36/100)*IF(ISBLANK(Design!$B$35),Constants!$C$6/1000,Design!$B$35/1000))</f>
        <v>4.2386862785852815</v>
      </c>
      <c r="AU8" s="311">
        <f ca="1">IF(AT8&gt;Design!$C$22,Design!$C$22,AT8)</f>
        <v>1.7973333333333334</v>
      </c>
    </row>
    <row r="9" spans="1:47" s="144" customFormat="1" ht="12.75" customHeight="1">
      <c r="A9" s="136">
        <v>25</v>
      </c>
      <c r="B9" s="137">
        <f t="shared" si="0"/>
        <v>4.7019999999999964</v>
      </c>
      <c r="C9" s="138">
        <f>Design!$D$6</f>
        <v>2</v>
      </c>
      <c r="D9" s="193">
        <f ca="1">IF( 100*(Design!$C$22+C9*(IF(ISBLANK(Design!$B$35),Constants!$C$6,Design!$B$35)/1000*(1+Constants!$C$36/100*(M9-25))+O9/1000))/($B9-C9*N9/1000) &gt; Design!$C$29, Design!$C$29, 100*(Design!$C$22+C9*(IF(ISBLANK(Design!$B$35),Constants!$C$6,Design!$B$35)/1000*(1+Constants!$C$36/100*(M9-25))+O9/1000))/($B9-C9*N9/1000) )</f>
        <v>43.705523021161774</v>
      </c>
      <c r="E9" s="139">
        <f ca="1">IF(($B9-C9*IF(ISBLANK(Design!$B$35),Constants!$C$6,Design!$B$35)/1000*(1+Constants!$C$36/100*(M9-25))-Design!$C$22)/(IF(ISBLANK(Design!$B$34),Design!$B$33,Design!$B$34)/1000000)*D9/100/(IF(ISBLANK(Design!$B$26),Design!$B$25,Design!$B$26)*1000000)&lt;0, 0, ($B9-C9*IF(ISBLANK(Design!$B$35),Constants!$C$6,Design!$B$35)/1000*(1+Constants!$C$36/100*(M9-25))-Design!$C$22)/(IF(ISBLANK(Design!$B$34),Design!$B$33,Design!$B$34)/1000000)*D9/100/(IF(ISBLANK(Design!$B$26),Design!$B$25,Design!$B$26)*1000000))</f>
        <v>0.63143831140409001</v>
      </c>
      <c r="F9" s="186">
        <f>$B9*Constants!$C$21/1000+IF(ISBLANK(Design!$B$26),Design!$B$25,Design!$B$26)*1000000*(Constants!$D$26+Constants!$D$27)/1000000000*$B9</f>
        <v>5.360279999999995E-2</v>
      </c>
      <c r="G9" s="186">
        <f>$B9*C9*($B9/(Constants!$C$28*1000000000)*IF(ISBLANK(Design!$B$26),Design!$B$25,Design!$B$26)*1000000/2+$B9/(Constants!$C$29*1000000000)*IF(ISBLANK(Design!$B$26),Design!$B$25,Design!$B$26)*1000000/2)</f>
        <v>0.13265282399999978</v>
      </c>
      <c r="H9" s="186">
        <f t="shared" ca="1" si="1"/>
        <v>0.17107959152993779</v>
      </c>
      <c r="I9" s="186">
        <f t="shared" ca="1" si="2"/>
        <v>0.22035741620728294</v>
      </c>
      <c r="J9" s="186">
        <f>2*C9*Constants!$C$20/1000000000*Constants!$C$25*IF(ISBLANK(Design!$B$26),Design!$B$25,Design!$B$26)*1000000</f>
        <v>7.1999999999999995E-2</v>
      </c>
      <c r="K9" s="186">
        <f>(Constants!$D$26+Constants!$D$27)/1000000000*$B9*IF(ISBLANK(Design!$B$26),Design!$B$25,Design!$B$26)*1000000</f>
        <v>4.4198799999999962E-2</v>
      </c>
      <c r="L9" s="186">
        <f t="shared" ca="1" si="3"/>
        <v>0.69389143173722034</v>
      </c>
      <c r="M9" s="187">
        <f ca="1">L9*Design!$C$12+$A9</f>
        <v>58.306788723386575</v>
      </c>
      <c r="N9" s="187">
        <f ca="1">Constants!$D$22+Constants!$D$22*Constants!$C$24/100*(M9-25)</f>
        <v>97.053075826373927</v>
      </c>
      <c r="O9" s="187">
        <f ca="1">Constants!$D$23+Constants!$D$23*Constants!$C$24/100*(M9-25)</f>
        <v>78.855624108928822</v>
      </c>
      <c r="P9" s="186">
        <f ca="1">(1-Constants!$C$19/1000000000*Design!$B$26*1000000) * ($B9+C9*O9/1000-C9*N9/1000) - (C9*O9/1000+C9*(1+($A9-25)*Constants!$C$36/100)*IF(ISBLANK(Design!$B$35),Constants!$C$6/1000,Design!$B$35/1000))</f>
        <v>4.0279333386907386</v>
      </c>
      <c r="Q9" s="191">
        <f ca="1">IF(P9&gt;Design!$C$22,Design!$C$22,P9)</f>
        <v>1.7973333333333334</v>
      </c>
      <c r="R9" s="201">
        <f>2*Design!$D$6/3</f>
        <v>1.3333333333333333</v>
      </c>
      <c r="S9" s="202">
        <f ca="1">IF( 100*(Design!$C$22+R9*(IF(ISBLANK(Design!$B$35),Constants!$C$6,Design!$B$35)/1000*(1+Constants!$C$36/100*(AB9-25))+AD9/1000))/($B9-R9*AC9/1000) &gt; Design!$C$29, Design!$C$29, 100*(Design!$C$22+R9*(IF(ISBLANK(Design!$B$35),Constants!$C$6,Design!$B$35)/1000*(1+Constants!$C$36/100*(AB9-25))+AD9/1000))/($B9-R9*AC9/1000) )</f>
        <v>41.554251105944353</v>
      </c>
      <c r="T9" s="141">
        <f ca="1">IF(($B9-R9*IF(ISBLANK(Design!$B$35),Constants!$C$6,Design!$B$35)/1000*(1+Constants!$C$36/100*(AB9-25))-Design!$C$22)/(IF(ISBLANK(Design!$B$34),Design!$B$33,Design!$B$34)/1000000)*S9/100/(IF(ISBLANK(Design!$B$26),Design!$B$25,Design!$B$26)*1000000)&lt;0, 0, ($B9-R9*IF(ISBLANK(Design!$B$35),Constants!$C$6,Design!$B$35)/1000*(1+Constants!$C$36/100*(AB9-25))-Design!$C$22)/(IF(ISBLANK(Design!$B$34),Design!$B$33,Design!$B$34)/1000000)*S9/100/(IF(ISBLANK(Design!$B$26),Design!$B$25,Design!$B$26)*1000000))</f>
        <v>0.60151132697975351</v>
      </c>
      <c r="U9" s="203">
        <f>$B9*Constants!$C$21/1000+IF(ISBLANK(Design!$B$26),Design!$B$25,Design!$B$26)*1000000*(Constants!$D$26+Constants!$D$27)/1000000000*$B9</f>
        <v>5.360279999999995E-2</v>
      </c>
      <c r="V9" s="203">
        <f>$B9*R9*($B9/(Constants!$C$28*1000000000)*IF(ISBLANK(Design!$B$26),Design!$B$25,Design!$B$26)*1000000/2+$B9/(Constants!$C$29*1000000000)*IF(ISBLANK(Design!$B$26),Design!$B$25,Design!$B$26)*1000000/2)</f>
        <v>8.8435215999999858E-2</v>
      </c>
      <c r="W9" s="203">
        <f t="shared" ca="1" si="4"/>
        <v>6.7422162789000817E-2</v>
      </c>
      <c r="X9" s="203">
        <f t="shared" ca="1" si="5"/>
        <v>9.4828776632588374E-2</v>
      </c>
      <c r="Y9" s="203">
        <f>2*R9*Constants!$C$20/1000000000*Constants!$C$25*IF(ISBLANK(Design!$B$26),Design!$B$25,Design!$B$26)*1000000</f>
        <v>4.8000000000000001E-2</v>
      </c>
      <c r="Z9" s="203">
        <f>(Constants!$D$26+Constants!$D$27)/1000000000*$B9*IF(ISBLANK(Design!$B$26),Design!$B$25,Design!$B$26)*1000000</f>
        <v>4.4198799999999962E-2</v>
      </c>
      <c r="AA9" s="203">
        <f t="shared" ca="1" si="6"/>
        <v>0.39648775542158898</v>
      </c>
      <c r="AB9" s="204">
        <f ca="1">AA9*Design!$C$12+$A9</f>
        <v>44.031412260236273</v>
      </c>
      <c r="AC9" s="204">
        <f ca="1">Constants!$D$22+Constants!$D$22*Constants!$C$24/100*(AB9-25)</f>
        <v>89.744083077240973</v>
      </c>
      <c r="AD9" s="204">
        <f ca="1">Constants!$D$23+Constants!$D$23*Constants!$C$24/100*(AB9-25)</f>
        <v>72.917067500258284</v>
      </c>
      <c r="AE9" s="203">
        <f ca="1">(1-Constants!$C$19/1000000000*Design!$B$26*1000000) * ($B9+R9*AD9/1000-R9*AC9/1000) - (R9*AD9/1000+R9*(1+($A9-25)*Constants!$C$36/100)*IF(ISBLANK(Design!$B$35),Constants!$C$6/1000,Design!$B$35/1000))</f>
        <v>4.1054514913072735</v>
      </c>
      <c r="AF9" s="308">
        <f ca="1">IF(AE9&gt;Design!$C$22,Design!$C$22,AE9)</f>
        <v>1.7973333333333334</v>
      </c>
      <c r="AG9" s="142">
        <f>Design!$D$6/3</f>
        <v>0.66666666666666663</v>
      </c>
      <c r="AH9" s="216">
        <f ca="1">IF( 100*(Design!$C$22+AG9*(IF(ISBLANK(Design!$B$35),Constants!$C$6,Design!$B$35)/1000*(1+Constants!$C$36/100*(AQ9-25))+AS9/1000))/($B9-AG9*AR9/1000) &gt; Design!$C$29, Design!$C$29, 100*(Design!$C$22+AG9*(IF(ISBLANK(Design!$B$35),Constants!$C$6,Design!$B$35)/1000*(1+Constants!$C$36/100*(AQ9-25))+AS9/1000))/($B9-AG9*AR9/1000) )</f>
        <v>39.783359055647175</v>
      </c>
      <c r="AI9" s="143">
        <f ca="1">IF(($B9-AG9*IF(ISBLANK(Design!$B$35),Constants!$C$6,Design!$B$35)/1000*(1+Constants!$C$36/100*(AQ9-25))-Design!$C$22)/(IF(ISBLANK(Design!$B$34),Design!$B$33,Design!$B$34)/1000000)*AH9/100/(IF(ISBLANK(Design!$B$26),Design!$B$25,Design!$B$26)*1000000)&lt;0, 0, ($B9-AG9*IF(ISBLANK(Design!$B$35),Constants!$C$6,Design!$B$35)/1000*(1+Constants!$C$36/100*(AQ9-25))-Design!$C$22)/(IF(ISBLANK(Design!$B$34),Design!$B$33,Design!$B$34)/1000000)*AH9/100/(IF(ISBLANK(Design!$B$26),Design!$B$25,Design!$B$26)*1000000))</f>
        <v>0.57686393174010753</v>
      </c>
      <c r="AJ9" s="217">
        <f>$B9*Constants!$C$21/1000+IF(ISBLANK(Design!$B$26),Design!$B$25,Design!$B$26)*1000000*(Constants!$D$26+Constants!$D$27)/1000000000*$B9</f>
        <v>5.360279999999995E-2</v>
      </c>
      <c r="AK9" s="217">
        <f>$B9*AG9*($B9/(Constants!$C$28*1000000000)*IF(ISBLANK(Design!$B$26),Design!$B$25,Design!$B$26)*1000000/2+$B9/(Constants!$C$29*1000000000)*IF(ISBLANK(Design!$B$26),Design!$B$25,Design!$B$26)*1000000/2)</f>
        <v>4.4217607999999929E-2</v>
      </c>
      <c r="AL9" s="217">
        <f t="shared" ca="1" si="7"/>
        <v>1.5979644241448675E-2</v>
      </c>
      <c r="AM9" s="217">
        <f t="shared" ca="1" si="8"/>
        <v>2.4187009909341018E-2</v>
      </c>
      <c r="AN9" s="217">
        <f>2*AG9*Constants!$C$20/1000000000*Constants!$C$25*IF(ISBLANK(Design!$B$26),Design!$B$25,Design!$B$26)*1000000</f>
        <v>2.4E-2</v>
      </c>
      <c r="AO9" s="217">
        <f>(Constants!$D$26+Constants!$D$27)/1000000000*$B9*IF(ISBLANK(Design!$B$26),Design!$B$25,Design!$B$26)*1000000</f>
        <v>4.4198799999999962E-2</v>
      </c>
      <c r="AP9" s="217">
        <f t="shared" ca="1" si="9"/>
        <v>0.20618586215078955</v>
      </c>
      <c r="AQ9" s="218">
        <f ca="1">AP9*Design!$C$12+$A9</f>
        <v>34.896921383237895</v>
      </c>
      <c r="AR9" s="218">
        <f ca="1">Constants!$D$22+Constants!$D$22*Constants!$C$24/100*(AQ9-25)</f>
        <v>85.067223748217799</v>
      </c>
      <c r="AS9" s="218">
        <f ca="1">Constants!$D$23+Constants!$D$23*Constants!$C$24/100*(AQ9-25)</f>
        <v>69.11711929542696</v>
      </c>
      <c r="AT9" s="217">
        <f ca="1">(1-Constants!$C$19/1000000000*Design!$B$26*1000000) * ($B9+AG9*AS9/1000-AG9*AR9/1000) - (AG9*AS9/1000+AG9*(1+($A9-25)*Constants!$C$36/100)*IF(ISBLANK(Design!$B$35),Constants!$C$6/1000,Design!$B$35/1000))</f>
        <v>4.1716851911313704</v>
      </c>
      <c r="AU9" s="311">
        <f ca="1">IF(AT9&gt;Design!$C$22,Design!$C$22,AT9)</f>
        <v>1.7973333333333334</v>
      </c>
    </row>
    <row r="10" spans="1:47" s="144" customFormat="1" ht="12.75" customHeight="1">
      <c r="A10" s="136">
        <v>25</v>
      </c>
      <c r="B10" s="137">
        <f t="shared" si="0"/>
        <v>4.6274999999999968</v>
      </c>
      <c r="C10" s="138">
        <f>Design!$D$6</f>
        <v>2</v>
      </c>
      <c r="D10" s="193">
        <f ca="1">IF( 100*(Design!$C$22+C10*(IF(ISBLANK(Design!$B$35),Constants!$C$6,Design!$B$35)/1000*(1+Constants!$C$36/100*(M10-25))+O10/1000))/($B10-C10*N10/1000) &gt; Design!$C$29, Design!$C$29, 100*(Design!$C$22+C10*(IF(ISBLANK(Design!$B$35),Constants!$C$6,Design!$B$35)/1000*(1+Constants!$C$36/100*(M10-25))+O10/1000))/($B10-C10*N10/1000) )</f>
        <v>44.430654796708858</v>
      </c>
      <c r="E10" s="139">
        <f ca="1">IF(($B10-C10*IF(ISBLANK(Design!$B$35),Constants!$C$6,Design!$B$35)/1000*(1+Constants!$C$36/100*(M10-25))-Design!$C$22)/(IF(ISBLANK(Design!$B$34),Design!$B$33,Design!$B$34)/1000000)*D10/100/(IF(ISBLANK(Design!$B$26),Design!$B$25,Design!$B$26)*1000000)&lt;0, 0, ($B10-C10*IF(ISBLANK(Design!$B$35),Constants!$C$6,Design!$B$35)/1000*(1+Constants!$C$36/100*(M10-25))-Design!$C$22)/(IF(ISBLANK(Design!$B$34),Design!$B$33,Design!$B$34)/1000000)*D10/100/(IF(ISBLANK(Design!$B$26),Design!$B$25,Design!$B$26)*1000000))</f>
        <v>0.62536788356820272</v>
      </c>
      <c r="F10" s="186">
        <f>$B10*Constants!$C$21/1000+IF(ISBLANK(Design!$B$26),Design!$B$25,Design!$B$26)*1000000*(Constants!$D$26+Constants!$D$27)/1000000000*$B10</f>
        <v>5.2753499999999953E-2</v>
      </c>
      <c r="G10" s="186">
        <f>$B10*C10*($B10/(Constants!$C$28*1000000000)*IF(ISBLANK(Design!$B$26),Design!$B$25,Design!$B$26)*1000000/2+$B10/(Constants!$C$29*1000000000)*IF(ISBLANK(Design!$B$26),Design!$B$25,Design!$B$26)*1000000/2)</f>
        <v>0.12848253749999983</v>
      </c>
      <c r="H10" s="186">
        <f t="shared" ca="1" si="1"/>
        <v>0.17360802366816441</v>
      </c>
      <c r="I10" s="186">
        <f t="shared" ca="1" si="2"/>
        <v>0.21713126312043401</v>
      </c>
      <c r="J10" s="186">
        <f>2*C10*Constants!$C$20/1000000000*Constants!$C$25*IF(ISBLANK(Design!$B$26),Design!$B$25,Design!$B$26)*1000000</f>
        <v>7.1999999999999995E-2</v>
      </c>
      <c r="K10" s="186">
        <f>(Constants!$D$26+Constants!$D$27)/1000000000*$B10*IF(ISBLANK(Design!$B$26),Design!$B$25,Design!$B$26)*1000000</f>
        <v>4.3498499999999968E-2</v>
      </c>
      <c r="L10" s="186">
        <f t="shared" ca="1" si="3"/>
        <v>0.68747382428859816</v>
      </c>
      <c r="M10" s="187">
        <f ca="1">L10*Design!$C$12+$A10</f>
        <v>57.998743565852713</v>
      </c>
      <c r="N10" s="187">
        <f ca="1">Constants!$D$22+Constants!$D$22*Constants!$C$24/100*(M10-25)</f>
        <v>96.895356705716594</v>
      </c>
      <c r="O10" s="187">
        <f ca="1">Constants!$D$23+Constants!$D$23*Constants!$C$24/100*(M10-25)</f>
        <v>78.727477323394737</v>
      </c>
      <c r="P10" s="186">
        <f ca="1">(1-Constants!$C$19/1000000000*Design!$B$26*1000000) * ($B10+C10*O10/1000-C10*N10/1000) - (C10*O10/1000+C10*(1+($A10-25)*Constants!$C$36/100)*IF(ISBLANK(Design!$B$35),Constants!$C$6/1000,Design!$B$35/1000))</f>
        <v>3.9611928624650288</v>
      </c>
      <c r="Q10" s="191">
        <f ca="1">IF(P10&gt;Design!$C$22,Design!$C$22,P10)</f>
        <v>1.7973333333333334</v>
      </c>
      <c r="R10" s="201">
        <f>2*Design!$D$6/3</f>
        <v>1.3333333333333333</v>
      </c>
      <c r="S10" s="202">
        <f ca="1">IF( 100*(Design!$C$22+R10*(IF(ISBLANK(Design!$B$35),Constants!$C$6,Design!$B$35)/1000*(1+Constants!$C$36/100*(AB10-25))+AD10/1000))/($B10-R10*AC10/1000) &gt; Design!$C$29, Design!$C$29, 100*(Design!$C$22+R10*(IF(ISBLANK(Design!$B$35),Constants!$C$6,Design!$B$35)/1000*(1+Constants!$C$36/100*(AB10-25))+AD10/1000))/($B10-R10*AC10/1000) )</f>
        <v>42.236720246485753</v>
      </c>
      <c r="T10" s="141">
        <f ca="1">IF(($B10-R10*IF(ISBLANK(Design!$B$35),Constants!$C$6,Design!$B$35)/1000*(1+Constants!$C$36/100*(AB10-25))-Design!$C$22)/(IF(ISBLANK(Design!$B$34),Design!$B$33,Design!$B$34)/1000000)*S10/100/(IF(ISBLANK(Design!$B$26),Design!$B$25,Design!$B$26)*1000000)&lt;0, 0, ($B10-R10*IF(ISBLANK(Design!$B$35),Constants!$C$6,Design!$B$35)/1000*(1+Constants!$C$36/100*(AB10-25))-Design!$C$22)/(IF(ISBLANK(Design!$B$34),Design!$B$33,Design!$B$34)/1000000)*S10/100/(IF(ISBLANK(Design!$B$26),Design!$B$25,Design!$B$26)*1000000))</f>
        <v>0.59565874394780616</v>
      </c>
      <c r="U10" s="203">
        <f>$B10*Constants!$C$21/1000+IF(ISBLANK(Design!$B$26),Design!$B$25,Design!$B$26)*1000000*(Constants!$D$26+Constants!$D$27)/1000000000*$B10</f>
        <v>5.2753499999999953E-2</v>
      </c>
      <c r="V10" s="203">
        <f>$B10*R10*($B10/(Constants!$C$28*1000000000)*IF(ISBLANK(Design!$B$26),Design!$B$25,Design!$B$26)*1000000/2+$B10/(Constants!$C$29*1000000000)*IF(ISBLANK(Design!$B$26),Design!$B$25,Design!$B$26)*1000000/2)</f>
        <v>8.5655024999999885E-2</v>
      </c>
      <c r="W10" s="203">
        <f t="shared" ca="1" si="4"/>
        <v>6.8421310421816345E-2</v>
      </c>
      <c r="X10" s="203">
        <f t="shared" ca="1" si="5"/>
        <v>9.3573536769258461E-2</v>
      </c>
      <c r="Y10" s="203">
        <f>2*R10*Constants!$C$20/1000000000*Constants!$C$25*IF(ISBLANK(Design!$B$26),Design!$B$25,Design!$B$26)*1000000</f>
        <v>4.8000000000000001E-2</v>
      </c>
      <c r="Z10" s="203">
        <f>(Constants!$D$26+Constants!$D$27)/1000000000*$B10*IF(ISBLANK(Design!$B$26),Design!$B$25,Design!$B$26)*1000000</f>
        <v>4.3498499999999968E-2</v>
      </c>
      <c r="AA10" s="203">
        <f t="shared" ca="1" si="6"/>
        <v>0.39190187219107464</v>
      </c>
      <c r="AB10" s="204">
        <f ca="1">AA10*Design!$C$12+$A10</f>
        <v>43.811289865171581</v>
      </c>
      <c r="AC10" s="204">
        <f ca="1">Constants!$D$22+Constants!$D$22*Constants!$C$24/100*(AB10-25)</f>
        <v>89.63138041096785</v>
      </c>
      <c r="AD10" s="204">
        <f ca="1">Constants!$D$23+Constants!$D$23*Constants!$C$24/100*(AB10-25)</f>
        <v>72.825496583911374</v>
      </c>
      <c r="AE10" s="203">
        <f ca="1">(1-Constants!$C$19/1000000000*Design!$B$26*1000000) * ($B10+R10*AD10/1000-R10*AC10/1000) - (R10*AD10/1000+R10*(1+($A10-25)*Constants!$C$36/100)*IF(ISBLANK(Design!$B$35),Constants!$C$6/1000,Design!$B$35/1000))</f>
        <v>4.0385489439623141</v>
      </c>
      <c r="AF10" s="308">
        <f ca="1">IF(AE10&gt;Design!$C$22,Design!$C$22,AE10)</f>
        <v>1.7973333333333334</v>
      </c>
      <c r="AG10" s="142">
        <f>Design!$D$6/3</f>
        <v>0.66666666666666663</v>
      </c>
      <c r="AH10" s="216">
        <f ca="1">IF( 100*(Design!$C$22+AG10*(IF(ISBLANK(Design!$B$35),Constants!$C$6,Design!$B$35)/1000*(1+Constants!$C$36/100*(AQ10-25))+AS10/1000))/($B10-AG10*AR10/1000) &gt; Design!$C$29, Design!$C$29, 100*(Design!$C$22+AG10*(IF(ISBLANK(Design!$B$35),Constants!$C$6,Design!$B$35)/1000*(1+Constants!$C$36/100*(AQ10-25))+AS10/1000))/($B10-AG10*AR10/1000) )</f>
        <v>40.430420971911317</v>
      </c>
      <c r="AI10" s="143">
        <f ca="1">IF(($B10-AG10*IF(ISBLANK(Design!$B$35),Constants!$C$6,Design!$B$35)/1000*(1+Constants!$C$36/100*(AQ10-25))-Design!$C$22)/(IF(ISBLANK(Design!$B$34),Design!$B$33,Design!$B$34)/1000000)*AH10/100/(IF(ISBLANK(Design!$B$26),Design!$B$25,Design!$B$26)*1000000)&lt;0, 0, ($B10-AG10*IF(ISBLANK(Design!$B$35),Constants!$C$6,Design!$B$35)/1000*(1+Constants!$C$36/100*(AQ10-25))-Design!$C$22)/(IF(ISBLANK(Design!$B$34),Design!$B$33,Design!$B$34)/1000000)*AH10/100/(IF(ISBLANK(Design!$B$26),Design!$B$25,Design!$B$26)*1000000))</f>
        <v>0.57118659726143384</v>
      </c>
      <c r="AJ10" s="217">
        <f>$B10*Constants!$C$21/1000+IF(ISBLANK(Design!$B$26),Design!$B$25,Design!$B$26)*1000000*(Constants!$D$26+Constants!$D$27)/1000000000*$B10</f>
        <v>5.2753499999999953E-2</v>
      </c>
      <c r="AK10" s="217">
        <f>$B10*AG10*($B10/(Constants!$C$28*1000000000)*IF(ISBLANK(Design!$B$26),Design!$B$25,Design!$B$26)*1000000/2+$B10/(Constants!$C$29*1000000000)*IF(ISBLANK(Design!$B$26),Design!$B$25,Design!$B$26)*1000000/2)</f>
        <v>4.2827512499999942E-2</v>
      </c>
      <c r="AL10" s="217">
        <f t="shared" ca="1" si="7"/>
        <v>1.6206709910581815E-2</v>
      </c>
      <c r="AM10" s="217">
        <f t="shared" ca="1" si="8"/>
        <v>2.387872457411298E-2</v>
      </c>
      <c r="AN10" s="217">
        <f>2*AG10*Constants!$C$20/1000000000*Constants!$C$25*IF(ISBLANK(Design!$B$26),Design!$B$25,Design!$B$26)*1000000</f>
        <v>2.4E-2</v>
      </c>
      <c r="AO10" s="217">
        <f>(Constants!$D$26+Constants!$D$27)/1000000000*$B10*IF(ISBLANK(Design!$B$26),Design!$B$25,Design!$B$26)*1000000</f>
        <v>4.3498499999999968E-2</v>
      </c>
      <c r="AP10" s="217">
        <f t="shared" ca="1" si="9"/>
        <v>0.20316494698469464</v>
      </c>
      <c r="AQ10" s="218">
        <f ca="1">AP10*Design!$C$12+$A10</f>
        <v>34.751917455265342</v>
      </c>
      <c r="AR10" s="218">
        <f ca="1">Constants!$D$22+Constants!$D$22*Constants!$C$24/100*(AQ10-25)</f>
        <v>84.99298173709586</v>
      </c>
      <c r="AS10" s="218">
        <f ca="1">Constants!$D$23+Constants!$D$23*Constants!$C$24/100*(AQ10-25)</f>
        <v>69.056797661390377</v>
      </c>
      <c r="AT10" s="217">
        <f ca="1">(1-Constants!$C$19/1000000000*Design!$B$26*1000000) * ($B10+AG10*AS10/1000-AG10*AR10/1000) - (AG10*AS10/1000+AG10*(1+($A10-25)*Constants!$C$36/100)*IF(ISBLANK(Design!$B$35),Constants!$C$6/1000,Design!$B$35/1000))</f>
        <v>4.1046837577803137</v>
      </c>
      <c r="AU10" s="311">
        <f ca="1">IF(AT10&gt;Design!$C$22,Design!$C$22,AT10)</f>
        <v>1.7973333333333334</v>
      </c>
    </row>
    <row r="11" spans="1:47" s="144" customFormat="1" ht="12.75" customHeight="1">
      <c r="A11" s="136">
        <v>25</v>
      </c>
      <c r="B11" s="137">
        <f t="shared" si="0"/>
        <v>4.5529999999999973</v>
      </c>
      <c r="C11" s="138">
        <f>Design!$D$6</f>
        <v>2</v>
      </c>
      <c r="D11" s="193">
        <f ca="1">IF( 100*(Design!$C$22+C11*(IF(ISBLANK(Design!$B$35),Constants!$C$6,Design!$B$35)/1000*(1+Constants!$C$36/100*(M11-25))+O11/1000))/($B11-C11*N11/1000) &gt; Design!$C$29, Design!$C$29, 100*(Design!$C$22+C11*(IF(ISBLANK(Design!$B$35),Constants!$C$6,Design!$B$35)/1000*(1+Constants!$C$36/100*(M11-25))+O11/1000))/($B11-C11*N11/1000) )</f>
        <v>45.180572898910683</v>
      </c>
      <c r="E11" s="139">
        <f ca="1">IF(($B11-C11*IF(ISBLANK(Design!$B$35),Constants!$C$6,Design!$B$35)/1000*(1+Constants!$C$36/100*(M11-25))-Design!$C$22)/(IF(ISBLANK(Design!$B$34),Design!$B$33,Design!$B$34)/1000000)*D11/100/(IF(ISBLANK(Design!$B$26),Design!$B$25,Design!$B$26)*1000000)&lt;0, 0, ($B11-C11*IF(ISBLANK(Design!$B$35),Constants!$C$6,Design!$B$35)/1000*(1+Constants!$C$36/100*(M11-25))-Design!$C$22)/(IF(ISBLANK(Design!$B$34),Design!$B$33,Design!$B$34)/1000000)*D11/100/(IF(ISBLANK(Design!$B$26),Design!$B$25,Design!$B$26)*1000000))</f>
        <v>0.61909694897336709</v>
      </c>
      <c r="F11" s="186">
        <f>$B11*Constants!$C$21/1000+IF(ISBLANK(Design!$B$26),Design!$B$25,Design!$B$26)*1000000*(Constants!$D$26+Constants!$D$27)/1000000000*$B11</f>
        <v>5.1904199999999963E-2</v>
      </c>
      <c r="G11" s="186">
        <f>$B11*C11*($B11/(Constants!$C$28*1000000000)*IF(ISBLANK(Design!$B$26),Design!$B$25,Design!$B$26)*1000000/2+$B11/(Constants!$C$29*1000000000)*IF(ISBLANK(Design!$B$26),Design!$B$25,Design!$B$26)*1000000/2)</f>
        <v>0.12437885399999984</v>
      </c>
      <c r="H11" s="186">
        <f t="shared" ca="1" si="1"/>
        <v>0.17622571836632323</v>
      </c>
      <c r="I11" s="186">
        <f t="shared" ca="1" si="2"/>
        <v>0.21382183317893858</v>
      </c>
      <c r="J11" s="186">
        <f>2*C11*Constants!$C$20/1000000000*Constants!$C$25*IF(ISBLANK(Design!$B$26),Design!$B$25,Design!$B$26)*1000000</f>
        <v>7.1999999999999995E-2</v>
      </c>
      <c r="K11" s="186">
        <f>(Constants!$D$26+Constants!$D$27)/1000000000*$B11*IF(ISBLANK(Design!$B$26),Design!$B$25,Design!$B$26)*1000000</f>
        <v>4.2798199999999967E-2</v>
      </c>
      <c r="L11" s="186">
        <f t="shared" ca="1" si="3"/>
        <v>0.68112880554526156</v>
      </c>
      <c r="M11" s="187">
        <f ca="1">L11*Design!$C$12+$A11</f>
        <v>57.694182666172551</v>
      </c>
      <c r="N11" s="187">
        <f ca="1">Constants!$D$22+Constants!$D$22*Constants!$C$24/100*(M11-25)</f>
        <v>96.739421525080346</v>
      </c>
      <c r="O11" s="187">
        <f ca="1">Constants!$D$23+Constants!$D$23*Constants!$C$24/100*(M11-25)</f>
        <v>78.600779989127787</v>
      </c>
      <c r="P11" s="186">
        <f ca="1">(1-Constants!$C$19/1000000000*Design!$B$26*1000000) * ($B11+C11*O11/1000-C11*N11/1000) - (C11*O11/1000+C11*(1+($A11-25)*Constants!$C$36/100)*IF(ISBLANK(Design!$B$35),Constants!$C$6/1000,Design!$B$35/1000))</f>
        <v>3.8944488852570269</v>
      </c>
      <c r="Q11" s="191">
        <f ca="1">IF(P11&gt;Design!$C$22,Design!$C$22,P11)</f>
        <v>1.7973333333333334</v>
      </c>
      <c r="R11" s="201">
        <f>2*Design!$D$6/3</f>
        <v>1.3333333333333333</v>
      </c>
      <c r="S11" s="202">
        <f ca="1">IF( 100*(Design!$C$22+R11*(IF(ISBLANK(Design!$B$35),Constants!$C$6,Design!$B$35)/1000*(1+Constants!$C$36/100*(AB11-25))+AD11/1000))/($B11-R11*AC11/1000) &gt; Design!$C$29, Design!$C$29, 100*(Design!$C$22+R11*(IF(ISBLANK(Design!$B$35),Constants!$C$6,Design!$B$35)/1000*(1+Constants!$C$36/100*(AB11-25))+AD11/1000))/($B11-R11*AC11/1000) )</f>
        <v>42.942122004933005</v>
      </c>
      <c r="T11" s="141">
        <f ca="1">IF(($B11-R11*IF(ISBLANK(Design!$B$35),Constants!$C$6,Design!$B$35)/1000*(1+Constants!$C$36/100*(AB11-25))-Design!$C$22)/(IF(ISBLANK(Design!$B$34),Design!$B$33,Design!$B$34)/1000000)*S11/100/(IF(ISBLANK(Design!$B$26),Design!$B$25,Design!$B$26)*1000000)&lt;0, 0, ($B11-R11*IF(ISBLANK(Design!$B$35),Constants!$C$6,Design!$B$35)/1000*(1+Constants!$C$36/100*(AB11-25))-Design!$C$22)/(IF(ISBLANK(Design!$B$34),Design!$B$33,Design!$B$34)/1000000)*S11/100/(IF(ISBLANK(Design!$B$26),Design!$B$25,Design!$B$26)*1000000))</f>
        <v>0.58961263182646129</v>
      </c>
      <c r="U11" s="203">
        <f>$B11*Constants!$C$21/1000+IF(ISBLANK(Design!$B$26),Design!$B$25,Design!$B$26)*1000000*(Constants!$D$26+Constants!$D$27)/1000000000*$B11</f>
        <v>5.1904199999999963E-2</v>
      </c>
      <c r="V11" s="203">
        <f>$B11*R11*($B11/(Constants!$C$28*1000000000)*IF(ISBLANK(Design!$B$26),Design!$B$25,Design!$B$26)*1000000/2+$B11/(Constants!$C$29*1000000000)*IF(ISBLANK(Design!$B$26),Design!$B$25,Design!$B$26)*1000000/2)</f>
        <v>8.2919235999999882E-2</v>
      </c>
      <c r="W11" s="203">
        <f t="shared" ca="1" si="4"/>
        <v>6.9454463082571374E-2</v>
      </c>
      <c r="X11" s="203">
        <f t="shared" ca="1" si="5"/>
        <v>9.2285245715686776E-2</v>
      </c>
      <c r="Y11" s="203">
        <f>2*R11*Constants!$C$20/1000000000*Constants!$C$25*IF(ISBLANK(Design!$B$26),Design!$B$25,Design!$B$26)*1000000</f>
        <v>4.8000000000000001E-2</v>
      </c>
      <c r="Z11" s="203">
        <f>(Constants!$D$26+Constants!$D$27)/1000000000*$B11*IF(ISBLANK(Design!$B$26),Design!$B$25,Design!$B$26)*1000000</f>
        <v>4.2798199999999967E-2</v>
      </c>
      <c r="AA11" s="203">
        <f t="shared" ca="1" si="6"/>
        <v>0.3873613447982579</v>
      </c>
      <c r="AB11" s="204">
        <f ca="1">AA11*Design!$C$12+$A11</f>
        <v>43.593344550316381</v>
      </c>
      <c r="AC11" s="204">
        <f ca="1">Constants!$D$22+Constants!$D$22*Constants!$C$24/100*(AB11-25)</f>
        <v>89.51979240976199</v>
      </c>
      <c r="AD11" s="204">
        <f ca="1">Constants!$D$23+Constants!$D$23*Constants!$C$24/100*(AB11-25)</f>
        <v>72.73483133293162</v>
      </c>
      <c r="AE11" s="203">
        <f ca="1">(1-Constants!$C$19/1000000000*Design!$B$26*1000000) * ($B11+R11*AD11/1000-R11*AC11/1000) - (R11*AD11/1000+R11*(1+($A11-25)*Constants!$C$36/100)*IF(ISBLANK(Design!$B$35),Constants!$C$6/1000,Design!$B$35/1000))</f>
        <v>3.9716449382638932</v>
      </c>
      <c r="AF11" s="308">
        <f ca="1">IF(AE11&gt;Design!$C$22,Design!$C$22,AE11)</f>
        <v>1.7973333333333334</v>
      </c>
      <c r="AG11" s="142">
        <f>Design!$D$6/3</f>
        <v>0.66666666666666663</v>
      </c>
      <c r="AH11" s="216">
        <f ca="1">IF( 100*(Design!$C$22+AG11*(IF(ISBLANK(Design!$B$35),Constants!$C$6,Design!$B$35)/1000*(1+Constants!$C$36/100*(AQ11-25))+AS11/1000))/($B11-AG11*AR11/1000) &gt; Design!$C$29, Design!$C$29, 100*(Design!$C$22+AG11*(IF(ISBLANK(Design!$B$35),Constants!$C$6,Design!$B$35)/1000*(1+Constants!$C$36/100*(AQ11-25))+AS11/1000))/($B11-AG11*AR11/1000) )</f>
        <v>41.098920777931433</v>
      </c>
      <c r="AI11" s="143">
        <f ca="1">IF(($B11-AG11*IF(ISBLANK(Design!$B$35),Constants!$C$6,Design!$B$35)/1000*(1+Constants!$C$36/100*(AQ11-25))-Design!$C$22)/(IF(ISBLANK(Design!$B$34),Design!$B$33,Design!$B$34)/1000000)*AH11/100/(IF(ISBLANK(Design!$B$26),Design!$B$25,Design!$B$26)*1000000)&lt;0, 0, ($B11-AG11*IF(ISBLANK(Design!$B$35),Constants!$C$6,Design!$B$35)/1000*(1+Constants!$C$36/100*(AQ11-25))-Design!$C$22)/(IF(ISBLANK(Design!$B$34),Design!$B$33,Design!$B$34)/1000000)*AH11/100/(IF(ISBLANK(Design!$B$26),Design!$B$25,Design!$B$26)*1000000))</f>
        <v>0.56532209593978033</v>
      </c>
      <c r="AJ11" s="217">
        <f>$B11*Constants!$C$21/1000+IF(ISBLANK(Design!$B$26),Design!$B$25,Design!$B$26)*1000000*(Constants!$D$26+Constants!$D$27)/1000000000*$B11</f>
        <v>5.1904199999999963E-2</v>
      </c>
      <c r="AK11" s="217">
        <f>$B11*AG11*($B11/(Constants!$C$28*1000000000)*IF(ISBLANK(Design!$B$26),Design!$B$25,Design!$B$26)*1000000/2+$B11/(Constants!$C$29*1000000000)*IF(ISBLANK(Design!$B$26),Design!$B$25,Design!$B$26)*1000000/2)</f>
        <v>4.1459617999999941E-2</v>
      </c>
      <c r="AL11" s="217">
        <f t="shared" ca="1" si="7"/>
        <v>1.6441007862700141E-2</v>
      </c>
      <c r="AM11" s="217">
        <f t="shared" ca="1" si="8"/>
        <v>2.3562494787735252E-2</v>
      </c>
      <c r="AN11" s="217">
        <f>2*AG11*Constants!$C$20/1000000000*Constants!$C$25*IF(ISBLANK(Design!$B$26),Design!$B$25,Design!$B$26)*1000000</f>
        <v>2.4E-2</v>
      </c>
      <c r="AO11" s="217">
        <f>(Constants!$D$26+Constants!$D$27)/1000000000*$B11*IF(ISBLANK(Design!$B$26),Design!$B$25,Design!$B$26)*1000000</f>
        <v>4.2798199999999967E-2</v>
      </c>
      <c r="AP11" s="217">
        <f t="shared" ca="1" si="9"/>
        <v>0.20016552065043525</v>
      </c>
      <c r="AQ11" s="218">
        <f ca="1">AP11*Design!$C$12+$A11</f>
        <v>34.60794499122089</v>
      </c>
      <c r="AR11" s="218">
        <f ca="1">Constants!$D$22+Constants!$D$22*Constants!$C$24/100*(AQ11-25)</f>
        <v>84.919267835505096</v>
      </c>
      <c r="AS11" s="218">
        <f ca="1">Constants!$D$23+Constants!$D$23*Constants!$C$24/100*(AQ11-25)</f>
        <v>68.996905116347889</v>
      </c>
      <c r="AT11" s="217">
        <f ca="1">(1-Constants!$C$19/1000000000*Design!$B$26*1000000) * ($B11+AG11*AS11/1000-AG11*AR11/1000) - (AG11*AS11/1000+AG11*(1+($A11-25)*Constants!$C$36/100)*IF(ISBLANK(Design!$B$35),Constants!$C$6/1000,Design!$B$35/1000))</f>
        <v>4.0376819789576048</v>
      </c>
      <c r="AU11" s="311">
        <f ca="1">IF(AT11&gt;Design!$C$22,Design!$C$22,AT11)</f>
        <v>1.7973333333333334</v>
      </c>
    </row>
    <row r="12" spans="1:47" s="144" customFormat="1" ht="12.75" customHeight="1">
      <c r="A12" s="136">
        <v>25</v>
      </c>
      <c r="B12" s="137">
        <f t="shared" si="0"/>
        <v>4.4784999999999977</v>
      </c>
      <c r="C12" s="138">
        <f>Design!$D$6</f>
        <v>2</v>
      </c>
      <c r="D12" s="193">
        <f ca="1">IF( 100*(Design!$C$22+C12*(IF(ISBLANK(Design!$B$35),Constants!$C$6,Design!$B$35)/1000*(1+Constants!$C$36/100*(M12-25))+O12/1000))/($B12-C12*N12/1000) &gt; Design!$C$29, Design!$C$29, 100*(Design!$C$22+C12*(IF(ISBLANK(Design!$B$35),Constants!$C$6,Design!$B$35)/1000*(1+Constants!$C$36/100*(M12-25))+O12/1000))/($B12-C12*N12/1000) )</f>
        <v>45.956566445580371</v>
      </c>
      <c r="E12" s="139">
        <f ca="1">IF(($B12-C12*IF(ISBLANK(Design!$B$35),Constants!$C$6,Design!$B$35)/1000*(1+Constants!$C$36/100*(M12-25))-Design!$C$22)/(IF(ISBLANK(Design!$B$34),Design!$B$33,Design!$B$34)/1000000)*D12/100/(IF(ISBLANK(Design!$B$26),Design!$B$25,Design!$B$26)*1000000)&lt;0, 0, ($B12-C12*IF(ISBLANK(Design!$B$35),Constants!$C$6,Design!$B$35)/1000*(1+Constants!$C$36/100*(M12-25))-Design!$C$22)/(IF(ISBLANK(Design!$B$34),Design!$B$33,Design!$B$34)/1000000)*D12/100/(IF(ISBLANK(Design!$B$26),Design!$B$25,Design!$B$26)*1000000))</f>
        <v>0.61261499715642098</v>
      </c>
      <c r="F12" s="186">
        <f>$B12*Constants!$C$21/1000+IF(ISBLANK(Design!$B$26),Design!$B$25,Design!$B$26)*1000000*(Constants!$D$26+Constants!$D$27)/1000000000*$B12</f>
        <v>5.1054899999999973E-2</v>
      </c>
      <c r="G12" s="186">
        <f>$B12*C12*($B12/(Constants!$C$28*1000000000)*IF(ISBLANK(Design!$B$26),Design!$B$25,Design!$B$26)*1000000/2+$B12/(Constants!$C$29*1000000000)*IF(ISBLANK(Design!$B$26),Design!$B$25,Design!$B$26)*1000000/2)</f>
        <v>0.12034177349999989</v>
      </c>
      <c r="H12" s="186">
        <f t="shared" ca="1" si="1"/>
        <v>0.17893729505153727</v>
      </c>
      <c r="I12" s="186">
        <f t="shared" ca="1" si="2"/>
        <v>0.21042446299761225</v>
      </c>
      <c r="J12" s="186">
        <f>2*C12*Constants!$C$20/1000000000*Constants!$C$25*IF(ISBLANK(Design!$B$26),Design!$B$25,Design!$B$26)*1000000</f>
        <v>7.1999999999999995E-2</v>
      </c>
      <c r="K12" s="186">
        <f>(Constants!$D$26+Constants!$D$27)/1000000000*$B12*IF(ISBLANK(Design!$B$26),Design!$B$25,Design!$B$26)*1000000</f>
        <v>4.2097899999999973E-2</v>
      </c>
      <c r="L12" s="186">
        <f t="shared" ca="1" si="3"/>
        <v>0.67485633154914937</v>
      </c>
      <c r="M12" s="187">
        <f ca="1">L12*Design!$C$12+$A12</f>
        <v>57.393103914359173</v>
      </c>
      <c r="N12" s="187">
        <f ca="1">Constants!$D$22+Constants!$D$22*Constants!$C$24/100*(M12-25)</f>
        <v>96.585269204151899</v>
      </c>
      <c r="O12" s="187">
        <f ca="1">Constants!$D$23+Constants!$D$23*Constants!$C$24/100*(M12-25)</f>
        <v>78.475531228373413</v>
      </c>
      <c r="P12" s="186">
        <f ca="1">(1-Constants!$C$19/1000000000*Design!$B$26*1000000) * ($B12+C12*O12/1000-C12*N12/1000) - (C12*O12/1000+C12*(1+($A12-25)*Constants!$C$36/100)*IF(ISBLANK(Design!$B$35),Constants!$C$6/1000,Design!$B$35/1000))</f>
        <v>3.8277014091868495</v>
      </c>
      <c r="Q12" s="191">
        <f ca="1">IF(P12&gt;Design!$C$22,Design!$C$22,P12)</f>
        <v>1.7973333333333334</v>
      </c>
      <c r="R12" s="201">
        <f>2*Design!$D$6/3</f>
        <v>1.3333333333333333</v>
      </c>
      <c r="S12" s="202">
        <f ca="1">IF( 100*(Design!$C$22+R12*(IF(ISBLANK(Design!$B$35),Constants!$C$6,Design!$B$35)/1000*(1+Constants!$C$36/100*(AB12-25))+AD12/1000))/($B12-R12*AC12/1000) &gt; Design!$C$29, Design!$C$29, 100*(Design!$C$22+R12*(IF(ISBLANK(Design!$B$35),Constants!$C$6,Design!$B$35)/1000*(1+Constants!$C$36/100*(AB12-25))+AD12/1000))/($B12-R12*AC12/1000) )</f>
        <v>43.671630474059569</v>
      </c>
      <c r="T12" s="141">
        <f ca="1">IF(($B12-R12*IF(ISBLANK(Design!$B$35),Constants!$C$6,Design!$B$35)/1000*(1+Constants!$C$36/100*(AB12-25))-Design!$C$22)/(IF(ISBLANK(Design!$B$34),Design!$B$33,Design!$B$34)/1000000)*S12/100/(IF(ISBLANK(Design!$B$26),Design!$B$25,Design!$B$26)*1000000)&lt;0, 0, ($B12-R12*IF(ISBLANK(Design!$B$35),Constants!$C$6,Design!$B$35)/1000*(1+Constants!$C$36/100*(AB12-25))-Design!$C$22)/(IF(ISBLANK(Design!$B$34),Design!$B$33,Design!$B$34)/1000000)*S12/100/(IF(ISBLANK(Design!$B$26),Design!$B$25,Design!$B$26)*1000000))</f>
        <v>0.58336304871234212</v>
      </c>
      <c r="U12" s="203">
        <f>$B12*Constants!$C$21/1000+IF(ISBLANK(Design!$B$26),Design!$B$25,Design!$B$26)*1000000*(Constants!$D$26+Constants!$D$27)/1000000000*$B12</f>
        <v>5.1054899999999973E-2</v>
      </c>
      <c r="V12" s="203">
        <f>$B12*R12*($B12/(Constants!$C$28*1000000000)*IF(ISBLANK(Design!$B$26),Design!$B$25,Design!$B$26)*1000000/2+$B12/(Constants!$C$29*1000000000)*IF(ISBLANK(Design!$B$26),Design!$B$25,Design!$B$26)*1000000/2)</f>
        <v>8.0227848999999921E-2</v>
      </c>
      <c r="W12" s="203">
        <f t="shared" ca="1" si="4"/>
        <v>7.0523346949011106E-2</v>
      </c>
      <c r="X12" s="203">
        <f t="shared" ca="1" si="5"/>
        <v>9.0962144166098838E-2</v>
      </c>
      <c r="Y12" s="203">
        <f>2*R12*Constants!$C$20/1000000000*Constants!$C$25*IF(ISBLANK(Design!$B$26),Design!$B$25,Design!$B$26)*1000000</f>
        <v>4.8000000000000001E-2</v>
      </c>
      <c r="Z12" s="203">
        <f>(Constants!$D$26+Constants!$D$27)/1000000000*$B12*IF(ISBLANK(Design!$B$26),Design!$B$25,Design!$B$26)*1000000</f>
        <v>4.2097899999999973E-2</v>
      </c>
      <c r="AA12" s="203">
        <f t="shared" ca="1" si="6"/>
        <v>0.38286614011510978</v>
      </c>
      <c r="AB12" s="204">
        <f ca="1">AA12*Design!$C$12+$A12</f>
        <v>43.377574725525271</v>
      </c>
      <c r="AC12" s="204">
        <f ca="1">Constants!$D$22+Constants!$D$22*Constants!$C$24/100*(AB12-25)</f>
        <v>89.409318259468932</v>
      </c>
      <c r="AD12" s="204">
        <f ca="1">Constants!$D$23+Constants!$D$23*Constants!$C$24/100*(AB12-25)</f>
        <v>72.645071085818515</v>
      </c>
      <c r="AE12" s="203">
        <f ca="1">(1-Constants!$C$19/1000000000*Design!$B$26*1000000) * ($B12+R12*AD12/1000-R12*AC12/1000) - (R12*AD12/1000+R12*(1+($A12-25)*Constants!$C$36/100)*IF(ISBLANK(Design!$B$35),Constants!$C$6/1000,Design!$B$35/1000))</f>
        <v>3.9047394752771925</v>
      </c>
      <c r="AF12" s="308">
        <f ca="1">IF(AE12&gt;Design!$C$22,Design!$C$22,AE12)</f>
        <v>1.7973333333333334</v>
      </c>
      <c r="AG12" s="142">
        <f>Design!$D$6/3</f>
        <v>0.66666666666666663</v>
      </c>
      <c r="AH12" s="216">
        <f ca="1">IF( 100*(Design!$C$22+AG12*(IF(ISBLANK(Design!$B$35),Constants!$C$6,Design!$B$35)/1000*(1+Constants!$C$36/100*(AQ12-25))+AS12/1000))/($B12-AG12*AR12/1000) &gt; Design!$C$29, Design!$C$29, 100*(Design!$C$22+AG12*(IF(ISBLANK(Design!$B$35),Constants!$C$6,Design!$B$35)/1000*(1+Constants!$C$36/100*(AQ12-25))+AS12/1000))/($B12-AG12*AR12/1000) )</f>
        <v>41.789941451339885</v>
      </c>
      <c r="AI12" s="143">
        <f ca="1">IF(($B12-AG12*IF(ISBLANK(Design!$B$35),Constants!$C$6,Design!$B$35)/1000*(1+Constants!$C$36/100*(AQ12-25))-Design!$C$22)/(IF(ISBLANK(Design!$B$34),Design!$B$33,Design!$B$34)/1000000)*AH12/100/(IF(ISBLANK(Design!$B$26),Design!$B$25,Design!$B$26)*1000000)&lt;0, 0, ($B12-AG12*IF(ISBLANK(Design!$B$35),Constants!$C$6,Design!$B$35)/1000*(1+Constants!$C$36/100*(AQ12-25))-Design!$C$22)/(IF(ISBLANK(Design!$B$34),Design!$B$33,Design!$B$34)/1000000)*AH12/100/(IF(ISBLANK(Design!$B$26),Design!$B$25,Design!$B$26)*1000000))</f>
        <v>0.55926096470065723</v>
      </c>
      <c r="AJ12" s="217">
        <f>$B12*Constants!$C$21/1000+IF(ISBLANK(Design!$B$26),Design!$B$25,Design!$B$26)*1000000*(Constants!$D$26+Constants!$D$27)/1000000000*$B12</f>
        <v>5.1054899999999973E-2</v>
      </c>
      <c r="AK12" s="217">
        <f>$B12*AG12*($B12/(Constants!$C$28*1000000000)*IF(ISBLANK(Design!$B$26),Design!$B$25,Design!$B$26)*1000000/2+$B12/(Constants!$C$29*1000000000)*IF(ISBLANK(Design!$B$26),Design!$B$25,Design!$B$26)*1000000/2)</f>
        <v>4.011392449999996E-2</v>
      </c>
      <c r="AL12" s="217">
        <f t="shared" ca="1" si="7"/>
        <v>1.6682892276608446E-2</v>
      </c>
      <c r="AM12" s="217">
        <f t="shared" ca="1" si="8"/>
        <v>2.3237939620306194E-2</v>
      </c>
      <c r="AN12" s="217">
        <f>2*AG12*Constants!$C$20/1000000000*Constants!$C$25*IF(ISBLANK(Design!$B$26),Design!$B$25,Design!$B$26)*1000000</f>
        <v>2.4E-2</v>
      </c>
      <c r="AO12" s="217">
        <f>(Constants!$D$26+Constants!$D$27)/1000000000*$B12*IF(ISBLANK(Design!$B$26),Design!$B$25,Design!$B$26)*1000000</f>
        <v>4.2097899999999973E-2</v>
      </c>
      <c r="AP12" s="217">
        <f t="shared" ca="1" si="9"/>
        <v>0.19718755639691454</v>
      </c>
      <c r="AQ12" s="218">
        <f ca="1">AP12*Design!$C$12+$A12</f>
        <v>34.465002707051895</v>
      </c>
      <c r="AR12" s="218">
        <f ca="1">Constants!$D$22+Constants!$D$22*Constants!$C$24/100*(AQ12-25)</f>
        <v>84.846081386010567</v>
      </c>
      <c r="AS12" s="218">
        <f ca="1">Constants!$D$23+Constants!$D$23*Constants!$C$24/100*(AQ12-25)</f>
        <v>68.937441126133592</v>
      </c>
      <c r="AT12" s="217">
        <f ca="1">(1-Constants!$C$19/1000000000*Design!$B$26*1000000) * ($B12+AG12*AS12/1000-AG12*AR12/1000) - (AG12*AS12/1000+AG12*(1+($A12-25)*Constants!$C$36/100)*IF(ISBLANK(Design!$B$35),Constants!$C$6/1000,Design!$B$35/1000))</f>
        <v>3.9706798550933158</v>
      </c>
      <c r="AU12" s="311">
        <f ca="1">IF(AT12&gt;Design!$C$22,Design!$C$22,AT12)</f>
        <v>1.7973333333333334</v>
      </c>
    </row>
    <row r="13" spans="1:47" s="144" customFormat="1" ht="12.75" customHeight="1">
      <c r="A13" s="136">
        <v>25</v>
      </c>
      <c r="B13" s="137">
        <f t="shared" si="0"/>
        <v>4.4039999999999981</v>
      </c>
      <c r="C13" s="138">
        <f>Design!$D$6</f>
        <v>2</v>
      </c>
      <c r="D13" s="193">
        <f ca="1">IF( 100*(Design!$C$22+C13*(IF(ISBLANK(Design!$B$35),Constants!$C$6,Design!$B$35)/1000*(1+Constants!$C$36/100*(M13-25))+O13/1000))/($B13-C13*N13/1000) &gt; Design!$C$29, Design!$C$29, 100*(Design!$C$22+C13*(IF(ISBLANK(Design!$B$35),Constants!$C$6,Design!$B$35)/1000*(1+Constants!$C$36/100*(M13-25))+O13/1000))/($B13-C13*N13/1000) )</f>
        <v>46.760015528766871</v>
      </c>
      <c r="E13" s="139">
        <f ca="1">IF(($B13-C13*IF(ISBLANK(Design!$B$35),Constants!$C$6,Design!$B$35)/1000*(1+Constants!$C$36/100*(M13-25))-Design!$C$22)/(IF(ISBLANK(Design!$B$34),Design!$B$33,Design!$B$34)/1000000)*D13/100/(IF(ISBLANK(Design!$B$26),Design!$B$25,Design!$B$26)*1000000)&lt;0, 0, ($B13-C13*IF(ISBLANK(Design!$B$35),Constants!$C$6,Design!$B$35)/1000*(1+Constants!$C$36/100*(M13-25))-Design!$C$22)/(IF(ISBLANK(Design!$B$34),Design!$B$33,Design!$B$34)/1000000)*D13/100/(IF(ISBLANK(Design!$B$26),Design!$B$25,Design!$B$26)*1000000))</f>
        <v>0.60591077597192433</v>
      </c>
      <c r="F13" s="186">
        <f>$B13*Constants!$C$21/1000+IF(ISBLANK(Design!$B$26),Design!$B$25,Design!$B$26)*1000000*(Constants!$D$26+Constants!$D$27)/1000000000*$B13</f>
        <v>5.0205599999999975E-2</v>
      </c>
      <c r="G13" s="186">
        <f>$B13*C13*($B13/(Constants!$C$28*1000000000)*IF(ISBLANK(Design!$B$26),Design!$B$25,Design!$B$26)*1000000/2+$B13/(Constants!$C$29*1000000000)*IF(ISBLANK(Design!$B$26),Design!$B$25,Design!$B$26)*1000000/2)</f>
        <v>0.1163712959999999</v>
      </c>
      <c r="H13" s="186">
        <f t="shared" ca="1" si="1"/>
        <v>0.18174769885276784</v>
      </c>
      <c r="I13" s="186">
        <f t="shared" ca="1" si="2"/>
        <v>0.20693416277098683</v>
      </c>
      <c r="J13" s="186">
        <f>2*C13*Constants!$C$20/1000000000*Constants!$C$25*IF(ISBLANK(Design!$B$26),Design!$B$25,Design!$B$26)*1000000</f>
        <v>7.1999999999999995E-2</v>
      </c>
      <c r="K13" s="186">
        <f>(Constants!$D$26+Constants!$D$27)/1000000000*$B13*IF(ISBLANK(Design!$B$26),Design!$B$25,Design!$B$26)*1000000</f>
        <v>4.1397599999999979E-2</v>
      </c>
      <c r="L13" s="186">
        <f t="shared" ca="1" si="3"/>
        <v>0.66865635762375453</v>
      </c>
      <c r="M13" s="187">
        <f ca="1">L13*Design!$C$12+$A13</f>
        <v>57.095505165940217</v>
      </c>
      <c r="N13" s="187">
        <f ca="1">Constants!$D$22+Constants!$D$22*Constants!$C$24/100*(M13-25)</f>
        <v>96.432898644961398</v>
      </c>
      <c r="O13" s="187">
        <f ca="1">Constants!$D$23+Constants!$D$23*Constants!$C$24/100*(M13-25)</f>
        <v>78.351730149031127</v>
      </c>
      <c r="P13" s="186">
        <f ca="1">(1-Constants!$C$19/1000000000*Design!$B$26*1000000) * ($B13+C13*O13/1000-C13*N13/1000) - (C13*O13/1000+C13*(1+($A13-25)*Constants!$C$36/100)*IF(ISBLANK(Design!$B$35),Constants!$C$6/1000,Design!$B$35/1000))</f>
        <v>3.7609504364092619</v>
      </c>
      <c r="Q13" s="191">
        <f ca="1">IF(P13&gt;Design!$C$22,Design!$C$22,P13)</f>
        <v>1.7973333333333334</v>
      </c>
      <c r="R13" s="201">
        <f>2*Design!$D$6/3</f>
        <v>1.3333333333333333</v>
      </c>
      <c r="S13" s="202">
        <f ca="1">IF( 100*(Design!$C$22+R13*(IF(ISBLANK(Design!$B$35),Constants!$C$6,Design!$B$35)/1000*(1+Constants!$C$36/100*(AB13-25))+AD13/1000))/($B13-R13*AC13/1000) &gt; Design!$C$29, Design!$C$29, 100*(Design!$C$22+R13*(IF(ISBLANK(Design!$B$35),Constants!$C$6,Design!$B$35)/1000*(1+Constants!$C$36/100*(AB13-25))+AD13/1000))/($B13-R13*AC13/1000) )</f>
        <v>44.426501286872281</v>
      </c>
      <c r="T13" s="141">
        <f ca="1">IF(($B13-R13*IF(ISBLANK(Design!$B$35),Constants!$C$6,Design!$B$35)/1000*(1+Constants!$C$36/100*(AB13-25))-Design!$C$22)/(IF(ISBLANK(Design!$B$34),Design!$B$33,Design!$B$34)/1000000)*S13/100/(IF(ISBLANK(Design!$B$26),Design!$B$25,Design!$B$26)*1000000)&lt;0, 0, ($B13-R13*IF(ISBLANK(Design!$B$35),Constants!$C$6,Design!$B$35)/1000*(1+Constants!$C$36/100*(AB13-25))-Design!$C$22)/(IF(ISBLANK(Design!$B$34),Design!$B$33,Design!$B$34)/1000000)*S13/100/(IF(ISBLANK(Design!$B$26),Design!$B$25,Design!$B$26)*1000000))</f>
        <v>0.57689936226724392</v>
      </c>
      <c r="U13" s="203">
        <f>$B13*Constants!$C$21/1000+IF(ISBLANK(Design!$B$26),Design!$B$25,Design!$B$26)*1000000*(Constants!$D$26+Constants!$D$27)/1000000000*$B13</f>
        <v>5.0205599999999975E-2</v>
      </c>
      <c r="V13" s="203">
        <f>$B13*R13*($B13/(Constants!$C$28*1000000000)*IF(ISBLANK(Design!$B$26),Design!$B$25,Design!$B$26)*1000000/2+$B13/(Constants!$C$29*1000000000)*IF(ISBLANK(Design!$B$26),Design!$B$25,Design!$B$26)*1000000/2)</f>
        <v>7.758086399999993E-2</v>
      </c>
      <c r="W13" s="203">
        <f t="shared" ca="1" si="4"/>
        <v>7.1629807920417218E-2</v>
      </c>
      <c r="X13" s="203">
        <f t="shared" ca="1" si="5"/>
        <v>8.9602352716961889E-2</v>
      </c>
      <c r="Y13" s="203">
        <f>2*R13*Constants!$C$20/1000000000*Constants!$C$25*IF(ISBLANK(Design!$B$26),Design!$B$25,Design!$B$26)*1000000</f>
        <v>4.8000000000000001E-2</v>
      </c>
      <c r="Z13" s="203">
        <f>(Constants!$D$26+Constants!$D$27)/1000000000*$B13*IF(ISBLANK(Design!$B$26),Design!$B$25,Design!$B$26)*1000000</f>
        <v>4.1397599999999979E-2</v>
      </c>
      <c r="AA13" s="203">
        <f t="shared" ca="1" si="6"/>
        <v>0.37841622463737895</v>
      </c>
      <c r="AB13" s="204">
        <f ca="1">AA13*Design!$C$12+$A13</f>
        <v>43.163978782594185</v>
      </c>
      <c r="AC13" s="204">
        <f ca="1">Constants!$D$22+Constants!$D$22*Constants!$C$24/100*(AB13-25)</f>
        <v>89.299957136688221</v>
      </c>
      <c r="AD13" s="204">
        <f ca="1">Constants!$D$23+Constants!$D$23*Constants!$C$24/100*(AB13-25)</f>
        <v>72.556215173559181</v>
      </c>
      <c r="AE13" s="203">
        <f ca="1">(1-Constants!$C$19/1000000000*Design!$B$26*1000000) * ($B13+R13*AD13/1000-R13*AC13/1000) - (R13*AD13/1000+R13*(1+($A13-25)*Constants!$C$36/100)*IF(ISBLANK(Design!$B$35),Constants!$C$6/1000,Design!$B$35/1000))</f>
        <v>3.837832556079499</v>
      </c>
      <c r="AF13" s="308">
        <f ca="1">IF(AE13&gt;Design!$C$22,Design!$C$22,AE13)</f>
        <v>1.7973333333333334</v>
      </c>
      <c r="AG13" s="142">
        <f>Design!$D$6/3</f>
        <v>0.66666666666666663</v>
      </c>
      <c r="AH13" s="216">
        <f ca="1">IF( 100*(Design!$C$22+AG13*(IF(ISBLANK(Design!$B$35),Constants!$C$6,Design!$B$35)/1000*(1+Constants!$C$36/100*(AQ13-25))+AS13/1000))/($B13-AG13*AR13/1000) &gt; Design!$C$29, Design!$C$29, 100*(Design!$C$22+AG13*(IF(ISBLANK(Design!$B$35),Constants!$C$6,Design!$B$35)/1000*(1+Constants!$C$36/100*(AQ13-25))+AS13/1000))/($B13-AG13*AR13/1000) )</f>
        <v>42.504640164666689</v>
      </c>
      <c r="AI13" s="143">
        <f ca="1">IF(($B13-AG13*IF(ISBLANK(Design!$B$35),Constants!$C$6,Design!$B$35)/1000*(1+Constants!$C$36/100*(AQ13-25))-Design!$C$22)/(IF(ISBLANK(Design!$B$34),Design!$B$33,Design!$B$34)/1000000)*AH13/100/(IF(ISBLANK(Design!$B$26),Design!$B$25,Design!$B$26)*1000000)&lt;0, 0, ($B13-AG13*IF(ISBLANK(Design!$B$35),Constants!$C$6,Design!$B$35)/1000*(1+Constants!$C$36/100*(AQ13-25))-Design!$C$22)/(IF(ISBLANK(Design!$B$34),Design!$B$33,Design!$B$34)/1000000)*AH13/100/(IF(ISBLANK(Design!$B$26),Design!$B$25,Design!$B$26)*1000000))</f>
        <v>0.55299309216466697</v>
      </c>
      <c r="AJ13" s="217">
        <f>$B13*Constants!$C$21/1000+IF(ISBLANK(Design!$B$26),Design!$B$25,Design!$B$26)*1000000*(Constants!$D$26+Constants!$D$27)/1000000000*$B13</f>
        <v>5.0205599999999975E-2</v>
      </c>
      <c r="AK13" s="217">
        <f>$B13*AG13*($B13/(Constants!$C$28*1000000000)*IF(ISBLANK(Design!$B$26),Design!$B$25,Design!$B$26)*1000000/2+$B13/(Constants!$C$29*1000000000)*IF(ISBLANK(Design!$B$26),Design!$B$25,Design!$B$26)*1000000/2)</f>
        <v>3.8790431999999965E-2</v>
      </c>
      <c r="AL13" s="217">
        <f t="shared" ca="1" si="7"/>
        <v>1.6932741520780451E-2</v>
      </c>
      <c r="AM13" s="217">
        <f t="shared" ca="1" si="8"/>
        <v>2.2904653773431028E-2</v>
      </c>
      <c r="AN13" s="217">
        <f>2*AG13*Constants!$C$20/1000000000*Constants!$C$25*IF(ISBLANK(Design!$B$26),Design!$B$25,Design!$B$26)*1000000</f>
        <v>2.4E-2</v>
      </c>
      <c r="AO13" s="217">
        <f>(Constants!$D$26+Constants!$D$27)/1000000000*$B13*IF(ISBLANK(Design!$B$26),Design!$B$25,Design!$B$26)*1000000</f>
        <v>4.1397599999999979E-2</v>
      </c>
      <c r="AP13" s="217">
        <f t="shared" ca="1" si="9"/>
        <v>0.19423102729421141</v>
      </c>
      <c r="AQ13" s="218">
        <f ca="1">AP13*Design!$C$12+$A13</f>
        <v>34.32308931012215</v>
      </c>
      <c r="AR13" s="218">
        <f ca="1">Constants!$D$22+Constants!$D$22*Constants!$C$24/100*(AQ13-25)</f>
        <v>84.773421726782544</v>
      </c>
      <c r="AS13" s="218">
        <f ca="1">Constants!$D$23+Constants!$D$23*Constants!$C$24/100*(AQ13-25)</f>
        <v>68.878405153010817</v>
      </c>
      <c r="AT13" s="217">
        <f ca="1">(1-Constants!$C$19/1000000000*Design!$B$26*1000000) * ($B13+AG13*AS13/1000-AG13*AR13/1000) - (AG13*AS13/1000+AG13*(1+($A13-25)*Constants!$C$36/100)*IF(ISBLANK(Design!$B$35),Constants!$C$6/1000,Design!$B$35/1000))</f>
        <v>3.903677386620394</v>
      </c>
      <c r="AU13" s="311">
        <f ca="1">IF(AT13&gt;Design!$C$22,Design!$C$22,AT13)</f>
        <v>1.7973333333333334</v>
      </c>
    </row>
    <row r="14" spans="1:47" s="144" customFormat="1" ht="12.75" customHeight="1">
      <c r="A14" s="136">
        <v>25</v>
      </c>
      <c r="B14" s="137">
        <f t="shared" si="0"/>
        <v>4.3294999999999986</v>
      </c>
      <c r="C14" s="138">
        <f>Design!$D$6</f>
        <v>2</v>
      </c>
      <c r="D14" s="193">
        <f ca="1">IF( 100*(Design!$C$22+C14*(IF(ISBLANK(Design!$B$35),Constants!$C$6,Design!$B$35)/1000*(1+Constants!$C$36/100*(M14-25))+O14/1000))/($B14-C14*N14/1000) &gt; Design!$C$29, Design!$C$29, 100*(Design!$C$22+C14*(IF(ISBLANK(Design!$B$35),Constants!$C$6,Design!$B$35)/1000*(1+Constants!$C$36/100*(M14-25))+O14/1000))/($B14-C14*N14/1000) )</f>
        <v>47.592399384359261</v>
      </c>
      <c r="E14" s="139">
        <f ca="1">IF(($B14-C14*IF(ISBLANK(Design!$B$35),Constants!$C$6,Design!$B$35)/1000*(1+Constants!$C$36/100*(M14-25))-Design!$C$22)/(IF(ISBLANK(Design!$B$34),Design!$B$33,Design!$B$34)/1000000)*D14/100/(IF(ISBLANK(Design!$B$26),Design!$B$25,Design!$B$26)*1000000)&lt;0, 0, ($B14-C14*IF(ISBLANK(Design!$B$35),Constants!$C$6,Design!$B$35)/1000*(1+Constants!$C$36/100*(M14-25))-Design!$C$22)/(IF(ISBLANK(Design!$B$34),Design!$B$33,Design!$B$34)/1000000)*D14/100/(IF(ISBLANK(Design!$B$26),Design!$B$25,Design!$B$26)*1000000))</f>
        <v>0.59897222499437741</v>
      </c>
      <c r="F14" s="186">
        <f>$B14*Constants!$C$21/1000+IF(ISBLANK(Design!$B$26),Design!$B$25,Design!$B$26)*1000000*(Constants!$D$26+Constants!$D$27)/1000000000*$B14</f>
        <v>4.9356299999999978E-2</v>
      </c>
      <c r="G14" s="186">
        <f>$B14*C14*($B14/(Constants!$C$28*1000000000)*IF(ISBLANK(Design!$B$26),Design!$B$25,Design!$B$26)*1000000/2+$B14/(Constants!$C$29*1000000000)*IF(ISBLANK(Design!$B$26),Design!$B$25,Design!$B$26)*1000000/2)</f>
        <v>0.11246742149999991</v>
      </c>
      <c r="H14" s="186">
        <f t="shared" ca="1" si="1"/>
        <v>0.18466222992097231</v>
      </c>
      <c r="I14" s="186">
        <f t="shared" ca="1" si="2"/>
        <v>0.20334558710381845</v>
      </c>
      <c r="J14" s="186">
        <f>2*C14*Constants!$C$20/1000000000*Constants!$C$25*IF(ISBLANK(Design!$B$26),Design!$B$25,Design!$B$26)*1000000</f>
        <v>7.1999999999999995E-2</v>
      </c>
      <c r="K14" s="186">
        <f>(Constants!$D$26+Constants!$D$27)/1000000000*$B14*IF(ISBLANK(Design!$B$26),Design!$B$25,Design!$B$26)*1000000</f>
        <v>4.0697299999999978E-2</v>
      </c>
      <c r="L14" s="186">
        <f t="shared" ca="1" si="3"/>
        <v>0.66252883852479061</v>
      </c>
      <c r="M14" s="187">
        <f ca="1">L14*Design!$C$12+$A14</f>
        <v>56.801384249189951</v>
      </c>
      <c r="N14" s="187">
        <f ca="1">Constants!$D$22+Constants!$D$22*Constants!$C$24/100*(M14-25)</f>
        <v>96.282308735585246</v>
      </c>
      <c r="O14" s="187">
        <f ca="1">Constants!$D$23+Constants!$D$23*Constants!$C$24/100*(M14-25)</f>
        <v>78.229375847663022</v>
      </c>
      <c r="P14" s="186">
        <f ca="1">(1-Constants!$C$19/1000000000*Design!$B$26*1000000) * ($B14+C14*O14/1000-C14*N14/1000) - (C14*O14/1000+C14*(1+($A14-25)*Constants!$C$36/100)*IF(ISBLANK(Design!$B$35),Constants!$C$6/1000,Design!$B$35/1000))</f>
        <v>3.694195969106413</v>
      </c>
      <c r="Q14" s="191">
        <f ca="1">IF(P14&gt;Design!$C$22,Design!$C$22,P14)</f>
        <v>1.7973333333333334</v>
      </c>
      <c r="R14" s="201">
        <f>2*Design!$D$6/3</f>
        <v>1.3333333333333333</v>
      </c>
      <c r="S14" s="202">
        <f ca="1">IF( 100*(Design!$C$22+R14*(IF(ISBLANK(Design!$B$35),Constants!$C$6,Design!$B$35)/1000*(1+Constants!$C$36/100*(AB14-25))+AD14/1000))/($B14-R14*AC14/1000) &gt; Design!$C$29, Design!$C$29, 100*(Design!$C$22+R14*(IF(ISBLANK(Design!$B$35),Constants!$C$6,Design!$B$35)/1000*(1+Constants!$C$36/100*(AB14-25))+AD14/1000))/($B14-R14*AC14/1000) )</f>
        <v>45.208078820517365</v>
      </c>
      <c r="T14" s="141">
        <f ca="1">IF(($B14-R14*IF(ISBLANK(Design!$B$35),Constants!$C$6,Design!$B$35)/1000*(1+Constants!$C$36/100*(AB14-25))-Design!$C$22)/(IF(ISBLANK(Design!$B$34),Design!$B$33,Design!$B$34)/1000000)*S14/100/(IF(ISBLANK(Design!$B$26),Design!$B$25,Design!$B$26)*1000000)&lt;0, 0, ($B14-R14*IF(ISBLANK(Design!$B$35),Constants!$C$6,Design!$B$35)/1000*(1+Constants!$C$36/100*(AB14-25))-Design!$C$22)/(IF(ISBLANK(Design!$B$34),Design!$B$33,Design!$B$34)/1000000)*S14/100/(IF(ISBLANK(Design!$B$26),Design!$B$25,Design!$B$26)*1000000))</f>
        <v>0.57021018872310236</v>
      </c>
      <c r="U14" s="203">
        <f>$B14*Constants!$C$21/1000+IF(ISBLANK(Design!$B$26),Design!$B$25,Design!$B$26)*1000000*(Constants!$D$26+Constants!$D$27)/1000000000*$B14</f>
        <v>4.9356299999999978E-2</v>
      </c>
      <c r="V14" s="203">
        <f>$B14*R14*($B14/(Constants!$C$28*1000000000)*IF(ISBLANK(Design!$B$26),Design!$B$25,Design!$B$26)*1000000/2+$B14/(Constants!$C$29*1000000000)*IF(ISBLANK(Design!$B$26),Design!$B$25,Design!$B$26)*1000000/2)</f>
        <v>7.4978280999999938E-2</v>
      </c>
      <c r="W14" s="203">
        <f t="shared" ca="1" si="4"/>
        <v>7.277582225755487E-2</v>
      </c>
      <c r="X14" s="203">
        <f t="shared" ca="1" si="5"/>
        <v>8.8203861365997116E-2</v>
      </c>
      <c r="Y14" s="203">
        <f>2*R14*Constants!$C$20/1000000000*Constants!$C$25*IF(ISBLANK(Design!$B$26),Design!$B$25,Design!$B$26)*1000000</f>
        <v>4.8000000000000001E-2</v>
      </c>
      <c r="Z14" s="203">
        <f>(Constants!$D$26+Constants!$D$27)/1000000000*$B14*IF(ISBLANK(Design!$B$26),Design!$B$25,Design!$B$26)*1000000</f>
        <v>4.0697299999999978E-2</v>
      </c>
      <c r="AA14" s="203">
        <f t="shared" ca="1" si="6"/>
        <v>0.3740115646235519</v>
      </c>
      <c r="AB14" s="204">
        <f ca="1">AA14*Design!$C$12+$A14</f>
        <v>42.952555101930493</v>
      </c>
      <c r="AC14" s="204">
        <f ca="1">Constants!$D$22+Constants!$D$22*Constants!$C$24/100*(AB14-25)</f>
        <v>89.191708212188416</v>
      </c>
      <c r="AD14" s="204">
        <f ca="1">Constants!$D$23+Constants!$D$23*Constants!$C$24/100*(AB14-25)</f>
        <v>72.468262922403085</v>
      </c>
      <c r="AE14" s="203">
        <f ca="1">(1-Constants!$C$19/1000000000*Design!$B$26*1000000) * ($B14+R14*AD14/1000-R14*AC14/1000) - (R14*AD14/1000+R14*(1+($A14-25)*Constants!$C$36/100)*IF(ISBLANK(Design!$B$35),Constants!$C$6/1000,Design!$B$35/1000))</f>
        <v>3.7709241817557193</v>
      </c>
      <c r="AF14" s="308">
        <f ca="1">IF(AE14&gt;Design!$C$22,Design!$C$22,AE14)</f>
        <v>1.7973333333333334</v>
      </c>
      <c r="AG14" s="142">
        <f>Design!$D$6/3</f>
        <v>0.66666666666666663</v>
      </c>
      <c r="AH14" s="216">
        <f ca="1">IF( 100*(Design!$C$22+AG14*(IF(ISBLANK(Design!$B$35),Constants!$C$6,Design!$B$35)/1000*(1+Constants!$C$36/100*(AQ14-25))+AS14/1000))/($B14-AG14*AR14/1000) &gt; Design!$C$29, Design!$C$29, 100*(Design!$C$22+AG14*(IF(ISBLANK(Design!$B$35),Constants!$C$6,Design!$B$35)/1000*(1+Constants!$C$36/100*(AQ14-25))+AS14/1000))/($B14-AG14*AR14/1000) )</f>
        <v>43.24425475000637</v>
      </c>
      <c r="AI14" s="143">
        <f ca="1">IF(($B14-AG14*IF(ISBLANK(Design!$B$35),Constants!$C$6,Design!$B$35)/1000*(1+Constants!$C$36/100*(AQ14-25))-Design!$C$22)/(IF(ISBLANK(Design!$B$34),Design!$B$33,Design!$B$34)/1000000)*AH14/100/(IF(ISBLANK(Design!$B$26),Design!$B$25,Design!$B$26)*1000000)&lt;0, 0, ($B14-AG14*IF(ISBLANK(Design!$B$35),Constants!$C$6,Design!$B$35)/1000*(1+Constants!$C$36/100*(AQ14-25))-Design!$C$22)/(IF(ISBLANK(Design!$B$34),Design!$B$33,Design!$B$34)/1000000)*AH14/100/(IF(ISBLANK(Design!$B$26),Design!$B$25,Design!$B$26)*1000000))</f>
        <v>0.54650766216160607</v>
      </c>
      <c r="AJ14" s="217">
        <f>$B14*Constants!$C$21/1000+IF(ISBLANK(Design!$B$26),Design!$B$25,Design!$B$26)*1000000*(Constants!$D$26+Constants!$D$27)/1000000000*$B14</f>
        <v>4.9356299999999978E-2</v>
      </c>
      <c r="AK14" s="217">
        <f>$B14*AG14*($B14/(Constants!$C$28*1000000000)*IF(ISBLANK(Design!$B$26),Design!$B$25,Design!$B$26)*1000000/2+$B14/(Constants!$C$29*1000000000)*IF(ISBLANK(Design!$B$26),Design!$B$25,Design!$B$26)*1000000/2)</f>
        <v>3.7489140499999969E-2</v>
      </c>
      <c r="AL14" s="217">
        <f t="shared" ca="1" si="7"/>
        <v>1.7190960317574909E-2</v>
      </c>
      <c r="AM14" s="217">
        <f t="shared" ca="1" si="8"/>
        <v>2.2562205546781618E-2</v>
      </c>
      <c r="AN14" s="217">
        <f>2*AG14*Constants!$C$20/1000000000*Constants!$C$25*IF(ISBLANK(Design!$B$26),Design!$B$25,Design!$B$26)*1000000</f>
        <v>2.4E-2</v>
      </c>
      <c r="AO14" s="217">
        <f>(Constants!$D$26+Constants!$D$27)/1000000000*$B14*IF(ISBLANK(Design!$B$26),Design!$B$25,Design!$B$26)*1000000</f>
        <v>4.0697299999999978E-2</v>
      </c>
      <c r="AP14" s="217">
        <f t="shared" ca="1" si="9"/>
        <v>0.19129590636435645</v>
      </c>
      <c r="AQ14" s="218">
        <f ca="1">AP14*Design!$C$12+$A14</f>
        <v>34.182203505489113</v>
      </c>
      <c r="AR14" s="218">
        <f ca="1">Constants!$D$22+Constants!$D$22*Constants!$C$24/100*(AQ14-25)</f>
        <v>84.701288194810431</v>
      </c>
      <c r="AS14" s="218">
        <f ca="1">Constants!$D$23+Constants!$D$23*Constants!$C$24/100*(AQ14-25)</f>
        <v>68.819796658283465</v>
      </c>
      <c r="AT14" s="217">
        <f ca="1">(1-Constants!$C$19/1000000000*Design!$B$26*1000000) * ($B14+AG14*AS14/1000-AG14*AR14/1000) - (AG14*AS14/1000+AG14*(1+($A14-25)*Constants!$C$36/100)*IF(ISBLANK(Design!$B$35),Constants!$C$6/1000,Design!$B$35/1000))</f>
        <v>3.8366745739725605</v>
      </c>
      <c r="AU14" s="311">
        <f ca="1">IF(AT14&gt;Design!$C$22,Design!$C$22,AT14)</f>
        <v>1.7973333333333334</v>
      </c>
    </row>
    <row r="15" spans="1:47" s="144" customFormat="1" ht="12.75" customHeight="1">
      <c r="A15" s="136">
        <v>25</v>
      </c>
      <c r="B15" s="137">
        <f t="shared" si="0"/>
        <v>4.254999999999999</v>
      </c>
      <c r="C15" s="138">
        <f>Design!$D$6</f>
        <v>2</v>
      </c>
      <c r="D15" s="193">
        <f ca="1">IF( 100*(Design!$C$22+C15*(IF(ISBLANK(Design!$B$35),Constants!$C$6,Design!$B$35)/1000*(1+Constants!$C$36/100*(M15-25))+O15/1000))/($B15-C15*N15/1000) &gt; Design!$C$29, Design!$C$29, 100*(Design!$C$22+C15*(IF(ISBLANK(Design!$B$35),Constants!$C$6,Design!$B$35)/1000*(1+Constants!$C$36/100*(M15-25))+O15/1000))/($B15-C15*N15/1000) )</f>
        <v>48.455305458209914</v>
      </c>
      <c r="E15" s="139">
        <f ca="1">IF(($B15-C15*IF(ISBLANK(Design!$B$35),Constants!$C$6,Design!$B$35)/1000*(1+Constants!$C$36/100*(M15-25))-Design!$C$22)/(IF(ISBLANK(Design!$B$34),Design!$B$33,Design!$B$34)/1000000)*D15/100/(IF(ISBLANK(Design!$B$26),Design!$B$25,Design!$B$26)*1000000)&lt;0, 0, ($B15-C15*IF(ISBLANK(Design!$B$35),Constants!$C$6,Design!$B$35)/1000*(1+Constants!$C$36/100*(M15-25))-Design!$C$22)/(IF(ISBLANK(Design!$B$34),Design!$B$33,Design!$B$34)/1000000)*D15/100/(IF(ISBLANK(Design!$B$26),Design!$B$25,Design!$B$26)*1000000))</f>
        <v>0.59178640161307727</v>
      </c>
      <c r="F15" s="186">
        <f>$B15*Constants!$C$21/1000+IF(ISBLANK(Design!$B$26),Design!$B$25,Design!$B$26)*1000000*(Constants!$D$26+Constants!$D$27)/1000000000*$B15</f>
        <v>4.8506999999999981E-2</v>
      </c>
      <c r="G15" s="186">
        <f>$B15*C15*($B15/(Constants!$C$28*1000000000)*IF(ISBLANK(Design!$B$26),Design!$B$25,Design!$B$26)*1000000/2+$B15/(Constants!$C$29*1000000000)*IF(ISBLANK(Design!$B$26),Design!$B$25,Design!$B$26)*1000000/2)</f>
        <v>0.10863014999999997</v>
      </c>
      <c r="H15" s="186">
        <f t="shared" ca="1" si="1"/>
        <v>0.18768657598640492</v>
      </c>
      <c r="I15" s="186">
        <f t="shared" ca="1" si="2"/>
        <v>0.19965300264502994</v>
      </c>
      <c r="J15" s="186">
        <f>2*C15*Constants!$C$20/1000000000*Constants!$C$25*IF(ISBLANK(Design!$B$26),Design!$B$25,Design!$B$26)*1000000</f>
        <v>7.1999999999999995E-2</v>
      </c>
      <c r="K15" s="186">
        <f>(Constants!$D$26+Constants!$D$27)/1000000000*$B15*IF(ISBLANK(Design!$B$26),Design!$B$25,Design!$B$26)*1000000</f>
        <v>3.9996999999999984E-2</v>
      </c>
      <c r="L15" s="186">
        <f t="shared" ca="1" si="3"/>
        <v>0.65647372863143472</v>
      </c>
      <c r="M15" s="187">
        <f ca="1">L15*Design!$C$12+$A15</f>
        <v>56.510738974308865</v>
      </c>
      <c r="N15" s="187">
        <f ca="1">Constants!$D$22+Constants!$D$22*Constants!$C$24/100*(M15-25)</f>
        <v>96.133498354846139</v>
      </c>
      <c r="O15" s="187">
        <f ca="1">Constants!$D$23+Constants!$D$23*Constants!$C$24/100*(M15-25)</f>
        <v>78.108467413312496</v>
      </c>
      <c r="P15" s="186">
        <f ca="1">(1-Constants!$C$19/1000000000*Design!$B$26*1000000) * ($B15+C15*O15/1000-C15*N15/1000) - (C15*O15/1000+C15*(1+($A15-25)*Constants!$C$36/100)*IF(ISBLANK(Design!$B$35),Constants!$C$6/1000,Design!$B$35/1000))</f>
        <v>3.6274380094786132</v>
      </c>
      <c r="Q15" s="191">
        <f ca="1">IF(P15&gt;Design!$C$22,Design!$C$22,P15)</f>
        <v>1.7973333333333334</v>
      </c>
      <c r="R15" s="201">
        <f>2*Design!$D$6/3</f>
        <v>1.3333333333333333</v>
      </c>
      <c r="S15" s="202">
        <f ca="1">IF( 100*(Design!$C$22+R15*(IF(ISBLANK(Design!$B$35),Constants!$C$6,Design!$B$35)/1000*(1+Constants!$C$36/100*(AB15-25))+AD15/1000))/($B15-R15*AC15/1000) &gt; Design!$C$29, Design!$C$29, 100*(Design!$C$22+R15*(IF(ISBLANK(Design!$B$35),Constants!$C$6,Design!$B$35)/1000*(1+Constants!$C$36/100*(AB15-25))+AD15/1000))/($B15-R15*AC15/1000) )</f>
        <v>46.017804177689079</v>
      </c>
      <c r="T15" s="141">
        <f ca="1">IF(($B15-R15*IF(ISBLANK(Design!$B$35),Constants!$C$6,Design!$B$35)/1000*(1+Constants!$C$36/100*(AB15-25))-Design!$C$22)/(IF(ISBLANK(Design!$B$34),Design!$B$33,Design!$B$34)/1000000)*S15/100/(IF(ISBLANK(Design!$B$26),Design!$B$25,Design!$B$26)*1000000)&lt;0, 0, ($B15-R15*IF(ISBLANK(Design!$B$35),Constants!$C$6,Design!$B$35)/1000*(1+Constants!$C$36/100*(AB15-25))-Design!$C$22)/(IF(ISBLANK(Design!$B$34),Design!$B$33,Design!$B$34)/1000000)*S15/100/(IF(ISBLANK(Design!$B$26),Design!$B$25,Design!$B$26)*1000000))</f>
        <v>0.56328332530440584</v>
      </c>
      <c r="U15" s="203">
        <f>$B15*Constants!$C$21/1000+IF(ISBLANK(Design!$B$26),Design!$B$25,Design!$B$26)*1000000*(Constants!$D$26+Constants!$D$27)/1000000000*$B15</f>
        <v>4.8506999999999981E-2</v>
      </c>
      <c r="V15" s="203">
        <f>$B15*R15*($B15/(Constants!$C$28*1000000000)*IF(ISBLANK(Design!$B$26),Design!$B$25,Design!$B$26)*1000000/2+$B15/(Constants!$C$29*1000000000)*IF(ISBLANK(Design!$B$26),Design!$B$25,Design!$B$26)*1000000/2)</f>
        <v>7.2420099999999973E-2</v>
      </c>
      <c r="W15" s="203">
        <f t="shared" ca="1" si="4"/>
        <v>7.3963508386541102E-2</v>
      </c>
      <c r="X15" s="203">
        <f t="shared" ca="1" si="5"/>
        <v>8.6764517881172468E-2</v>
      </c>
      <c r="Y15" s="203">
        <f>2*R15*Constants!$C$20/1000000000*Constants!$C$25*IF(ISBLANK(Design!$B$26),Design!$B$25,Design!$B$26)*1000000</f>
        <v>4.8000000000000001E-2</v>
      </c>
      <c r="Z15" s="203">
        <f>(Constants!$D$26+Constants!$D$27)/1000000000*$B15*IF(ISBLANK(Design!$B$26),Design!$B$25,Design!$B$26)*1000000</f>
        <v>3.9996999999999984E-2</v>
      </c>
      <c r="AA15" s="203">
        <f t="shared" ca="1" si="6"/>
        <v>0.36965212626771349</v>
      </c>
      <c r="AB15" s="204">
        <f ca="1">AA15*Design!$C$12+$A15</f>
        <v>42.743302060850247</v>
      </c>
      <c r="AC15" s="204">
        <f ca="1">Constants!$D$22+Constants!$D$22*Constants!$C$24/100*(AB15-25)</f>
        <v>89.084570655155332</v>
      </c>
      <c r="AD15" s="204">
        <f ca="1">Constants!$D$23+Constants!$D$23*Constants!$C$24/100*(AB15-25)</f>
        <v>72.381213657313708</v>
      </c>
      <c r="AE15" s="203">
        <f ca="1">(1-Constants!$C$19/1000000000*Design!$B$26*1000000) * ($B15+R15*AD15/1000-R15*AC15/1000) - (R15*AD15/1000+R15*(1+($A15-25)*Constants!$C$36/100)*IF(ISBLANK(Design!$B$35),Constants!$C$6/1000,Design!$B$35/1000))</f>
        <v>3.704014353392838</v>
      </c>
      <c r="AF15" s="308">
        <f ca="1">IF(AE15&gt;Design!$C$22,Design!$C$22,AE15)</f>
        <v>1.7973333333333334</v>
      </c>
      <c r="AG15" s="142">
        <f>Design!$D$6/3</f>
        <v>0.66666666666666663</v>
      </c>
      <c r="AH15" s="216">
        <f ca="1">IF( 100*(Design!$C$22+AG15*(IF(ISBLANK(Design!$B$35),Constants!$C$6,Design!$B$35)/1000*(1+Constants!$C$36/100*(AQ15-25))+AS15/1000))/($B15-AG15*AR15/1000) &gt; Design!$C$29, Design!$C$29, 100*(Design!$C$22+AG15*(IF(ISBLANK(Design!$B$35),Constants!$C$6,Design!$B$35)/1000*(1+Constants!$C$36/100*(AQ15-25))+AS15/1000))/($B15-AG15*AR15/1000) )</f>
        <v>44.010110851609404</v>
      </c>
      <c r="AI15" s="143">
        <f ca="1">IF(($B15-AG15*IF(ISBLANK(Design!$B$35),Constants!$C$6,Design!$B$35)/1000*(1+Constants!$C$36/100*(AQ15-25))-Design!$C$22)/(IF(ISBLANK(Design!$B$34),Design!$B$33,Design!$B$34)/1000000)*AH15/100/(IF(ISBLANK(Design!$B$26),Design!$B$25,Design!$B$26)*1000000)&lt;0, 0, ($B15-AG15*IF(ISBLANK(Design!$B$35),Constants!$C$6,Design!$B$35)/1000*(1+Constants!$C$36/100*(AQ15-25))-Design!$C$22)/(IF(ISBLANK(Design!$B$34),Design!$B$33,Design!$B$34)/1000000)*AH15/100/(IF(ISBLANK(Design!$B$26),Design!$B$25,Design!$B$26)*1000000))</f>
        <v>0.53979309123393771</v>
      </c>
      <c r="AJ15" s="217">
        <f>$B15*Constants!$C$21/1000+IF(ISBLANK(Design!$B$26),Design!$B$25,Design!$B$26)*1000000*(Constants!$D$26+Constants!$D$27)/1000000000*$B15</f>
        <v>4.8506999999999981E-2</v>
      </c>
      <c r="AK15" s="217">
        <f>$B15*AG15*($B15/(Constants!$C$28*1000000000)*IF(ISBLANK(Design!$B$26),Design!$B$25,Design!$B$26)*1000000/2+$B15/(Constants!$C$29*1000000000)*IF(ISBLANK(Design!$B$26),Design!$B$25,Design!$B$26)*1000000/2)</f>
        <v>3.6210049999999987E-2</v>
      </c>
      <c r="AL15" s="217">
        <f t="shared" ca="1" si="7"/>
        <v>1.7457982150838328E-2</v>
      </c>
      <c r="AM15" s="217">
        <f t="shared" ca="1" si="8"/>
        <v>2.2210134591021478E-2</v>
      </c>
      <c r="AN15" s="217">
        <f>2*AG15*Constants!$C$20/1000000000*Constants!$C$25*IF(ISBLANK(Design!$B$26),Design!$B$25,Design!$B$26)*1000000</f>
        <v>2.4E-2</v>
      </c>
      <c r="AO15" s="217">
        <f>(Constants!$D$26+Constants!$D$27)/1000000000*$B15*IF(ISBLANK(Design!$B$26),Design!$B$25,Design!$B$26)*1000000</f>
        <v>3.9996999999999984E-2</v>
      </c>
      <c r="AP15" s="217">
        <f t="shared" ca="1" si="9"/>
        <v>0.18838216674185973</v>
      </c>
      <c r="AQ15" s="218">
        <f ca="1">AP15*Design!$C$12+$A15</f>
        <v>34.042344003609266</v>
      </c>
      <c r="AR15" s="218">
        <f ca="1">Constants!$D$22+Constants!$D$22*Constants!$C$24/100*(AQ15-25)</f>
        <v>84.629680129847941</v>
      </c>
      <c r="AS15" s="218">
        <f ca="1">Constants!$D$23+Constants!$D$23*Constants!$C$24/100*(AQ15-25)</f>
        <v>68.761615105501448</v>
      </c>
      <c r="AT15" s="217">
        <f ca="1">(1-Constants!$C$19/1000000000*Design!$B$26*1000000) * ($B15+AG15*AS15/1000-AG15*AR15/1000) - (AG15*AS15/1000+AG15*(1+($A15-25)*Constants!$C$36/100)*IF(ISBLANK(Design!$B$35),Constants!$C$6/1000,Design!$B$35/1000))</f>
        <v>3.7696714175817232</v>
      </c>
      <c r="AU15" s="311">
        <f ca="1">IF(AT15&gt;Design!$C$22,Design!$C$22,AT15)</f>
        <v>1.7973333333333334</v>
      </c>
    </row>
    <row r="16" spans="1:47" s="144" customFormat="1" ht="12.75" customHeight="1">
      <c r="A16" s="136">
        <v>25</v>
      </c>
      <c r="B16" s="137">
        <f t="shared" si="0"/>
        <v>4.1804999999999994</v>
      </c>
      <c r="C16" s="138">
        <f>Design!$D$6</f>
        <v>2</v>
      </c>
      <c r="D16" s="193">
        <f ca="1">IF( 100*(Design!$C$22+C16*(IF(ISBLANK(Design!$B$35),Constants!$C$6,Design!$B$35)/1000*(1+Constants!$C$36/100*(M16-25))+O16/1000))/($B16-C16*N16/1000) &gt; Design!$C$29, Design!$C$29, 100*(Design!$C$22+C16*(IF(ISBLANK(Design!$B$35),Constants!$C$6,Design!$B$35)/1000*(1+Constants!$C$36/100*(M16-25))+O16/1000))/($B16-C16*N16/1000) )</f>
        <v>49.350439485703198</v>
      </c>
      <c r="E16" s="139">
        <f ca="1">IF(($B16-C16*IF(ISBLANK(Design!$B$35),Constants!$C$6,Design!$B$35)/1000*(1+Constants!$C$36/100*(M16-25))-Design!$C$22)/(IF(ISBLANK(Design!$B$34),Design!$B$33,Design!$B$34)/1000000)*D16/100/(IF(ISBLANK(Design!$B$26),Design!$B$25,Design!$B$26)*1000000)&lt;0, 0, ($B16-C16*IF(ISBLANK(Design!$B$35),Constants!$C$6,Design!$B$35)/1000*(1+Constants!$C$36/100*(M16-25))-Design!$C$22)/(IF(ISBLANK(Design!$B$34),Design!$B$33,Design!$B$34)/1000000)*D16/100/(IF(ISBLANK(Design!$B$26),Design!$B$25,Design!$B$26)*1000000))</f>
        <v>0.58433939886673281</v>
      </c>
      <c r="F16" s="186">
        <f>$B16*Constants!$C$21/1000+IF(ISBLANK(Design!$B$26),Design!$B$25,Design!$B$26)*1000000*(Constants!$D$26+Constants!$D$27)/1000000000*$B16</f>
        <v>4.765769999999999E-2</v>
      </c>
      <c r="G16" s="186">
        <f>$B16*C16*($B16/(Constants!$C$28*1000000000)*IF(ISBLANK(Design!$B$26),Design!$B$25,Design!$B$26)*1000000/2+$B16/(Constants!$C$29*1000000000)*IF(ISBLANK(Design!$B$26),Design!$B$25,Design!$B$26)*1000000/2)</f>
        <v>0.10485948149999999</v>
      </c>
      <c r="H16" s="186">
        <f t="shared" ca="1" si="1"/>
        <v>0.19082684857942772</v>
      </c>
      <c r="I16" s="186">
        <f t="shared" ca="1" si="2"/>
        <v>0.19585025210720386</v>
      </c>
      <c r="J16" s="186">
        <f>2*C16*Constants!$C$20/1000000000*Constants!$C$25*IF(ISBLANK(Design!$B$26),Design!$B$25,Design!$B$26)*1000000</f>
        <v>7.1999999999999995E-2</v>
      </c>
      <c r="K16" s="186">
        <f>(Constants!$D$26+Constants!$D$27)/1000000000*$B16*IF(ISBLANK(Design!$B$26),Design!$B$25,Design!$B$26)*1000000</f>
        <v>3.929669999999999E-2</v>
      </c>
      <c r="L16" s="186">
        <f t="shared" ca="1" si="3"/>
        <v>0.65049098218663148</v>
      </c>
      <c r="M16" s="187">
        <f ca="1">L16*Design!$C$12+$A16</f>
        <v>56.223567144958309</v>
      </c>
      <c r="N16" s="187">
        <f ca="1">Constants!$D$22+Constants!$D$22*Constants!$C$24/100*(M16-25)</f>
        <v>95.986466378218651</v>
      </c>
      <c r="O16" s="187">
        <f ca="1">Constants!$D$23+Constants!$D$23*Constants!$C$24/100*(M16-25)</f>
        <v>77.989003932302666</v>
      </c>
      <c r="P16" s="186">
        <f ca="1">(1-Constants!$C$19/1000000000*Design!$B$26*1000000) * ($B16+C16*O16/1000-C16*N16/1000) - (C16*O16/1000+C16*(1+($A16-25)*Constants!$C$36/100)*IF(ISBLANK(Design!$B$35),Constants!$C$6/1000,Design!$B$35/1000))</f>
        <v>3.5606765597327454</v>
      </c>
      <c r="Q16" s="191">
        <f ca="1">IF(P16&gt;Design!$C$22,Design!$C$22,P16)</f>
        <v>1.7973333333333334</v>
      </c>
      <c r="R16" s="201">
        <f>2*Design!$D$6/3</f>
        <v>1.3333333333333333</v>
      </c>
      <c r="S16" s="202">
        <f ca="1">IF( 100*(Design!$C$22+R16*(IF(ISBLANK(Design!$B$35),Constants!$C$6,Design!$B$35)/1000*(1+Constants!$C$36/100*(AB16-25))+AD16/1000))/($B16-R16*AC16/1000) &gt; Design!$C$29, Design!$C$29, 100*(Design!$C$22+R16*(IF(ISBLANK(Design!$B$35),Constants!$C$6,Design!$B$35)/1000*(1+Constants!$C$36/100*(AB16-25))+AD16/1000))/($B16-R16*AC16/1000) )</f>
        <v>46.857224045238617</v>
      </c>
      <c r="T16" s="141">
        <f ca="1">IF(($B16-R16*IF(ISBLANK(Design!$B$35),Constants!$C$6,Design!$B$35)/1000*(1+Constants!$C$36/100*(AB16-25))-Design!$C$22)/(IF(ISBLANK(Design!$B$34),Design!$B$33,Design!$B$34)/1000000)*S16/100/(IF(ISBLANK(Design!$B$26),Design!$B$25,Design!$B$26)*1000000)&lt;0, 0, ($B16-R16*IF(ISBLANK(Design!$B$35),Constants!$C$6,Design!$B$35)/1000*(1+Constants!$C$36/100*(AB16-25))-Design!$C$22)/(IF(ISBLANK(Design!$B$34),Design!$B$33,Design!$B$34)/1000000)*S16/100/(IF(ISBLANK(Design!$B$26),Design!$B$25,Design!$B$26)*1000000))</f>
        <v>0.55610567522406695</v>
      </c>
      <c r="U16" s="203">
        <f>$B16*Constants!$C$21/1000+IF(ISBLANK(Design!$B$26),Design!$B$25,Design!$B$26)*1000000*(Constants!$D$26+Constants!$D$27)/1000000000*$B16</f>
        <v>4.765769999999999E-2</v>
      </c>
      <c r="V16" s="203">
        <f>$B16*R16*($B16/(Constants!$C$28*1000000000)*IF(ISBLANK(Design!$B$26),Design!$B$25,Design!$B$26)*1000000/2+$B16/(Constants!$C$29*1000000000)*IF(ISBLANK(Design!$B$26),Design!$B$25,Design!$B$26)*1000000/2)</f>
        <v>6.9906320999999993E-2</v>
      </c>
      <c r="W16" s="203">
        <f t="shared" ca="1" si="4"/>
        <v>7.5195140019067075E-2</v>
      </c>
      <c r="X16" s="203">
        <f t="shared" ca="1" si="5"/>
        <v>8.5282014894056735E-2</v>
      </c>
      <c r="Y16" s="203">
        <f>2*R16*Constants!$C$20/1000000000*Constants!$C$25*IF(ISBLANK(Design!$B$26),Design!$B$25,Design!$B$26)*1000000</f>
        <v>4.8000000000000001E-2</v>
      </c>
      <c r="Z16" s="203">
        <f>(Constants!$D$26+Constants!$D$27)/1000000000*$B16*IF(ISBLANK(Design!$B$26),Design!$B$25,Design!$B$26)*1000000</f>
        <v>3.929669999999999E-2</v>
      </c>
      <c r="AA16" s="203">
        <f t="shared" ca="1" si="6"/>
        <v>0.36533787591312383</v>
      </c>
      <c r="AB16" s="204">
        <f ca="1">AA16*Design!$C$12+$A16</f>
        <v>42.536218043829948</v>
      </c>
      <c r="AC16" s="204">
        <f ca="1">Constants!$D$22+Constants!$D$22*Constants!$C$24/100*(AB16-25)</f>
        <v>88.978543638440939</v>
      </c>
      <c r="AD16" s="204">
        <f ca="1">Constants!$D$23+Constants!$D$23*Constants!$C$24/100*(AB16-25)</f>
        <v>72.295066706233257</v>
      </c>
      <c r="AE16" s="203">
        <f ca="1">(1-Constants!$C$19/1000000000*Design!$B$26*1000000) * ($B16+R16*AD16/1000-R16*AC16/1000) - (R16*AD16/1000+R16*(1+($A16-25)*Constants!$C$36/100)*IF(ISBLANK(Design!$B$35),Constants!$C$6/1000,Design!$B$35/1000))</f>
        <v>3.6371030720730397</v>
      </c>
      <c r="AF16" s="308">
        <f ca="1">IF(AE16&gt;Design!$C$22,Design!$C$22,AE16)</f>
        <v>1.7973333333333334</v>
      </c>
      <c r="AG16" s="142">
        <f>Design!$D$6/3</f>
        <v>0.66666666666666663</v>
      </c>
      <c r="AH16" s="216">
        <f ca="1">IF( 100*(Design!$C$22+AG16*(IF(ISBLANK(Design!$B$35),Constants!$C$6,Design!$B$35)/1000*(1+Constants!$C$36/100*(AQ16-25))+AS16/1000))/($B16-AG16*AR16/1000) &gt; Design!$C$29, Design!$C$29, 100*(Design!$C$22+AG16*(IF(ISBLANK(Design!$B$35),Constants!$C$6,Design!$B$35)/1000*(1+Constants!$C$36/100*(AQ16-25))+AS16/1000))/($B16-AG16*AR16/1000) )</f>
        <v>44.803629853347033</v>
      </c>
      <c r="AI16" s="143">
        <f ca="1">IF(($B16-AG16*IF(ISBLANK(Design!$B$35),Constants!$C$6,Design!$B$35)/1000*(1+Constants!$C$36/100*(AQ16-25))-Design!$C$22)/(IF(ISBLANK(Design!$B$34),Design!$B$33,Design!$B$34)/1000000)*AH16/100/(IF(ISBLANK(Design!$B$26),Design!$B$25,Design!$B$26)*1000000)&lt;0, 0, ($B16-AG16*IF(ISBLANK(Design!$B$35),Constants!$C$6,Design!$B$35)/1000*(1+Constants!$C$36/100*(AQ16-25))-Design!$C$22)/(IF(ISBLANK(Design!$B$34),Design!$B$33,Design!$B$34)/1000000)*AH16/100/(IF(ISBLANK(Design!$B$26),Design!$B$25,Design!$B$26)*1000000))</f>
        <v>0.53283695936998587</v>
      </c>
      <c r="AJ16" s="217">
        <f>$B16*Constants!$C$21/1000+IF(ISBLANK(Design!$B$26),Design!$B$25,Design!$B$26)*1000000*(Constants!$D$26+Constants!$D$27)/1000000000*$B16</f>
        <v>4.765769999999999E-2</v>
      </c>
      <c r="AK16" s="217">
        <f>$B16*AG16*($B16/(Constants!$C$28*1000000000)*IF(ISBLANK(Design!$B$26),Design!$B$25,Design!$B$26)*1000000/2+$B16/(Constants!$C$29*1000000000)*IF(ISBLANK(Design!$B$26),Design!$B$25,Design!$B$26)*1000000/2)</f>
        <v>3.4953160499999997E-2</v>
      </c>
      <c r="AL16" s="217">
        <f t="shared" ca="1" si="7"/>
        <v>1.7734271950251675E-2</v>
      </c>
      <c r="AM16" s="217">
        <f t="shared" ca="1" si="8"/>
        <v>2.1847949419535054E-2</v>
      </c>
      <c r="AN16" s="217">
        <f>2*AG16*Constants!$C$20/1000000000*Constants!$C$25*IF(ISBLANK(Design!$B$26),Design!$B$25,Design!$B$26)*1000000</f>
        <v>2.4E-2</v>
      </c>
      <c r="AO16" s="217">
        <f>(Constants!$D$26+Constants!$D$27)/1000000000*$B16*IF(ISBLANK(Design!$B$26),Design!$B$25,Design!$B$26)*1000000</f>
        <v>3.929669999999999E-2</v>
      </c>
      <c r="AP16" s="217">
        <f t="shared" ca="1" si="9"/>
        <v>0.18548978186978671</v>
      </c>
      <c r="AQ16" s="218">
        <f ca="1">AP16*Design!$C$12+$A16</f>
        <v>33.903509529749762</v>
      </c>
      <c r="AR16" s="218">
        <f ca="1">Constants!$D$22+Constants!$D$22*Constants!$C$24/100*(AQ16-25)</f>
        <v>84.558596879231885</v>
      </c>
      <c r="AS16" s="218">
        <f ca="1">Constants!$D$23+Constants!$D$23*Constants!$C$24/100*(AQ16-25)</f>
        <v>68.703859964375908</v>
      </c>
      <c r="AT16" s="217">
        <f ca="1">(1-Constants!$C$19/1000000000*Design!$B$26*1000000) * ($B16+AG16*AS16/1000-AG16*AR16/1000) - (AG16*AS16/1000+AG16*(1+($A16-25)*Constants!$C$36/100)*IF(ISBLANK(Design!$B$35),Constants!$C$6/1000,Design!$B$35/1000))</f>
        <v>3.7026679178748352</v>
      </c>
      <c r="AU16" s="311">
        <f ca="1">IF(AT16&gt;Design!$C$22,Design!$C$22,AT16)</f>
        <v>1.7973333333333334</v>
      </c>
    </row>
    <row r="17" spans="1:47" s="144" customFormat="1" ht="12.75" customHeight="1">
      <c r="A17" s="136">
        <v>25</v>
      </c>
      <c r="B17" s="137">
        <f t="shared" si="0"/>
        <v>4.1059999999999999</v>
      </c>
      <c r="C17" s="138">
        <f>Design!$D$6</f>
        <v>2</v>
      </c>
      <c r="D17" s="193">
        <f ca="1">IF( 100*(Design!$C$22+C17*(IF(ISBLANK(Design!$B$35),Constants!$C$6,Design!$B$35)/1000*(1+Constants!$C$36/100*(M17-25))+O17/1000))/($B17-C17*N17/1000) &gt; Design!$C$29, Design!$C$29, 100*(Design!$C$22+C17*(IF(ISBLANK(Design!$B$35),Constants!$C$6,Design!$B$35)/1000*(1+Constants!$C$36/100*(M17-25))+O17/1000))/($B17-C17*N17/1000) )</f>
        <v>50.279636719456946</v>
      </c>
      <c r="E17" s="139">
        <f ca="1">IF(($B17-C17*IF(ISBLANK(Design!$B$35),Constants!$C$6,Design!$B$35)/1000*(1+Constants!$C$36/100*(M17-25))-Design!$C$22)/(IF(ISBLANK(Design!$B$34),Design!$B$33,Design!$B$34)/1000000)*D17/100/(IF(ISBLANK(Design!$B$26),Design!$B$25,Design!$B$26)*1000000)&lt;0, 0, ($B17-C17*IF(ISBLANK(Design!$B$35),Constants!$C$6,Design!$B$35)/1000*(1+Constants!$C$36/100*(M17-25))-Design!$C$22)/(IF(ISBLANK(Design!$B$34),Design!$B$33,Design!$B$34)/1000000)*D17/100/(IF(ISBLANK(Design!$B$26),Design!$B$25,Design!$B$26)*1000000))</f>
        <v>0.57661625392024274</v>
      </c>
      <c r="F17" s="186">
        <f>$B17*Constants!$C$21/1000+IF(ISBLANK(Design!$B$26),Design!$B$25,Design!$B$26)*1000000*(Constants!$D$26+Constants!$D$27)/1000000000*$B17</f>
        <v>4.68084E-2</v>
      </c>
      <c r="G17" s="186">
        <f>$B17*C17*($B17/(Constants!$C$28*1000000000)*IF(ISBLANK(Design!$B$26),Design!$B$25,Design!$B$26)*1000000/2+$B17/(Constants!$C$29*1000000000)*IF(ISBLANK(Design!$B$26),Design!$B$25,Design!$B$26)*1000000/2)</f>
        <v>0.10115541599999998</v>
      </c>
      <c r="H17" s="186">
        <f t="shared" ca="1" si="1"/>
        <v>0.19408962340685348</v>
      </c>
      <c r="I17" s="186">
        <f t="shared" ca="1" si="2"/>
        <v>0.19193071418986934</v>
      </c>
      <c r="J17" s="186">
        <f>2*C17*Constants!$C$20/1000000000*Constants!$C$25*IF(ISBLANK(Design!$B$26),Design!$B$25,Design!$B$26)*1000000</f>
        <v>7.1999999999999995E-2</v>
      </c>
      <c r="K17" s="186">
        <f>(Constants!$D$26+Constants!$D$27)/1000000000*$B17*IF(ISBLANK(Design!$B$26),Design!$B$25,Design!$B$26)*1000000</f>
        <v>3.8596399999999989E-2</v>
      </c>
      <c r="L17" s="186">
        <f t="shared" ca="1" si="3"/>
        <v>0.64458055359672273</v>
      </c>
      <c r="M17" s="187">
        <f ca="1">L17*Design!$C$12+$A17</f>
        <v>55.939866572642693</v>
      </c>
      <c r="N17" s="187">
        <f ca="1">Constants!$D$22+Constants!$D$22*Constants!$C$24/100*(M17-25)</f>
        <v>95.841211685193059</v>
      </c>
      <c r="O17" s="187">
        <f ca="1">Constants!$D$23+Constants!$D$23*Constants!$C$24/100*(M17-25)</f>
        <v>77.870984494219357</v>
      </c>
      <c r="P17" s="186">
        <f ca="1">(1-Constants!$C$19/1000000000*Design!$B$26*1000000) * ($B17+C17*O17/1000-C17*N17/1000) - (C17*O17/1000+C17*(1+($A17-25)*Constants!$C$36/100)*IF(ISBLANK(Design!$B$35),Constants!$C$6/1000,Design!$B$35/1000))</f>
        <v>3.493911622067809</v>
      </c>
      <c r="Q17" s="191">
        <f ca="1">IF(P17&gt;Design!$C$22,Design!$C$22,P17)</f>
        <v>1.7973333333333334</v>
      </c>
      <c r="R17" s="201">
        <f>2*Design!$D$6/3</f>
        <v>1.3333333333333333</v>
      </c>
      <c r="S17" s="202">
        <f ca="1">IF( 100*(Design!$C$22+R17*(IF(ISBLANK(Design!$B$35),Constants!$C$6,Design!$B$35)/1000*(1+Constants!$C$36/100*(AB17-25))+AD17/1000))/($B17-R17*AC17/1000) &gt; Design!$C$29, Design!$C$29, 100*(Design!$C$22+R17*(IF(ISBLANK(Design!$B$35),Constants!$C$6,Design!$B$35)/1000*(1+Constants!$C$36/100*(AB17-25))+AD17/1000))/($B17-R17*AC17/1000) )</f>
        <v>47.728000544564416</v>
      </c>
      <c r="T17" s="141">
        <f ca="1">IF(($B17-R17*IF(ISBLANK(Design!$B$35),Constants!$C$6,Design!$B$35)/1000*(1+Constants!$C$36/100*(AB17-25))-Design!$C$22)/(IF(ISBLANK(Design!$B$34),Design!$B$33,Design!$B$34)/1000000)*S17/100/(IF(ISBLANK(Design!$B$26),Design!$B$25,Design!$B$26)*1000000)&lt;0, 0, ($B17-R17*IF(ISBLANK(Design!$B$35),Constants!$C$6,Design!$B$35)/1000*(1+Constants!$C$36/100*(AB17-25))-Design!$C$22)/(IF(ISBLANK(Design!$B$34),Design!$B$33,Design!$B$34)/1000000)*S17/100/(IF(ISBLANK(Design!$B$26),Design!$B$25,Design!$B$26)*1000000))</f>
        <v>0.54866316428278872</v>
      </c>
      <c r="U17" s="203">
        <f>$B17*Constants!$C$21/1000+IF(ISBLANK(Design!$B$26),Design!$B$25,Design!$B$26)*1000000*(Constants!$D$26+Constants!$D$27)/1000000000*$B17</f>
        <v>4.68084E-2</v>
      </c>
      <c r="V17" s="203">
        <f>$B17*R17*($B17/(Constants!$C$28*1000000000)*IF(ISBLANK(Design!$B$26),Design!$B$25,Design!$B$26)*1000000/2+$B17/(Constants!$C$29*1000000000)*IF(ISBLANK(Design!$B$26),Design!$B$25,Design!$B$26)*1000000/2)</f>
        <v>6.7436943999999985E-2</v>
      </c>
      <c r="W17" s="203">
        <f t="shared" ca="1" si="4"/>
        <v>7.6473160764825646E-2</v>
      </c>
      <c r="X17" s="203">
        <f t="shared" ca="1" si="5"/>
        <v>8.3753875549887363E-2</v>
      </c>
      <c r="Y17" s="203">
        <f>2*R17*Constants!$C$20/1000000000*Constants!$C$25*IF(ISBLANK(Design!$B$26),Design!$B$25,Design!$B$26)*1000000</f>
        <v>4.8000000000000001E-2</v>
      </c>
      <c r="Z17" s="203">
        <f>(Constants!$D$26+Constants!$D$27)/1000000000*$B17*IF(ISBLANK(Design!$B$26),Design!$B$25,Design!$B$26)*1000000</f>
        <v>3.8596399999999989E-2</v>
      </c>
      <c r="AA17" s="203">
        <f t="shared" ca="1" si="6"/>
        <v>0.36106878031471296</v>
      </c>
      <c r="AB17" s="204">
        <f ca="1">AA17*Design!$C$12+$A17</f>
        <v>42.331301455106221</v>
      </c>
      <c r="AC17" s="204">
        <f ca="1">Constants!$D$22+Constants!$D$22*Constants!$C$24/100*(AB17-25)</f>
        <v>88.873626345014387</v>
      </c>
      <c r="AD17" s="204">
        <f ca="1">Constants!$D$23+Constants!$D$23*Constants!$C$24/100*(AB17-25)</f>
        <v>72.209821405324192</v>
      </c>
      <c r="AE17" s="203">
        <f ca="1">(1-Constants!$C$19/1000000000*Design!$B$26*1000000) * ($B17+R17*AD17/1000-R17*AC17/1000) - (R17*AD17/1000+R17*(1+($A17-25)*Constants!$C$36/100)*IF(ISBLANK(Design!$B$35),Constants!$C$6/1000,Design!$B$35/1000))</f>
        <v>3.5701903388652729</v>
      </c>
      <c r="AF17" s="308">
        <f ca="1">IF(AE17&gt;Design!$C$22,Design!$C$22,AE17)</f>
        <v>1.7973333333333334</v>
      </c>
      <c r="AG17" s="142">
        <f>Design!$D$6/3</f>
        <v>0.66666666666666663</v>
      </c>
      <c r="AH17" s="216">
        <f ca="1">IF( 100*(Design!$C$22+AG17*(IF(ISBLANK(Design!$B$35),Constants!$C$6,Design!$B$35)/1000*(1+Constants!$C$36/100*(AQ17-25))+AS17/1000))/($B17-AG17*AR17/1000) &gt; Design!$C$29, Design!$C$29, 100*(Design!$C$22+AG17*(IF(ISBLANK(Design!$B$35),Constants!$C$6,Design!$B$35)/1000*(1+Constants!$C$36/100*(AQ17-25))+AS17/1000))/($B17-AG17*AR17/1000) )</f>
        <v>45.626337680788907</v>
      </c>
      <c r="AI17" s="143">
        <f ca="1">IF(($B17-AG17*IF(ISBLANK(Design!$B$35),Constants!$C$6,Design!$B$35)/1000*(1+Constants!$C$36/100*(AQ17-25))-Design!$C$22)/(IF(ISBLANK(Design!$B$34),Design!$B$33,Design!$B$34)/1000000)*AH17/100/(IF(ISBLANK(Design!$B$26),Design!$B$25,Design!$B$26)*1000000)&lt;0, 0, ($B17-AG17*IF(ISBLANK(Design!$B$35),Constants!$C$6,Design!$B$35)/1000*(1+Constants!$C$36/100*(AQ17-25))-Design!$C$22)/(IF(ISBLANK(Design!$B$34),Design!$B$33,Design!$B$34)/1000000)*AH17/100/(IF(ISBLANK(Design!$B$26),Design!$B$25,Design!$B$26)*1000000))</f>
        <v>0.52562593309543171</v>
      </c>
      <c r="AJ17" s="217">
        <f>$B17*Constants!$C$21/1000+IF(ISBLANK(Design!$B$26),Design!$B$25,Design!$B$26)*1000000*(Constants!$D$26+Constants!$D$27)/1000000000*$B17</f>
        <v>4.68084E-2</v>
      </c>
      <c r="AK17" s="217">
        <f>$B17*AG17*($B17/(Constants!$C$28*1000000000)*IF(ISBLANK(Design!$B$26),Design!$B$25,Design!$B$26)*1000000/2+$B17/(Constants!$C$29*1000000000)*IF(ISBLANK(Design!$B$26),Design!$B$25,Design!$B$26)*1000000/2)</f>
        <v>3.3718471999999992E-2</v>
      </c>
      <c r="AL17" s="217">
        <f t="shared" ca="1" si="7"/>
        <v>1.8020329091213167E-2</v>
      </c>
      <c r="AM17" s="217">
        <f t="shared" ca="1" si="8"/>
        <v>2.1475124647123308E-2</v>
      </c>
      <c r="AN17" s="217">
        <f>2*AG17*Constants!$C$20/1000000000*Constants!$C$25*IF(ISBLANK(Design!$B$26),Design!$B$25,Design!$B$26)*1000000</f>
        <v>2.4E-2</v>
      </c>
      <c r="AO17" s="217">
        <f>(Constants!$D$26+Constants!$D$27)/1000000000*$B17*IF(ISBLANK(Design!$B$26),Design!$B$25,Design!$B$26)*1000000</f>
        <v>3.8596399999999989E-2</v>
      </c>
      <c r="AP17" s="217">
        <f t="shared" ca="1" si="9"/>
        <v>0.18261872573833648</v>
      </c>
      <c r="AQ17" s="218">
        <f ca="1">AP17*Design!$C$12+$A17</f>
        <v>33.765698835440148</v>
      </c>
      <c r="AR17" s="218">
        <f ca="1">Constants!$D$22+Constants!$D$22*Constants!$C$24/100*(AQ17-25)</f>
        <v>84.488037803745357</v>
      </c>
      <c r="AS17" s="218">
        <f ca="1">Constants!$D$23+Constants!$D$23*Constants!$C$24/100*(AQ17-25)</f>
        <v>68.646530715543108</v>
      </c>
      <c r="AT17" s="217">
        <f ca="1">(1-Constants!$C$19/1000000000*Design!$B$26*1000000) * ($B17+AG17*AS17/1000-AG17*AR17/1000) - (AG17*AS17/1000+AG17*(1+($A17-25)*Constants!$C$36/100)*IF(ISBLANK(Design!$B$35),Constants!$C$6/1000,Design!$B$35/1000))</f>
        <v>3.63566407527005</v>
      </c>
      <c r="AU17" s="311">
        <f ca="1">IF(AT17&gt;Design!$C$22,Design!$C$22,AT17)</f>
        <v>1.7973333333333334</v>
      </c>
    </row>
    <row r="18" spans="1:47" s="144" customFormat="1" ht="12.75" customHeight="1">
      <c r="A18" s="136">
        <v>25</v>
      </c>
      <c r="B18" s="137">
        <f t="shared" si="0"/>
        <v>4.0315000000000003</v>
      </c>
      <c r="C18" s="138">
        <f>Design!$D$6</f>
        <v>2</v>
      </c>
      <c r="D18" s="193">
        <f ca="1">IF( 100*(Design!$C$22+C18*(IF(ISBLANK(Design!$B$35),Constants!$C$6,Design!$B$35)/1000*(1+Constants!$C$36/100*(M18-25))+O18/1000))/($B18-C18*N18/1000) &gt; Design!$C$29, Design!$C$29, 100*(Design!$C$22+C18*(IF(ISBLANK(Design!$B$35),Constants!$C$6,Design!$B$35)/1000*(1+Constants!$C$36/100*(M18-25))+O18/1000))/($B18-C18*N18/1000) )</f>
        <v>51.244874460699556</v>
      </c>
      <c r="E18" s="139">
        <f ca="1">IF(($B18-C18*IF(ISBLANK(Design!$B$35),Constants!$C$6,Design!$B$35)/1000*(1+Constants!$C$36/100*(M18-25))-Design!$C$22)/(IF(ISBLANK(Design!$B$34),Design!$B$33,Design!$B$34)/1000000)*D18/100/(IF(ISBLANK(Design!$B$26),Design!$B$25,Design!$B$26)*1000000)&lt;0, 0, ($B18-C18*IF(ISBLANK(Design!$B$35),Constants!$C$6,Design!$B$35)/1000*(1+Constants!$C$36/100*(M18-25))-Design!$C$22)/(IF(ISBLANK(Design!$B$34),Design!$B$33,Design!$B$34)/1000000)*D18/100/(IF(ISBLANK(Design!$B$26),Design!$B$25,Design!$B$26)*1000000))</f>
        <v>0.56860084591613469</v>
      </c>
      <c r="F18" s="186">
        <f>$B18*Constants!$C$21/1000+IF(ISBLANK(Design!$B$26),Design!$B$25,Design!$B$26)*1000000*(Constants!$D$26+Constants!$D$27)/1000000000*$B18</f>
        <v>4.5959099999999996E-2</v>
      </c>
      <c r="G18" s="186">
        <f>$B18*C18*($B18/(Constants!$C$28*1000000000)*IF(ISBLANK(Design!$B$26),Design!$B$25,Design!$B$26)*1000000/2+$B18/(Constants!$C$29*1000000000)*IF(ISBLANK(Design!$B$26),Design!$B$25,Design!$B$26)*1000000/2)</f>
        <v>9.7517953500000018E-2</v>
      </c>
      <c r="H18" s="186">
        <f t="shared" ca="1" si="1"/>
        <v>0.1974819854531395</v>
      </c>
      <c r="I18" s="186">
        <f t="shared" ca="1" si="2"/>
        <v>0.18788725884970553</v>
      </c>
      <c r="J18" s="186">
        <f>2*C18*Constants!$C$20/1000000000*Constants!$C$25*IF(ISBLANK(Design!$B$26),Design!$B$25,Design!$B$26)*1000000</f>
        <v>7.1999999999999995E-2</v>
      </c>
      <c r="K18" s="186">
        <f>(Constants!$D$26+Constants!$D$27)/1000000000*$B18*IF(ISBLANK(Design!$B$26),Design!$B$25,Design!$B$26)*1000000</f>
        <v>3.7896099999999995E-2</v>
      </c>
      <c r="L18" s="186">
        <f t="shared" ca="1" si="3"/>
        <v>0.63874239780284492</v>
      </c>
      <c r="M18" s="187">
        <f ca="1">L18*Design!$C$12+$A18</f>
        <v>55.659635094536554</v>
      </c>
      <c r="N18" s="187">
        <f ca="1">Constants!$D$22+Constants!$D$22*Constants!$C$24/100*(M18-25)</f>
        <v>95.697733168402721</v>
      </c>
      <c r="O18" s="187">
        <f ca="1">Constants!$D$23+Constants!$D$23*Constants!$C$24/100*(M18-25)</f>
        <v>77.754408199327202</v>
      </c>
      <c r="P18" s="186">
        <f ca="1">(1-Constants!$C$19/1000000000*Design!$B$26*1000000) * ($B18+C18*O18/1000-C18*N18/1000) - (C18*O18/1000+C18*(1+($A18-25)*Constants!$C$36/100)*IF(ISBLANK(Design!$B$35),Constants!$C$6/1000,Design!$B$35/1000))</f>
        <v>3.42714319865701</v>
      </c>
      <c r="Q18" s="191">
        <f ca="1">IF(P18&gt;Design!$C$22,Design!$C$22,P18)</f>
        <v>1.7973333333333334</v>
      </c>
      <c r="R18" s="201">
        <f>2*Design!$D$6/3</f>
        <v>1.3333333333333333</v>
      </c>
      <c r="S18" s="202">
        <f ca="1">IF( 100*(Design!$C$22+R18*(IF(ISBLANK(Design!$B$35),Constants!$C$6,Design!$B$35)/1000*(1+Constants!$C$36/100*(AB18-25))+AD18/1000))/($B18-R18*AC18/1000) &gt; Design!$C$29, Design!$C$29, 100*(Design!$C$22+R18*(IF(ISBLANK(Design!$B$35),Constants!$C$6,Design!$B$35)/1000*(1+Constants!$C$36/100*(AB18-25))+AD18/1000))/($B18-R18*AC18/1000) )</f>
        <v>48.631922205796393</v>
      </c>
      <c r="T18" s="141">
        <f ca="1">IF(($B18-R18*IF(ISBLANK(Design!$B$35),Constants!$C$6,Design!$B$35)/1000*(1+Constants!$C$36/100*(AB18-25))-Design!$C$22)/(IF(ISBLANK(Design!$B$34),Design!$B$33,Design!$B$34)/1000000)*S18/100/(IF(ISBLANK(Design!$B$26),Design!$B$25,Design!$B$26)*1000000)&lt;0, 0, ($B18-R18*IF(ISBLANK(Design!$B$35),Constants!$C$6,Design!$B$35)/1000*(1+Constants!$C$36/100*(AB18-25))-Design!$C$22)/(IF(ISBLANK(Design!$B$34),Design!$B$33,Design!$B$34)/1000000)*S18/100/(IF(ISBLANK(Design!$B$26),Design!$B$25,Design!$B$26)*1000000))</f>
        <v>0.54094064795442121</v>
      </c>
      <c r="U18" s="203">
        <f>$B18*Constants!$C$21/1000+IF(ISBLANK(Design!$B$26),Design!$B$25,Design!$B$26)*1000000*(Constants!$D$26+Constants!$D$27)/1000000000*$B18</f>
        <v>4.5959099999999996E-2</v>
      </c>
      <c r="V18" s="203">
        <f>$B18*R18*($B18/(Constants!$C$28*1000000000)*IF(ISBLANK(Design!$B$26),Design!$B$25,Design!$B$26)*1000000/2+$B18/(Constants!$C$29*1000000000)*IF(ISBLANK(Design!$B$26),Design!$B$25,Design!$B$26)*1000000/2)</f>
        <v>6.5011969000000017E-2</v>
      </c>
      <c r="W18" s="203">
        <f t="shared" ca="1" si="4"/>
        <v>7.7800200439571199E-2</v>
      </c>
      <c r="X18" s="203">
        <f t="shared" ca="1" si="5"/>
        <v>8.2177437520826485E-2</v>
      </c>
      <c r="Y18" s="203">
        <f>2*R18*Constants!$C$20/1000000000*Constants!$C$25*IF(ISBLANK(Design!$B$26),Design!$B$25,Design!$B$26)*1000000</f>
        <v>4.8000000000000001E-2</v>
      </c>
      <c r="Z18" s="203">
        <f>(Constants!$D$26+Constants!$D$27)/1000000000*$B18*IF(ISBLANK(Design!$B$26),Design!$B$25,Design!$B$26)*1000000</f>
        <v>3.7896099999999995E-2</v>
      </c>
      <c r="AA18" s="203">
        <f t="shared" ca="1" si="6"/>
        <v>0.35684480696039766</v>
      </c>
      <c r="AB18" s="204">
        <f ca="1">AA18*Design!$C$12+$A18</f>
        <v>42.128550734099086</v>
      </c>
      <c r="AC18" s="204">
        <f ca="1">Constants!$D$22+Constants!$D$22*Constants!$C$24/100*(AB18-25)</f>
        <v>88.769817975858729</v>
      </c>
      <c r="AD18" s="204">
        <f ca="1">Constants!$D$23+Constants!$D$23*Constants!$C$24/100*(AB18-25)</f>
        <v>72.125477105385215</v>
      </c>
      <c r="AE18" s="203">
        <f ca="1">(1-Constants!$C$19/1000000000*Design!$B$26*1000000) * ($B18+R18*AD18/1000-R18*AC18/1000) - (R18*AD18/1000+R18*(1+($A18-25)*Constants!$C$36/100)*IF(ISBLANK(Design!$B$35),Constants!$C$6/1000,Design!$B$35/1000))</f>
        <v>3.5032761548149183</v>
      </c>
      <c r="AF18" s="308">
        <f ca="1">IF(AE18&gt;Design!$C$22,Design!$C$22,AE18)</f>
        <v>1.7973333333333334</v>
      </c>
      <c r="AG18" s="142">
        <f>Design!$D$6/3</f>
        <v>0.66666666666666663</v>
      </c>
      <c r="AH18" s="216">
        <f ca="1">IF( 100*(Design!$C$22+AG18*(IF(ISBLANK(Design!$B$35),Constants!$C$6,Design!$B$35)/1000*(1+Constants!$C$36/100*(AQ18-25))+AS18/1000))/($B18-AG18*AR18/1000) &gt; Design!$C$29, Design!$C$29, 100*(Design!$C$22+AG18*(IF(ISBLANK(Design!$B$35),Constants!$C$6,Design!$B$35)/1000*(1+Constants!$C$36/100*(AQ18-25))+AS18/1000))/($B18-AG18*AR18/1000) )</f>
        <v>46.479874592580359</v>
      </c>
      <c r="AI18" s="143">
        <f ca="1">IF(($B18-AG18*IF(ISBLANK(Design!$B$35),Constants!$C$6,Design!$B$35)/1000*(1+Constants!$C$36/100*(AQ18-25))-Design!$C$22)/(IF(ISBLANK(Design!$B$34),Design!$B$33,Design!$B$34)/1000000)*AH18/100/(IF(ISBLANK(Design!$B$26),Design!$B$25,Design!$B$26)*1000000)&lt;0, 0, ($B18-AG18*IF(ISBLANK(Design!$B$35),Constants!$C$6,Design!$B$35)/1000*(1+Constants!$C$36/100*(AQ18-25))-Design!$C$22)/(IF(ISBLANK(Design!$B$34),Design!$B$33,Design!$B$34)/1000000)*AH18/100/(IF(ISBLANK(Design!$B$26),Design!$B$25,Design!$B$26)*1000000))</f>
        <v>0.51814567992111549</v>
      </c>
      <c r="AJ18" s="217">
        <f>$B18*Constants!$C$21/1000+IF(ISBLANK(Design!$B$26),Design!$B$25,Design!$B$26)*1000000*(Constants!$D$26+Constants!$D$27)/1000000000*$B18</f>
        <v>4.5959099999999996E-2</v>
      </c>
      <c r="AK18" s="217">
        <f>$B18*AG18*($B18/(Constants!$C$28*1000000000)*IF(ISBLANK(Design!$B$26),Design!$B$25,Design!$B$26)*1000000/2+$B18/(Constants!$C$29*1000000000)*IF(ISBLANK(Design!$B$26),Design!$B$25,Design!$B$26)*1000000/2)</f>
        <v>3.2505984500000008E-2</v>
      </c>
      <c r="AL18" s="217">
        <f t="shared" ca="1" si="7"/>
        <v>1.8316690755515425E-2</v>
      </c>
      <c r="AM18" s="217">
        <f t="shared" ca="1" si="8"/>
        <v>2.1091097918766715E-2</v>
      </c>
      <c r="AN18" s="217">
        <f>2*AG18*Constants!$C$20/1000000000*Constants!$C$25*IF(ISBLANK(Design!$B$26),Design!$B$25,Design!$B$26)*1000000</f>
        <v>2.4E-2</v>
      </c>
      <c r="AO18" s="217">
        <f>(Constants!$D$26+Constants!$D$27)/1000000000*$B18*IF(ISBLANK(Design!$B$26),Design!$B$25,Design!$B$26)*1000000</f>
        <v>3.7896099999999995E-2</v>
      </c>
      <c r="AP18" s="217">
        <f t="shared" ca="1" si="9"/>
        <v>0.17976897317428214</v>
      </c>
      <c r="AQ18" s="218">
        <f ca="1">AP18*Design!$C$12+$A18</f>
        <v>33.628910712365538</v>
      </c>
      <c r="AR18" s="218">
        <f ca="1">Constants!$D$22+Constants!$D$22*Constants!$C$24/100*(AQ18-25)</f>
        <v>84.418002284731159</v>
      </c>
      <c r="AS18" s="218">
        <f ca="1">Constants!$D$23+Constants!$D$23*Constants!$C$24/100*(AQ18-25)</f>
        <v>68.589626856344069</v>
      </c>
      <c r="AT18" s="217">
        <f ca="1">(1-Constants!$C$19/1000000000*Design!$B$26*1000000) * ($B18+AG18*AS18/1000-AG18*AR18/1000) - (AG18*AS18/1000+AG18*(1+($A18-25)*Constants!$C$36/100)*IF(ISBLANK(Design!$B$35),Constants!$C$6/1000,Design!$B$35/1000))</f>
        <v>3.5686598901720723</v>
      </c>
      <c r="AU18" s="311">
        <f ca="1">IF(AT18&gt;Design!$C$22,Design!$C$22,AT18)</f>
        <v>1.7973333333333334</v>
      </c>
    </row>
    <row r="19" spans="1:47" s="144" customFormat="1" ht="12.75" customHeight="1">
      <c r="A19" s="136">
        <v>25</v>
      </c>
      <c r="B19" s="137">
        <f t="shared" si="0"/>
        <v>3.9570000000000003</v>
      </c>
      <c r="C19" s="138">
        <f>Design!$D$6</f>
        <v>2</v>
      </c>
      <c r="D19" s="193">
        <f ca="1">IF( 100*(Design!$C$22+C19*(IF(ISBLANK(Design!$B$35),Constants!$C$6,Design!$B$35)/1000*(1+Constants!$C$36/100*(M19-25))+O19/1000))/($B19-C19*N19/1000) &gt; Design!$C$29, Design!$C$29, 100*(Design!$C$22+C19*(IF(ISBLANK(Design!$B$35),Constants!$C$6,Design!$B$35)/1000*(1+Constants!$C$36/100*(M19-25))+O19/1000))/($B19-C19*N19/1000) )</f>
        <v>52.248286074425486</v>
      </c>
      <c r="E19" s="139">
        <f ca="1">IF(($B19-C19*IF(ISBLANK(Design!$B$35),Constants!$C$6,Design!$B$35)/1000*(1+Constants!$C$36/100*(M19-25))-Design!$C$22)/(IF(ISBLANK(Design!$B$34),Design!$B$33,Design!$B$34)/1000000)*D19/100/(IF(ISBLANK(Design!$B$26),Design!$B$25,Design!$B$26)*1000000)&lt;0, 0, ($B19-C19*IF(ISBLANK(Design!$B$35),Constants!$C$6,Design!$B$35)/1000*(1+Constants!$C$36/100*(M19-25))-Design!$C$22)/(IF(ISBLANK(Design!$B$34),Design!$B$33,Design!$B$34)/1000000)*D19/100/(IF(ISBLANK(Design!$B$26),Design!$B$25,Design!$B$26)*1000000))</f>
        <v>0.56027578173306558</v>
      </c>
      <c r="F19" s="186">
        <f>$B19*Constants!$C$21/1000+IF(ISBLANK(Design!$B$26),Design!$B$25,Design!$B$26)*1000000*(Constants!$D$26+Constants!$D$27)/1000000000*$B19</f>
        <v>4.5109799999999992E-2</v>
      </c>
      <c r="G19" s="186">
        <f>$B19*C19*($B19/(Constants!$C$28*1000000000)*IF(ISBLANK(Design!$B$26),Design!$B$25,Design!$B$26)*1000000/2+$B19/(Constants!$C$29*1000000000)*IF(ISBLANK(Design!$B$26),Design!$B$25,Design!$B$26)*1000000/2)</f>
        <v>9.3947094000000023E-2</v>
      </c>
      <c r="H19" s="186">
        <f t="shared" ca="1" si="1"/>
        <v>0.20101157946703643</v>
      </c>
      <c r="I19" s="186">
        <f t="shared" ca="1" si="2"/>
        <v>0.1837121972721735</v>
      </c>
      <c r="J19" s="186">
        <f>2*C19*Constants!$C$20/1000000000*Constants!$C$25*IF(ISBLANK(Design!$B$26),Design!$B$25,Design!$B$26)*1000000</f>
        <v>7.1999999999999995E-2</v>
      </c>
      <c r="K19" s="186">
        <f>(Constants!$D$26+Constants!$D$27)/1000000000*$B19*IF(ISBLANK(Design!$B$26),Design!$B$25,Design!$B$26)*1000000</f>
        <v>3.7195799999999994E-2</v>
      </c>
      <c r="L19" s="186">
        <f t="shared" ca="1" si="3"/>
        <v>0.63297647073920993</v>
      </c>
      <c r="M19" s="187">
        <f ca="1">L19*Design!$C$12+$A19</f>
        <v>55.382870595482075</v>
      </c>
      <c r="N19" s="187">
        <f ca="1">Constants!$D$22+Constants!$D$22*Constants!$C$24/100*(M19-25)</f>
        <v>95.556029744886828</v>
      </c>
      <c r="O19" s="187">
        <f ca="1">Constants!$D$23+Constants!$D$23*Constants!$C$24/100*(M19-25)</f>
        <v>77.639274167720544</v>
      </c>
      <c r="P19" s="186">
        <f ca="1">(1-Constants!$C$19/1000000000*Design!$B$26*1000000) * ($B19+C19*O19/1000-C19*N19/1000) - (C19*O19/1000+C19*(1+($A19-25)*Constants!$C$36/100)*IF(ISBLANK(Design!$B$35),Constants!$C$6/1000,Design!$B$35/1000))</f>
        <v>3.3603712916256598</v>
      </c>
      <c r="Q19" s="191">
        <f ca="1">IF(P19&gt;Design!$C$22,Design!$C$22,P19)</f>
        <v>1.7973333333333334</v>
      </c>
      <c r="R19" s="201">
        <f>2*Design!$D$6/3</f>
        <v>1.3333333333333333</v>
      </c>
      <c r="S19" s="202">
        <f ca="1">IF( 100*(Design!$C$22+R19*(IF(ISBLANK(Design!$B$35),Constants!$C$6,Design!$B$35)/1000*(1+Constants!$C$36/100*(AB19-25))+AD19/1000))/($B19-R19*AC19/1000) &gt; Design!$C$29, Design!$C$29, 100*(Design!$C$22+R19*(IF(ISBLANK(Design!$B$35),Constants!$C$6,Design!$B$35)/1000*(1+Constants!$C$36/100*(AB19-25))+AD19/1000))/($B19-R19*AC19/1000) )</f>
        <v>49.570916218258908</v>
      </c>
      <c r="T19" s="141">
        <f ca="1">IF(($B19-R19*IF(ISBLANK(Design!$B$35),Constants!$C$6,Design!$B$35)/1000*(1+Constants!$C$36/100*(AB19-25))-Design!$C$22)/(IF(ISBLANK(Design!$B$34),Design!$B$33,Design!$B$34)/1000000)*S19/100/(IF(ISBLANK(Design!$B$26),Design!$B$25,Design!$B$26)*1000000)&lt;0, 0, ($B19-R19*IF(ISBLANK(Design!$B$35),Constants!$C$6,Design!$B$35)/1000*(1+Constants!$C$36/100*(AB19-25))-Design!$C$22)/(IF(ISBLANK(Design!$B$34),Design!$B$33,Design!$B$34)/1000000)*S19/100/(IF(ISBLANK(Design!$B$26),Design!$B$25,Design!$B$26)*1000000))</f>
        <v>0.5329218076665222</v>
      </c>
      <c r="U19" s="203">
        <f>$B19*Constants!$C$21/1000+IF(ISBLANK(Design!$B$26),Design!$B$25,Design!$B$26)*1000000*(Constants!$D$26+Constants!$D$27)/1000000000*$B19</f>
        <v>4.5109799999999992E-2</v>
      </c>
      <c r="V19" s="203">
        <f>$B19*R19*($B19/(Constants!$C$28*1000000000)*IF(ISBLANK(Design!$B$26),Design!$B$25,Design!$B$26)*1000000/2+$B19/(Constants!$C$29*1000000000)*IF(ISBLANK(Design!$B$26),Design!$B$25,Design!$B$26)*1000000/2)</f>
        <v>6.2631396000000006E-2</v>
      </c>
      <c r="W19" s="203">
        <f t="shared" ca="1" si="4"/>
        <v>7.9179093304809031E-2</v>
      </c>
      <c r="X19" s="203">
        <f t="shared" ca="1" si="5"/>
        <v>8.0549835158377756E-2</v>
      </c>
      <c r="Y19" s="203">
        <f>2*R19*Constants!$C$20/1000000000*Constants!$C$25*IF(ISBLANK(Design!$B$26),Design!$B$25,Design!$B$26)*1000000</f>
        <v>4.8000000000000001E-2</v>
      </c>
      <c r="Z19" s="203">
        <f>(Constants!$D$26+Constants!$D$27)/1000000000*$B19*IF(ISBLANK(Design!$B$26),Design!$B$25,Design!$B$26)*1000000</f>
        <v>3.7195799999999994E-2</v>
      </c>
      <c r="AA19" s="203">
        <f t="shared" ca="1" si="6"/>
        <v>0.35266592446318679</v>
      </c>
      <c r="AB19" s="204">
        <f ca="1">AA19*Design!$C$12+$A19</f>
        <v>41.927964374232964</v>
      </c>
      <c r="AC19" s="204">
        <f ca="1">Constants!$D$22+Constants!$D$22*Constants!$C$24/100*(AB19-25)</f>
        <v>88.667117759607279</v>
      </c>
      <c r="AD19" s="204">
        <f ca="1">Constants!$D$23+Constants!$D$23*Constants!$C$24/100*(AB19-25)</f>
        <v>72.042033179680914</v>
      </c>
      <c r="AE19" s="203">
        <f ca="1">(1-Constants!$C$19/1000000000*Design!$B$26*1000000) * ($B19+R19*AD19/1000-R19*AC19/1000) - (R19*AD19/1000+R19*(1+($A19-25)*Constants!$C$36/100)*IF(ISBLANK(Design!$B$35),Constants!$C$6/1000,Design!$B$35/1000))</f>
        <v>3.4363605209311805</v>
      </c>
      <c r="AF19" s="308">
        <f ca="1">IF(AE19&gt;Design!$C$22,Design!$C$22,AE19)</f>
        <v>1.7973333333333334</v>
      </c>
      <c r="AG19" s="142">
        <f>Design!$D$6/3</f>
        <v>0.66666666666666663</v>
      </c>
      <c r="AH19" s="216">
        <f ca="1">IF( 100*(Design!$C$22+AG19*(IF(ISBLANK(Design!$B$35),Constants!$C$6,Design!$B$35)/1000*(1+Constants!$C$36/100*(AQ19-25))+AS19/1000))/($B19-AG19*AR19/1000) &gt; Design!$C$29, Design!$C$29, 100*(Design!$C$22+AG19*(IF(ISBLANK(Design!$B$35),Constants!$C$6,Design!$B$35)/1000*(1+Constants!$C$36/100*(AQ19-25))+AS19/1000))/($B19-AG19*AR19/1000) )</f>
        <v>47.366006093322284</v>
      </c>
      <c r="AI19" s="143">
        <f ca="1">IF(($B19-AG19*IF(ISBLANK(Design!$B$35),Constants!$C$6,Design!$B$35)/1000*(1+Constants!$C$36/100*(AQ19-25))-Design!$C$22)/(IF(ISBLANK(Design!$B$34),Design!$B$33,Design!$B$34)/1000000)*AH19/100/(IF(ISBLANK(Design!$B$26),Design!$B$25,Design!$B$26)*1000000)&lt;0, 0, ($B19-AG19*IF(ISBLANK(Design!$B$35),Constants!$C$6,Design!$B$35)/1000*(1+Constants!$C$36/100*(AQ19-25))-Design!$C$22)/(IF(ISBLANK(Design!$B$34),Design!$B$33,Design!$B$34)/1000000)*AH19/100/(IF(ISBLANK(Design!$B$26),Design!$B$25,Design!$B$26)*1000000))</f>
        <v>0.51038077299213414</v>
      </c>
      <c r="AJ19" s="217">
        <f>$B19*Constants!$C$21/1000+IF(ISBLANK(Design!$B$26),Design!$B$25,Design!$B$26)*1000000*(Constants!$D$26+Constants!$D$27)/1000000000*$B19</f>
        <v>4.5109799999999992E-2</v>
      </c>
      <c r="AK19" s="217">
        <f>$B19*AG19*($B19/(Constants!$C$28*1000000000)*IF(ISBLANK(Design!$B$26),Design!$B$25,Design!$B$26)*1000000/2+$B19/(Constants!$C$29*1000000000)*IF(ISBLANK(Design!$B$26),Design!$B$25,Design!$B$26)*1000000/2)</f>
        <v>3.1315698000000003E-2</v>
      </c>
      <c r="AL19" s="217">
        <f t="shared" ca="1" si="7"/>
        <v>1.8623935705796638E-2</v>
      </c>
      <c r="AM19" s="217">
        <f t="shared" ca="1" si="8"/>
        <v>2.0695266485545098E-2</v>
      </c>
      <c r="AN19" s="217">
        <f>2*AG19*Constants!$C$20/1000000000*Constants!$C$25*IF(ISBLANK(Design!$B$26),Design!$B$25,Design!$B$26)*1000000</f>
        <v>2.4E-2</v>
      </c>
      <c r="AO19" s="217">
        <f>(Constants!$D$26+Constants!$D$27)/1000000000*$B19*IF(ISBLANK(Design!$B$26),Design!$B$25,Design!$B$26)*1000000</f>
        <v>3.7195799999999994E-2</v>
      </c>
      <c r="AP19" s="217">
        <f t="shared" ca="1" si="9"/>
        <v>0.17694050019134172</v>
      </c>
      <c r="AQ19" s="218">
        <f ca="1">AP19*Design!$C$12+$A19</f>
        <v>33.493144009184405</v>
      </c>
      <c r="AR19" s="218">
        <f ca="1">Constants!$D$22+Constants!$D$22*Constants!$C$24/100*(AQ19-25)</f>
        <v>84.348489732702419</v>
      </c>
      <c r="AS19" s="218">
        <f ca="1">Constants!$D$23+Constants!$D$23*Constants!$C$24/100*(AQ19-25)</f>
        <v>68.53314790782072</v>
      </c>
      <c r="AT19" s="217">
        <f ca="1">(1-Constants!$C$19/1000000000*Design!$B$26*1000000) * ($B19+AG19*AS19/1000-AG19*AR19/1000) - (AG19*AS19/1000+AG19*(1+($A19-25)*Constants!$C$36/100)*IF(ISBLANK(Design!$B$35),Constants!$C$6/1000,Design!$B$35/1000))</f>
        <v>3.5016553629665239</v>
      </c>
      <c r="AU19" s="311">
        <f ca="1">IF(AT19&gt;Design!$C$22,Design!$C$22,AT19)</f>
        <v>1.7973333333333334</v>
      </c>
    </row>
    <row r="20" spans="1:47" s="144" customFormat="1" ht="12.75" customHeight="1">
      <c r="A20" s="136">
        <v>25</v>
      </c>
      <c r="B20" s="137">
        <f t="shared" si="0"/>
        <v>3.8825000000000003</v>
      </c>
      <c r="C20" s="138">
        <f>Design!$D$6</f>
        <v>2</v>
      </c>
      <c r="D20" s="193">
        <f ca="1">IF( 100*(Design!$C$22+C20*(IF(ISBLANK(Design!$B$35),Constants!$C$6,Design!$B$35)/1000*(1+Constants!$C$36/100*(M20-25))+O20/1000))/($B20-C20*N20/1000) &gt; Design!$C$29, Design!$C$29, 100*(Design!$C$22+C20*(IF(ISBLANK(Design!$B$35),Constants!$C$6,Design!$B$35)/1000*(1+Constants!$C$36/100*(M20-25))+O20/1000))/($B20-C20*N20/1000) )</f>
        <v>53.292176697443715</v>
      </c>
      <c r="E20" s="139">
        <f ca="1">IF(($B20-C20*IF(ISBLANK(Design!$B$35),Constants!$C$6,Design!$B$35)/1000*(1+Constants!$C$36/100*(M20-25))-Design!$C$22)/(IF(ISBLANK(Design!$B$34),Design!$B$33,Design!$B$34)/1000000)*D20/100/(IF(ISBLANK(Design!$B$26),Design!$B$25,Design!$B$26)*1000000)&lt;0, 0, ($B20-C20*IF(ISBLANK(Design!$B$35),Constants!$C$6,Design!$B$35)/1000*(1+Constants!$C$36/100*(M20-25))-Design!$C$22)/(IF(ISBLANK(Design!$B$34),Design!$B$33,Design!$B$34)/1000000)*D20/100/(IF(ISBLANK(Design!$B$26),Design!$B$25,Design!$B$26)*1000000))</f>
        <v>0.55162226794744085</v>
      </c>
      <c r="F20" s="186">
        <f>$B20*Constants!$C$21/1000+IF(ISBLANK(Design!$B$26),Design!$B$25,Design!$B$26)*1000000*(Constants!$D$26+Constants!$D$27)/1000000000*$B20</f>
        <v>4.4260500000000001E-2</v>
      </c>
      <c r="G20" s="186">
        <f>$B20*C20*($B20/(Constants!$C$28*1000000000)*IF(ISBLANK(Design!$B$26),Design!$B$25,Design!$B$26)*1000000/2+$B20/(Constants!$C$29*1000000000)*IF(ISBLANK(Design!$B$26),Design!$B$25,Design!$B$26)*1000000/2)</f>
        <v>9.0442837500000012E-2</v>
      </c>
      <c r="H20" s="186">
        <f t="shared" ca="1" si="1"/>
        <v>0.20468666660245693</v>
      </c>
      <c r="I20" s="186">
        <f t="shared" ca="1" si="2"/>
        <v>0.17939722579422052</v>
      </c>
      <c r="J20" s="186">
        <f>2*C20*Constants!$C$20/1000000000*Constants!$C$25*IF(ISBLANK(Design!$B$26),Design!$B$25,Design!$B$26)*1000000</f>
        <v>7.1999999999999995E-2</v>
      </c>
      <c r="K20" s="186">
        <f>(Constants!$D$26+Constants!$D$27)/1000000000*$B20*IF(ISBLANK(Design!$B$26),Design!$B$25,Design!$B$26)*1000000</f>
        <v>3.64955E-2</v>
      </c>
      <c r="L20" s="186">
        <f t="shared" ca="1" si="3"/>
        <v>0.62728272989667744</v>
      </c>
      <c r="M20" s="187">
        <f ca="1">L20*Design!$C$12+$A20</f>
        <v>55.109571035040517</v>
      </c>
      <c r="N20" s="187">
        <f ca="1">Constants!$D$22+Constants!$D$22*Constants!$C$24/100*(M20-25)</f>
        <v>95.41610036994075</v>
      </c>
      <c r="O20" s="187">
        <f ca="1">Constants!$D$23+Constants!$D$23*Constants!$C$24/100*(M20-25)</f>
        <v>77.52558155057686</v>
      </c>
      <c r="P20" s="186">
        <f ca="1">(1-Constants!$C$19/1000000000*Design!$B$26*1000000) * ($B20+C20*O20/1000-C20*N20/1000) - (C20*O20/1000+C20*(1+($A20-25)*Constants!$C$36/100)*IF(ISBLANK(Design!$B$35),Constants!$C$6/1000,Design!$B$35/1000))</f>
        <v>3.2935959030239914</v>
      </c>
      <c r="Q20" s="191">
        <f ca="1">IF(P20&gt;Design!$C$22,Design!$C$22,P20)</f>
        <v>1.7973333333333334</v>
      </c>
      <c r="R20" s="201">
        <f>2*Design!$D$6/3</f>
        <v>1.3333333333333333</v>
      </c>
      <c r="S20" s="202">
        <f ca="1">IF( 100*(Design!$C$22+R20*(IF(ISBLANK(Design!$B$35),Constants!$C$6,Design!$B$35)/1000*(1+Constants!$C$36/100*(AB20-25))+AD20/1000))/($B20-R20*AC20/1000) &gt; Design!$C$29, Design!$C$29, 100*(Design!$C$22+R20*(IF(ISBLANK(Design!$B$35),Constants!$C$6,Design!$B$35)/1000*(1+Constants!$C$36/100*(AB20-25))+AD20/1000))/($B20-R20*AC20/1000) )</f>
        <v>50.547062133812389</v>
      </c>
      <c r="T20" s="141">
        <f ca="1">IF(($B20-R20*IF(ISBLANK(Design!$B$35),Constants!$C$6,Design!$B$35)/1000*(1+Constants!$C$36/100*(AB20-25))-Design!$C$22)/(IF(ISBLANK(Design!$B$34),Design!$B$33,Design!$B$34)/1000000)*S20/100/(IF(ISBLANK(Design!$B$26),Design!$B$25,Design!$B$26)*1000000)&lt;0, 0, ($B20-R20*IF(ISBLANK(Design!$B$35),Constants!$C$6,Design!$B$35)/1000*(1+Constants!$C$36/100*(AB20-25))-Design!$C$22)/(IF(ISBLANK(Design!$B$34),Design!$B$33,Design!$B$34)/1000000)*S20/100/(IF(ISBLANK(Design!$B$26),Design!$B$25,Design!$B$26)*1000000))</f>
        <v>0.52458903478123298</v>
      </c>
      <c r="U20" s="203">
        <f>$B20*Constants!$C$21/1000+IF(ISBLANK(Design!$B$26),Design!$B$25,Design!$B$26)*1000000*(Constants!$D$26+Constants!$D$27)/1000000000*$B20</f>
        <v>4.4260500000000001E-2</v>
      </c>
      <c r="V20" s="203">
        <f>$B20*R20*($B20/(Constants!$C$28*1000000000)*IF(ISBLANK(Design!$B$26),Design!$B$25,Design!$B$26)*1000000/2+$B20/(Constants!$C$29*1000000000)*IF(ISBLANK(Design!$B$26),Design!$B$25,Design!$B$26)*1000000/2)</f>
        <v>6.0295225000000001E-2</v>
      </c>
      <c r="W20" s="203">
        <f t="shared" ca="1" si="4"/>
        <v>8.0612898513713338E-2</v>
      </c>
      <c r="X20" s="203">
        <f t="shared" ca="1" si="5"/>
        <v>7.8867979524872081E-2</v>
      </c>
      <c r="Y20" s="203">
        <f>2*R20*Constants!$C$20/1000000000*Constants!$C$25*IF(ISBLANK(Design!$B$26),Design!$B$25,Design!$B$26)*1000000</f>
        <v>4.8000000000000001E-2</v>
      </c>
      <c r="Z20" s="203">
        <f>(Constants!$D$26+Constants!$D$27)/1000000000*$B20*IF(ISBLANK(Design!$B$26),Design!$B$25,Design!$B$26)*1000000</f>
        <v>3.64955E-2</v>
      </c>
      <c r="AA20" s="203">
        <f t="shared" ca="1" si="6"/>
        <v>0.34853210303858539</v>
      </c>
      <c r="AB20" s="204">
        <f ca="1">AA20*Design!$C$12+$A20</f>
        <v>41.729540945852101</v>
      </c>
      <c r="AC20" s="204">
        <f ca="1">Constants!$D$22+Constants!$D$22*Constants!$C$24/100*(AB20-25)</f>
        <v>88.565524964276278</v>
      </c>
      <c r="AD20" s="204">
        <f ca="1">Constants!$D$23+Constants!$D$23*Constants!$C$24/100*(AB20-25)</f>
        <v>71.959489033474469</v>
      </c>
      <c r="AE20" s="203">
        <f ca="1">(1-Constants!$C$19/1000000000*Design!$B$26*1000000) * ($B20+R20*AD20/1000-R20*AC20/1000) - (R20*AD20/1000+R20*(1+($A20-25)*Constants!$C$36/100)*IF(ISBLANK(Design!$B$35),Constants!$C$6/1000,Design!$B$35/1000))</f>
        <v>3.3694434381717389</v>
      </c>
      <c r="AF20" s="308">
        <f ca="1">IF(AE20&gt;Design!$C$22,Design!$C$22,AE20)</f>
        <v>1.7973333333333334</v>
      </c>
      <c r="AG20" s="142">
        <f>Design!$D$6/3</f>
        <v>0.66666666666666663</v>
      </c>
      <c r="AH20" s="216">
        <f ca="1">IF( 100*(Design!$C$22+AG20*(IF(ISBLANK(Design!$B$35),Constants!$C$6,Design!$B$35)/1000*(1+Constants!$C$36/100*(AQ20-25))+AS20/1000))/($B20-AG20*AR20/1000) &gt; Design!$C$29, Design!$C$29, 100*(Design!$C$22+AG20*(IF(ISBLANK(Design!$B$35),Constants!$C$6,Design!$B$35)/1000*(1+Constants!$C$36/100*(AQ20-25))+AS20/1000))/($B20-AG20*AR20/1000) )</f>
        <v>48.286635120739966</v>
      </c>
      <c r="AI20" s="143">
        <f ca="1">IF(($B20-AG20*IF(ISBLANK(Design!$B$35),Constants!$C$6,Design!$B$35)/1000*(1+Constants!$C$36/100*(AQ20-25))-Design!$C$22)/(IF(ISBLANK(Design!$B$34),Design!$B$33,Design!$B$34)/1000000)*AH20/100/(IF(ISBLANK(Design!$B$26),Design!$B$25,Design!$B$26)*1000000)&lt;0, 0, ($B20-AG20*IF(ISBLANK(Design!$B$35),Constants!$C$6,Design!$B$35)/1000*(1+Constants!$C$36/100*(AQ20-25))-Design!$C$22)/(IF(ISBLANK(Design!$B$34),Design!$B$33,Design!$B$34)/1000000)*AH20/100/(IF(ISBLANK(Design!$B$26),Design!$B$25,Design!$B$26)*1000000))</f>
        <v>0.50231458460337519</v>
      </c>
      <c r="AJ20" s="217">
        <f>$B20*Constants!$C$21/1000+IF(ISBLANK(Design!$B$26),Design!$B$25,Design!$B$26)*1000000*(Constants!$D$26+Constants!$D$27)/1000000000*$B20</f>
        <v>4.4260500000000001E-2</v>
      </c>
      <c r="AK20" s="217">
        <f>$B20*AG20*($B20/(Constants!$C$28*1000000000)*IF(ISBLANK(Design!$B$26),Design!$B$25,Design!$B$26)*1000000/2+$B20/(Constants!$C$29*1000000000)*IF(ISBLANK(Design!$B$26),Design!$B$25,Design!$B$26)*1000000/2)</f>
        <v>3.01476125E-2</v>
      </c>
      <c r="AL20" s="217">
        <f t="shared" ca="1" si="7"/>
        <v>1.8942688536001125E-2</v>
      </c>
      <c r="AM20" s="217">
        <f t="shared" ca="1" si="8"/>
        <v>2.0286983377635501E-2</v>
      </c>
      <c r="AN20" s="217">
        <f>2*AG20*Constants!$C$20/1000000000*Constants!$C$25*IF(ISBLANK(Design!$B$26),Design!$B$25,Design!$B$26)*1000000</f>
        <v>2.4E-2</v>
      </c>
      <c r="AO20" s="217">
        <f>(Constants!$D$26+Constants!$D$27)/1000000000*$B20*IF(ISBLANK(Design!$B$26),Design!$B$25,Design!$B$26)*1000000</f>
        <v>3.64955E-2</v>
      </c>
      <c r="AP20" s="217">
        <f t="shared" ca="1" si="9"/>
        <v>0.17413328441363662</v>
      </c>
      <c r="AQ20" s="218">
        <f ca="1">AP20*Design!$C$12+$A20</f>
        <v>33.35839765185456</v>
      </c>
      <c r="AR20" s="218">
        <f ca="1">Constants!$D$22+Constants!$D$22*Constants!$C$24/100*(AQ20-25)</f>
        <v>84.279499597749535</v>
      </c>
      <c r="AS20" s="218">
        <f ca="1">Constants!$D$23+Constants!$D$23*Constants!$C$24/100*(AQ20-25)</f>
        <v>68.477093423171496</v>
      </c>
      <c r="AT20" s="217">
        <f ca="1">(1-Constants!$C$19/1000000000*Design!$B$26*1000000) * ($B20+AG20*AS20/1000-AG20*AR20/1000) - (AG20*AS20/1000+AG20*(1+($A20-25)*Constants!$C$36/100)*IF(ISBLANK(Design!$B$35),Constants!$C$6/1000,Design!$B$35/1000))</f>
        <v>3.4346504940131393</v>
      </c>
      <c r="AU20" s="311">
        <f ca="1">IF(AT20&gt;Design!$C$22,Design!$C$22,AT20)</f>
        <v>1.7973333333333334</v>
      </c>
    </row>
    <row r="21" spans="1:47" s="144" customFormat="1" ht="12.75" customHeight="1">
      <c r="A21" s="136">
        <v>25</v>
      </c>
      <c r="B21" s="137">
        <f t="shared" si="0"/>
        <v>3.8080000000000003</v>
      </c>
      <c r="C21" s="138">
        <f>Design!$D$6</f>
        <v>2</v>
      </c>
      <c r="D21" s="193">
        <f ca="1">IF( 100*(Design!$C$22+C21*(IF(ISBLANK(Design!$B$35),Constants!$C$6,Design!$B$35)/1000*(1+Constants!$C$36/100*(M21-25))+O21/1000))/($B21-C21*N21/1000) &gt; Design!$C$29, Design!$C$29, 100*(Design!$C$22+C21*(IF(ISBLANK(Design!$B$35),Constants!$C$6,Design!$B$35)/1000*(1+Constants!$C$36/100*(M21-25))+O21/1000))/($B21-C21*N21/1000) )</f>
        <v>54.379040882811061</v>
      </c>
      <c r="E21" s="139">
        <f ca="1">IF(($B21-C21*IF(ISBLANK(Design!$B$35),Constants!$C$6,Design!$B$35)/1000*(1+Constants!$C$36/100*(M21-25))-Design!$C$22)/(IF(ISBLANK(Design!$B$34),Design!$B$33,Design!$B$34)/1000000)*D21/100/(IF(ISBLANK(Design!$B$26),Design!$B$25,Design!$B$26)*1000000)&lt;0, 0, ($B21-C21*IF(ISBLANK(Design!$B$35),Constants!$C$6,Design!$B$35)/1000*(1+Constants!$C$36/100*(M21-25))-Design!$C$22)/(IF(ISBLANK(Design!$B$34),Design!$B$33,Design!$B$34)/1000000)*D21/100/(IF(ISBLANK(Design!$B$26),Design!$B$25,Design!$B$26)*1000000))</f>
        <v>0.54261996701415782</v>
      </c>
      <c r="F21" s="186">
        <f>$B21*Constants!$C$21/1000+IF(ISBLANK(Design!$B$26),Design!$B$25,Design!$B$26)*1000000*(Constants!$D$26+Constants!$D$27)/1000000000*$B21</f>
        <v>4.3411199999999997E-2</v>
      </c>
      <c r="G21" s="186">
        <f>$B21*C21*($B21/(Constants!$C$28*1000000000)*IF(ISBLANK(Design!$B$26),Design!$B$25,Design!$B$26)*1000000/2+$B21/(Constants!$C$29*1000000000)*IF(ISBLANK(Design!$B$26),Design!$B$25,Design!$B$26)*1000000/2)</f>
        <v>8.7005184000000013E-2</v>
      </c>
      <c r="H21" s="186">
        <f t="shared" ca="1" si="1"/>
        <v>0.20851618811090222</v>
      </c>
      <c r="I21" s="186">
        <f t="shared" ca="1" si="2"/>
        <v>0.17493336290317818</v>
      </c>
      <c r="J21" s="186">
        <f>2*C21*Constants!$C$20/1000000000*Constants!$C$25*IF(ISBLANK(Design!$B$26),Design!$B$25,Design!$B$26)*1000000</f>
        <v>7.1999999999999995E-2</v>
      </c>
      <c r="K21" s="186">
        <f>(Constants!$D$26+Constants!$D$27)/1000000000*$B21*IF(ISBLANK(Design!$B$26),Design!$B$25,Design!$B$26)*1000000</f>
        <v>3.5795199999999992E-2</v>
      </c>
      <c r="L21" s="186">
        <f t="shared" ca="1" si="3"/>
        <v>0.62166113501408038</v>
      </c>
      <c r="M21" s="187">
        <f ca="1">L21*Design!$C$12+$A21</f>
        <v>54.839734480675858</v>
      </c>
      <c r="N21" s="187">
        <f ca="1">Constants!$D$22+Constants!$D$22*Constants!$C$24/100*(M21-25)</f>
        <v>95.277944054106044</v>
      </c>
      <c r="O21" s="187">
        <f ca="1">Constants!$D$23+Constants!$D$23*Constants!$C$24/100*(M21-25)</f>
        <v>77.413329543961154</v>
      </c>
      <c r="P21" s="186">
        <f ca="1">(1-Constants!$C$19/1000000000*Design!$B$26*1000000) * ($B21+C21*O21/1000-C21*N21/1000) - (C21*O21/1000+C21*(1+($A21-25)*Constants!$C$36/100)*IF(ISBLANK(Design!$B$35),Constants!$C$6/1000,Design!$B$35/1000))</f>
        <v>3.2268170347938172</v>
      </c>
      <c r="Q21" s="191">
        <f ca="1">IF(P21&gt;Design!$C$22,Design!$C$22,P21)</f>
        <v>1.7973333333333334</v>
      </c>
      <c r="R21" s="201">
        <f>2*Design!$D$6/3</f>
        <v>1.3333333333333333</v>
      </c>
      <c r="S21" s="202">
        <f ca="1">IF( 100*(Design!$C$22+R21*(IF(ISBLANK(Design!$B$35),Constants!$C$6,Design!$B$35)/1000*(1+Constants!$C$36/100*(AB21-25))+AD21/1000))/($B21-R21*AC21/1000) &gt; Design!$C$29, Design!$C$29, 100*(Design!$C$22+R21*(IF(ISBLANK(Design!$B$35),Constants!$C$6,Design!$B$35)/1000*(1+Constants!$C$36/100*(AB21-25))+AD21/1000))/($B21-R21*AC21/1000) )</f>
        <v>51.562607228166208</v>
      </c>
      <c r="T21" s="141">
        <f ca="1">IF(($B21-R21*IF(ISBLANK(Design!$B$35),Constants!$C$6,Design!$B$35)/1000*(1+Constants!$C$36/100*(AB21-25))-Design!$C$22)/(IF(ISBLANK(Design!$B$34),Design!$B$33,Design!$B$34)/1000000)*S21/100/(IF(ISBLANK(Design!$B$26),Design!$B$25,Design!$B$26)*1000000)&lt;0, 0, ($B21-R21*IF(ISBLANK(Design!$B$35),Constants!$C$6,Design!$B$35)/1000*(1+Constants!$C$36/100*(AB21-25))-Design!$C$22)/(IF(ISBLANK(Design!$B$34),Design!$B$33,Design!$B$34)/1000000)*S21/100/(IF(ISBLANK(Design!$B$26),Design!$B$25,Design!$B$26)*1000000))</f>
        <v>0.51592330054043301</v>
      </c>
      <c r="U21" s="203">
        <f>$B21*Constants!$C$21/1000+IF(ISBLANK(Design!$B$26),Design!$B$25,Design!$B$26)*1000000*(Constants!$D$26+Constants!$D$27)/1000000000*$B21</f>
        <v>4.3411199999999997E-2</v>
      </c>
      <c r="V21" s="203">
        <f>$B21*R21*($B21/(Constants!$C$28*1000000000)*IF(ISBLANK(Design!$B$26),Design!$B$25,Design!$B$26)*1000000/2+$B21/(Constants!$C$29*1000000000)*IF(ISBLANK(Design!$B$26),Design!$B$25,Design!$B$26)*1000000/2)</f>
        <v>5.8003456000000002E-2</v>
      </c>
      <c r="W21" s="203">
        <f t="shared" ca="1" si="4"/>
        <v>8.2104923083779272E-2</v>
      </c>
      <c r="X21" s="203">
        <f t="shared" ca="1" si="5"/>
        <v>7.7128536001139225E-2</v>
      </c>
      <c r="Y21" s="203">
        <f>2*R21*Constants!$C$20/1000000000*Constants!$C$25*IF(ISBLANK(Design!$B$26),Design!$B$25,Design!$B$26)*1000000</f>
        <v>4.8000000000000001E-2</v>
      </c>
      <c r="Z21" s="203">
        <f>(Constants!$D$26+Constants!$D$27)/1000000000*$B21*IF(ISBLANK(Design!$B$26),Design!$B$25,Design!$B$26)*1000000</f>
        <v>3.5795199999999992E-2</v>
      </c>
      <c r="AA21" s="203">
        <f t="shared" ca="1" si="6"/>
        <v>0.34444331508491843</v>
      </c>
      <c r="AB21" s="204">
        <f ca="1">AA21*Design!$C$12+$A21</f>
        <v>41.533279124076088</v>
      </c>
      <c r="AC21" s="204">
        <f ca="1">Constants!$D$22+Constants!$D$22*Constants!$C$24/100*(AB21-25)</f>
        <v>88.46503891152696</v>
      </c>
      <c r="AD21" s="204">
        <f ca="1">Constants!$D$23+Constants!$D$23*Constants!$C$24/100*(AB21-25)</f>
        <v>71.877844115615659</v>
      </c>
      <c r="AE21" s="203">
        <f ca="1">(1-Constants!$C$19/1000000000*Design!$B$26*1000000) * ($B21+R21*AD21/1000-R21*AC21/1000) - (R21*AD21/1000+R21*(1+($A21-25)*Constants!$C$36/100)*IF(ISBLANK(Design!$B$35),Constants!$C$6/1000,Design!$B$35/1000))</f>
        <v>3.3025249074240861</v>
      </c>
      <c r="AF21" s="308">
        <f ca="1">IF(AE21&gt;Design!$C$22,Design!$C$22,AE21)</f>
        <v>1.7973333333333334</v>
      </c>
      <c r="AG21" s="142">
        <f>Design!$D$6/3</f>
        <v>0.66666666666666663</v>
      </c>
      <c r="AH21" s="216">
        <f ca="1">IF( 100*(Design!$C$22+AG21*(IF(ISBLANK(Design!$B$35),Constants!$C$6,Design!$B$35)/1000*(1+Constants!$C$36/100*(AQ21-25))+AS21/1000))/($B21-AG21*AR21/1000) &gt; Design!$C$29, Design!$C$29, 100*(Design!$C$22+AG21*(IF(ISBLANK(Design!$B$35),Constants!$C$6,Design!$B$35)/1000*(1+Constants!$C$36/100*(AQ21-25))+AS21/1000))/($B21-AG21*AR21/1000) )</f>
        <v>49.243815684189116</v>
      </c>
      <c r="AI21" s="143">
        <f ca="1">IF(($B21-AG21*IF(ISBLANK(Design!$B$35),Constants!$C$6,Design!$B$35)/1000*(1+Constants!$C$36/100*(AQ21-25))-Design!$C$22)/(IF(ISBLANK(Design!$B$34),Design!$B$33,Design!$B$34)/1000000)*AH21/100/(IF(ISBLANK(Design!$B$26),Design!$B$25,Design!$B$26)*1000000)&lt;0, 0, ($B21-AG21*IF(ISBLANK(Design!$B$35),Constants!$C$6,Design!$B$35)/1000*(1+Constants!$C$36/100*(AQ21-25))-Design!$C$22)/(IF(ISBLANK(Design!$B$34),Design!$B$33,Design!$B$34)/1000000)*AH21/100/(IF(ISBLANK(Design!$B$26),Design!$B$25,Design!$B$26)*1000000))</f>
        <v>0.49392916703471201</v>
      </c>
      <c r="AJ21" s="217">
        <f>$B21*Constants!$C$21/1000+IF(ISBLANK(Design!$B$26),Design!$B$25,Design!$B$26)*1000000*(Constants!$D$26+Constants!$D$27)/1000000000*$B21</f>
        <v>4.3411199999999997E-2</v>
      </c>
      <c r="AK21" s="217">
        <f>$B21*AG21*($B21/(Constants!$C$28*1000000000)*IF(ISBLANK(Design!$B$26),Design!$B$25,Design!$B$26)*1000000/2+$B21/(Constants!$C$29*1000000000)*IF(ISBLANK(Design!$B$26),Design!$B$25,Design!$B$26)*1000000/2)</f>
        <v>2.9001728000000001E-2</v>
      </c>
      <c r="AL21" s="217">
        <f t="shared" ca="1" si="7"/>
        <v>1.9273624471224181E-2</v>
      </c>
      <c r="AM21" s="217">
        <f t="shared" ca="1" si="8"/>
        <v>1.9865553115723921E-2</v>
      </c>
      <c r="AN21" s="217">
        <f>2*AG21*Constants!$C$20/1000000000*Constants!$C$25*IF(ISBLANK(Design!$B$26),Design!$B$25,Design!$B$26)*1000000</f>
        <v>2.4E-2</v>
      </c>
      <c r="AO21" s="217">
        <f>(Constants!$D$26+Constants!$D$27)/1000000000*$B21*IF(ISBLANK(Design!$B$26),Design!$B$25,Design!$B$26)*1000000</f>
        <v>3.5795199999999992E-2</v>
      </c>
      <c r="AP21" s="217">
        <f t="shared" ca="1" si="9"/>
        <v>0.17134730558694811</v>
      </c>
      <c r="AQ21" s="218">
        <f ca="1">AP21*Design!$C$12+$A21</f>
        <v>33.224670668173509</v>
      </c>
      <c r="AR21" s="218">
        <f ca="1">Constants!$D$22+Constants!$D$22*Constants!$C$24/100*(AQ21-25)</f>
        <v>84.211031382104835</v>
      </c>
      <c r="AS21" s="218">
        <f ca="1">Constants!$D$23+Constants!$D$23*Constants!$C$24/100*(AQ21-25)</f>
        <v>68.421462997960177</v>
      </c>
      <c r="AT21" s="217">
        <f ca="1">(1-Constants!$C$19/1000000000*Design!$B$26*1000000) * ($B21+AG21*AS21/1000-AG21*AR21/1000) - (AG21*AS21/1000+AG21*(1+($A21-25)*Constants!$C$36/100)*IF(ISBLANK(Design!$B$35),Constants!$C$6/1000,Design!$B$35/1000))</f>
        <v>3.3676452836375401</v>
      </c>
      <c r="AU21" s="311">
        <f ca="1">IF(AT21&gt;Design!$C$22,Design!$C$22,AT21)</f>
        <v>1.7973333333333334</v>
      </c>
    </row>
    <row r="22" spans="1:47" s="144" customFormat="1" ht="12.75" customHeight="1">
      <c r="A22" s="136">
        <v>25</v>
      </c>
      <c r="B22" s="137">
        <f t="shared" si="0"/>
        <v>3.7335000000000003</v>
      </c>
      <c r="C22" s="138">
        <f>Design!$D$6</f>
        <v>2</v>
      </c>
      <c r="D22" s="193">
        <f ca="1">IF( 100*(Design!$C$22+C22*(IF(ISBLANK(Design!$B$35),Constants!$C$6,Design!$B$35)/1000*(1+Constants!$C$36/100*(M22-25))+O22/1000))/($B22-C22*N22/1000) &gt; Design!$C$29, Design!$C$29, 100*(Design!$C$22+C22*(IF(ISBLANK(Design!$B$35),Constants!$C$6,Design!$B$35)/1000*(1+Constants!$C$36/100*(M22-25))+O22/1000))/($B22-C22*N22/1000) )</f>
        <v>55.511582465012758</v>
      </c>
      <c r="E22" s="139">
        <f ca="1">IF(($B22-C22*IF(ISBLANK(Design!$B$35),Constants!$C$6,Design!$B$35)/1000*(1+Constants!$C$36/100*(M22-25))-Design!$C$22)/(IF(ISBLANK(Design!$B$34),Design!$B$33,Design!$B$34)/1000000)*D22/100/(IF(ISBLANK(Design!$B$26),Design!$B$25,Design!$B$26)*1000000)&lt;0, 0, ($B22-C22*IF(ISBLANK(Design!$B$35),Constants!$C$6,Design!$B$35)/1000*(1+Constants!$C$36/100*(M22-25))-Design!$C$22)/(IF(ISBLANK(Design!$B$34),Design!$B$33,Design!$B$34)/1000000)*D22/100/(IF(ISBLANK(Design!$B$26),Design!$B$25,Design!$B$26)*1000000))</f>
        <v>0.53324683534956274</v>
      </c>
      <c r="F22" s="186">
        <f>$B22*Constants!$C$21/1000+IF(ISBLANK(Design!$B$26),Design!$B$25,Design!$B$26)*1000000*(Constants!$D$26+Constants!$D$27)/1000000000*$B22</f>
        <v>4.25619E-2</v>
      </c>
      <c r="G22" s="186">
        <f>$B22*C22*($B22/(Constants!$C$28*1000000000)*IF(ISBLANK(Design!$B$26),Design!$B$25,Design!$B$26)*1000000/2+$B22/(Constants!$C$29*1000000000)*IF(ISBLANK(Design!$B$26),Design!$B$25,Design!$B$26)*1000000/2)</f>
        <v>8.3634133499999999E-2</v>
      </c>
      <c r="H22" s="186">
        <f t="shared" ca="1" si="1"/>
        <v>0.21250983713618354</v>
      </c>
      <c r="I22" s="186">
        <f t="shared" ca="1" si="2"/>
        <v>0.17031087828860547</v>
      </c>
      <c r="J22" s="186">
        <f>2*C22*Constants!$C$20/1000000000*Constants!$C$25*IF(ISBLANK(Design!$B$26),Design!$B$25,Design!$B$26)*1000000</f>
        <v>7.1999999999999995E-2</v>
      </c>
      <c r="K22" s="186">
        <f>(Constants!$D$26+Constants!$D$27)/1000000000*$B22*IF(ISBLANK(Design!$B$26),Design!$B$25,Design!$B$26)*1000000</f>
        <v>3.5094899999999998E-2</v>
      </c>
      <c r="L22" s="186">
        <f t="shared" ca="1" si="3"/>
        <v>0.61611164892478898</v>
      </c>
      <c r="M22" s="187">
        <f ca="1">L22*Design!$C$12+$A22</f>
        <v>54.573359148389869</v>
      </c>
      <c r="N22" s="187">
        <f ca="1">Constants!$D$22+Constants!$D$22*Constants!$C$24/100*(M22-25)</f>
        <v>95.141559883975617</v>
      </c>
      <c r="O22" s="187">
        <f ca="1">Constants!$D$23+Constants!$D$23*Constants!$C$24/100*(M22-25)</f>
        <v>77.302517405730185</v>
      </c>
      <c r="P22" s="186">
        <f ca="1">(1-Constants!$C$19/1000000000*Design!$B$26*1000000) * ($B22+C22*O22/1000-C22*N22/1000) - (C22*O22/1000+C22*(1+($A22-25)*Constants!$C$36/100)*IF(ISBLANK(Design!$B$35),Constants!$C$6/1000,Design!$B$35/1000))</f>
        <v>3.1600346887276984</v>
      </c>
      <c r="Q22" s="191">
        <f ca="1">IF(P22&gt;Design!$C$22,Design!$C$22,P22)</f>
        <v>1.7973333333333334</v>
      </c>
      <c r="R22" s="201">
        <f>2*Design!$D$6/3</f>
        <v>1.3333333333333333</v>
      </c>
      <c r="S22" s="202">
        <f ca="1">IF( 100*(Design!$C$22+R22*(IF(ISBLANK(Design!$B$35),Constants!$C$6,Design!$B$35)/1000*(1+Constants!$C$36/100*(AB22-25))+AD22/1000))/($B22-R22*AC22/1000) &gt; Design!$C$29, Design!$C$29, 100*(Design!$C$22+R22*(IF(ISBLANK(Design!$B$35),Constants!$C$6,Design!$B$35)/1000*(1+Constants!$C$36/100*(AB22-25))+AD22/1000))/($B22-R22*AC22/1000) )</f>
        <v>52.619983759025658</v>
      </c>
      <c r="T22" s="141">
        <f ca="1">IF(($B22-R22*IF(ISBLANK(Design!$B$35),Constants!$C$6,Design!$B$35)/1000*(1+Constants!$C$36/100*(AB22-25))-Design!$C$22)/(IF(ISBLANK(Design!$B$34),Design!$B$33,Design!$B$34)/1000000)*S22/100/(IF(ISBLANK(Design!$B$26),Design!$B$25,Design!$B$26)*1000000)&lt;0, 0, ($B22-R22*IF(ISBLANK(Design!$B$35),Constants!$C$6,Design!$B$35)/1000*(1+Constants!$C$36/100*(AB22-25))-Design!$C$22)/(IF(ISBLANK(Design!$B$34),Design!$B$33,Design!$B$34)/1000000)*S22/100/(IF(ISBLANK(Design!$B$26),Design!$B$25,Design!$B$26)*1000000))</f>
        <v>0.50690400995332063</v>
      </c>
      <c r="U22" s="203">
        <f>$B22*Constants!$C$21/1000+IF(ISBLANK(Design!$B$26),Design!$B$25,Design!$B$26)*1000000*(Constants!$D$26+Constants!$D$27)/1000000000*$B22</f>
        <v>4.25619E-2</v>
      </c>
      <c r="V22" s="203">
        <f>$B22*R22*($B22/(Constants!$C$28*1000000000)*IF(ISBLANK(Design!$B$26),Design!$B$25,Design!$B$26)*1000000/2+$B22/(Constants!$C$29*1000000000)*IF(ISBLANK(Design!$B$26),Design!$B$25,Design!$B$26)*1000000/2)</f>
        <v>5.5756088999999988E-2</v>
      </c>
      <c r="W22" s="203">
        <f t="shared" ca="1" si="4"/>
        <v>8.3658747771503603E-2</v>
      </c>
      <c r="X22" s="203">
        <f t="shared" ca="1" si="5"/>
        <v>7.5327899116531608E-2</v>
      </c>
      <c r="Y22" s="203">
        <f>2*R22*Constants!$C$20/1000000000*Constants!$C$25*IF(ISBLANK(Design!$B$26),Design!$B$25,Design!$B$26)*1000000</f>
        <v>4.8000000000000001E-2</v>
      </c>
      <c r="Z22" s="203">
        <f>(Constants!$D$26+Constants!$D$27)/1000000000*$B22*IF(ISBLANK(Design!$B$26),Design!$B$25,Design!$B$26)*1000000</f>
        <v>3.5094899999999998E-2</v>
      </c>
      <c r="AA22" s="203">
        <f t="shared" ca="1" si="6"/>
        <v>0.34039953588803518</v>
      </c>
      <c r="AB22" s="204">
        <f ca="1">AA22*Design!$C$12+$A22</f>
        <v>41.339177722625692</v>
      </c>
      <c r="AC22" s="204">
        <f ca="1">Constants!$D$22+Constants!$D$22*Constants!$C$24/100*(AB22-25)</f>
        <v>88.365658993984354</v>
      </c>
      <c r="AD22" s="204">
        <f ca="1">Constants!$D$23+Constants!$D$23*Constants!$C$24/100*(AB22-25)</f>
        <v>71.797097932612289</v>
      </c>
      <c r="AE22" s="203">
        <f ca="1">(1-Constants!$C$19/1000000000*Design!$B$26*1000000) * ($B22+R22*AD22/1000-R22*AC22/1000) - (R22*AD22/1000+R22*(1+($A22-25)*Constants!$C$36/100)*IF(ISBLANK(Design!$B$35),Constants!$C$6/1000,Design!$B$35/1000))</f>
        <v>3.2356049294828706</v>
      </c>
      <c r="AF22" s="308">
        <f ca="1">IF(AE22&gt;Design!$C$22,Design!$C$22,AE22)</f>
        <v>1.7973333333333334</v>
      </c>
      <c r="AG22" s="142">
        <f>Design!$D$6/3</f>
        <v>0.66666666666666663</v>
      </c>
      <c r="AH22" s="216">
        <f ca="1">IF( 100*(Design!$C$22+AG22*(IF(ISBLANK(Design!$B$35),Constants!$C$6,Design!$B$35)/1000*(1+Constants!$C$36/100*(AQ22-25))+AS22/1000))/($B22-AG22*AR22/1000) &gt; Design!$C$29, Design!$C$29, 100*(Design!$C$22+AG22*(IF(ISBLANK(Design!$B$35),Constants!$C$6,Design!$B$35)/1000*(1+Constants!$C$36/100*(AQ22-25))+AS22/1000))/($B22-AG22*AR22/1000) )</f>
        <v>50.239768160229815</v>
      </c>
      <c r="AI22" s="143">
        <f ca="1">IF(($B22-AG22*IF(ISBLANK(Design!$B$35),Constants!$C$6,Design!$B$35)/1000*(1+Constants!$C$36/100*(AQ22-25))-Design!$C$22)/(IF(ISBLANK(Design!$B$34),Design!$B$33,Design!$B$34)/1000000)*AH22/100/(IF(ISBLANK(Design!$B$26),Design!$B$25,Design!$B$26)*1000000)&lt;0, 0, ($B22-AG22*IF(ISBLANK(Design!$B$35),Constants!$C$6,Design!$B$35)/1000*(1+Constants!$C$36/100*(AQ22-25))-Design!$C$22)/(IF(ISBLANK(Design!$B$34),Design!$B$33,Design!$B$34)/1000000)*AH22/100/(IF(ISBLANK(Design!$B$26),Design!$B$25,Design!$B$26)*1000000))</f>
        <v>0.485205118908483</v>
      </c>
      <c r="AJ22" s="217">
        <f>$B22*Constants!$C$21/1000+IF(ISBLANK(Design!$B$26),Design!$B$25,Design!$B$26)*1000000*(Constants!$D$26+Constants!$D$27)/1000000000*$B22</f>
        <v>4.25619E-2</v>
      </c>
      <c r="AK22" s="217">
        <f>$B22*AG22*($B22/(Constants!$C$28*1000000000)*IF(ISBLANK(Design!$B$26),Design!$B$25,Design!$B$26)*1000000/2+$B22/(Constants!$C$29*1000000000)*IF(ISBLANK(Design!$B$26),Design!$B$25,Design!$B$26)*1000000/2)</f>
        <v>2.7878044499999994E-2</v>
      </c>
      <c r="AL22" s="217">
        <f t="shared" ca="1" si="7"/>
        <v>1.9617474803777183E-2</v>
      </c>
      <c r="AM22" s="217">
        <f t="shared" ca="1" si="8"/>
        <v>1.9430226891841953E-2</v>
      </c>
      <c r="AN22" s="217">
        <f>2*AG22*Constants!$C$20/1000000000*Constants!$C$25*IF(ISBLANK(Design!$B$26),Design!$B$25,Design!$B$26)*1000000</f>
        <v>2.4E-2</v>
      </c>
      <c r="AO22" s="217">
        <f>(Constants!$D$26+Constants!$D$27)/1000000000*$B22*IF(ISBLANK(Design!$B$26),Design!$B$25,Design!$B$26)*1000000</f>
        <v>3.5094899999999998E-2</v>
      </c>
      <c r="AP22" s="217">
        <f t="shared" ca="1" si="9"/>
        <v>0.16858254619561913</v>
      </c>
      <c r="AQ22" s="218">
        <f ca="1">AP22*Design!$C$12+$A22</f>
        <v>33.091962217389721</v>
      </c>
      <c r="AR22" s="218">
        <f ca="1">Constants!$D$22+Constants!$D$22*Constants!$C$24/100*(AQ22-25)</f>
        <v>84.143084655303539</v>
      </c>
      <c r="AS22" s="218">
        <f ca="1">Constants!$D$23+Constants!$D$23*Constants!$C$24/100*(AQ22-25)</f>
        <v>68.366256282434122</v>
      </c>
      <c r="AT22" s="217">
        <f ca="1">(1-Constants!$C$19/1000000000*Design!$B$26*1000000) * ($B22+AG22*AS22/1000-AG22*AR22/1000) - (AG22*AS22/1000+AG22*(1+($A22-25)*Constants!$C$36/100)*IF(ISBLANK(Design!$B$35),Constants!$C$6/1000,Design!$B$35/1000))</f>
        <v>3.3006397321213226</v>
      </c>
      <c r="AU22" s="311">
        <f ca="1">IF(AT22&gt;Design!$C$22,Design!$C$22,AT22)</f>
        <v>1.7973333333333334</v>
      </c>
    </row>
    <row r="23" spans="1:47" s="144" customFormat="1" ht="12.75" customHeight="1">
      <c r="A23" s="136">
        <v>25</v>
      </c>
      <c r="B23" s="137">
        <f t="shared" si="0"/>
        <v>3.6590000000000003</v>
      </c>
      <c r="C23" s="138">
        <f>Design!$D$6</f>
        <v>2</v>
      </c>
      <c r="D23" s="193">
        <f ca="1">IF( 100*(Design!$C$22+C23*(IF(ISBLANK(Design!$B$35),Constants!$C$6,Design!$B$35)/1000*(1+Constants!$C$36/100*(M23-25))+O23/1000))/($B23-C23*N23/1000) &gt; Design!$C$29, Design!$C$29, 100*(Design!$C$22+C23*(IF(ISBLANK(Design!$B$35),Constants!$C$6,Design!$B$35)/1000*(1+Constants!$C$36/100*(M23-25))+O23/1000))/($B23-C23*N23/1000) )</f>
        <v>56.692736979006654</v>
      </c>
      <c r="E23" s="139">
        <f ca="1">IF(($B23-C23*IF(ISBLANK(Design!$B$35),Constants!$C$6,Design!$B$35)/1000*(1+Constants!$C$36/100*(M23-25))-Design!$C$22)/(IF(ISBLANK(Design!$B$34),Design!$B$33,Design!$B$34)/1000000)*D23/100/(IF(ISBLANK(Design!$B$26),Design!$B$25,Design!$B$26)*1000000)&lt;0, 0, ($B23-C23*IF(ISBLANK(Design!$B$35),Constants!$C$6,Design!$B$35)/1000*(1+Constants!$C$36/100*(M23-25))-Design!$C$22)/(IF(ISBLANK(Design!$B$34),Design!$B$33,Design!$B$34)/1000000)*D23/100/(IF(ISBLANK(Design!$B$26),Design!$B$25,Design!$B$26)*1000000))</f>
        <v>0.52347894060257782</v>
      </c>
      <c r="F23" s="186">
        <f>$B23*Constants!$C$21/1000+IF(ISBLANK(Design!$B$26),Design!$B$25,Design!$B$26)*1000000*(Constants!$D$26+Constants!$D$27)/1000000000*$B23</f>
        <v>4.1712599999999996E-2</v>
      </c>
      <c r="G23" s="186">
        <f>$B23*C23*($B23/(Constants!$C$28*1000000000)*IF(ISBLANK(Design!$B$26),Design!$B$25,Design!$B$26)*1000000/2+$B23/(Constants!$C$29*1000000000)*IF(ISBLANK(Design!$B$26),Design!$B$25,Design!$B$26)*1000000/2)</f>
        <v>8.0329686000000011E-2</v>
      </c>
      <c r="H23" s="186">
        <f t="shared" ca="1" si="1"/>
        <v>0.2166781398458458</v>
      </c>
      <c r="I23" s="186">
        <f t="shared" ca="1" si="2"/>
        <v>0.16551921274639511</v>
      </c>
      <c r="J23" s="186">
        <f>2*C23*Constants!$C$20/1000000000*Constants!$C$25*IF(ISBLANK(Design!$B$26),Design!$B$25,Design!$B$26)*1000000</f>
        <v>7.1999999999999995E-2</v>
      </c>
      <c r="K23" s="186">
        <f>(Constants!$D$26+Constants!$D$27)/1000000000*$B23*IF(ISBLANK(Design!$B$26),Design!$B$25,Design!$B$26)*1000000</f>
        <v>3.4394599999999997E-2</v>
      </c>
      <c r="L23" s="186">
        <f t="shared" ca="1" si="3"/>
        <v>0.61063423859224097</v>
      </c>
      <c r="M23" s="187">
        <f ca="1">L23*Design!$C$12+$A23</f>
        <v>54.310443452427563</v>
      </c>
      <c r="N23" s="187">
        <f ca="1">Constants!$D$22+Constants!$D$22*Constants!$C$24/100*(M23-25)</f>
        <v>95.00694704764291</v>
      </c>
      <c r="O23" s="187">
        <f ca="1">Constants!$D$23+Constants!$D$23*Constants!$C$24/100*(M23-25)</f>
        <v>77.193144476209866</v>
      </c>
      <c r="P23" s="186">
        <f ca="1">(1-Constants!$C$19/1000000000*Design!$B$26*1000000) * ($B23+C23*O23/1000-C23*N23/1000) - (C23*O23/1000+C23*(1+($A23-25)*Constants!$C$36/100)*IF(ISBLANK(Design!$B$35),Constants!$C$6/1000,Design!$B$35/1000))</f>
        <v>3.0932488664190014</v>
      </c>
      <c r="Q23" s="191">
        <f ca="1">IF(P23&gt;Design!$C$22,Design!$C$22,P23)</f>
        <v>1.7973333333333334</v>
      </c>
      <c r="R23" s="201">
        <f>2*Design!$D$6/3</f>
        <v>1.3333333333333333</v>
      </c>
      <c r="S23" s="202">
        <f ca="1">IF( 100*(Design!$C$22+R23*(IF(ISBLANK(Design!$B$35),Constants!$C$6,Design!$B$35)/1000*(1+Constants!$C$36/100*(AB23-25))+AD23/1000))/($B23-R23*AC23/1000) &gt; Design!$C$29, Design!$C$29, 100*(Design!$C$22+R23*(IF(ISBLANK(Design!$B$35),Constants!$C$6,Design!$B$35)/1000*(1+Constants!$C$36/100*(AB23-25))+AD23/1000))/($B23-R23*AC23/1000) )</f>
        <v>53.721828400095433</v>
      </c>
      <c r="T23" s="141">
        <f ca="1">IF(($B23-R23*IF(ISBLANK(Design!$B$35),Constants!$C$6,Design!$B$35)/1000*(1+Constants!$C$36/100*(AB23-25))-Design!$C$22)/(IF(ISBLANK(Design!$B$34),Design!$B$33,Design!$B$34)/1000000)*S23/100/(IF(ISBLANK(Design!$B$26),Design!$B$25,Design!$B$26)*1000000)&lt;0, 0, ($B23-R23*IF(ISBLANK(Design!$B$35),Constants!$C$6,Design!$B$35)/1000*(1+Constants!$C$36/100*(AB23-25))-Design!$C$22)/(IF(ISBLANK(Design!$B$34),Design!$B$33,Design!$B$34)/1000000)*S23/100/(IF(ISBLANK(Design!$B$26),Design!$B$25,Design!$B$26)*1000000))</f>
        <v>0.49750883726470113</v>
      </c>
      <c r="U23" s="203">
        <f>$B23*Constants!$C$21/1000+IF(ISBLANK(Design!$B$26),Design!$B$25,Design!$B$26)*1000000*(Constants!$D$26+Constants!$D$27)/1000000000*$B23</f>
        <v>4.1712599999999996E-2</v>
      </c>
      <c r="V23" s="203">
        <f>$B23*R23*($B23/(Constants!$C$28*1000000000)*IF(ISBLANK(Design!$B$26),Design!$B$25,Design!$B$26)*1000000/2+$B23/(Constants!$C$29*1000000000)*IF(ISBLANK(Design!$B$26),Design!$B$25,Design!$B$26)*1000000/2)</f>
        <v>5.3553124000000001E-2</v>
      </c>
      <c r="W23" s="203">
        <f t="shared" ca="1" si="4"/>
        <v>8.5278256290029802E-2</v>
      </c>
      <c r="X23" s="203">
        <f t="shared" ca="1" si="5"/>
        <v>7.3462164186571699E-2</v>
      </c>
      <c r="Y23" s="203">
        <f>2*R23*Constants!$C$20/1000000000*Constants!$C$25*IF(ISBLANK(Design!$B$26),Design!$B$25,Design!$B$26)*1000000</f>
        <v>4.8000000000000001E-2</v>
      </c>
      <c r="Z23" s="203">
        <f>(Constants!$D$26+Constants!$D$27)/1000000000*$B23*IF(ISBLANK(Design!$B$26),Design!$B$25,Design!$B$26)*1000000</f>
        <v>3.4394599999999997E-2</v>
      </c>
      <c r="AA23" s="203">
        <f t="shared" ca="1" si="6"/>
        <v>0.33640074447660151</v>
      </c>
      <c r="AB23" s="204">
        <f ca="1">AA23*Design!$C$12+$A23</f>
        <v>41.147235734876872</v>
      </c>
      <c r="AC23" s="204">
        <f ca="1">Constants!$D$22+Constants!$D$22*Constants!$C$24/100*(AB23-25)</f>
        <v>88.267384696256954</v>
      </c>
      <c r="AD23" s="204">
        <f ca="1">Constants!$D$23+Constants!$D$23*Constants!$C$24/100*(AB23-25)</f>
        <v>71.717250065708782</v>
      </c>
      <c r="AE23" s="203">
        <f ca="1">(1-Constants!$C$19/1000000000*Design!$B$26*1000000) * ($B23+R23*AD23/1000-R23*AC23/1000) - (R23*AD23/1000+R23*(1+($A23-25)*Constants!$C$36/100)*IF(ISBLANK(Design!$B$35),Constants!$C$6/1000,Design!$B$35/1000))</f>
        <v>3.1686835050223974</v>
      </c>
      <c r="AF23" s="308">
        <f ca="1">IF(AE23&gt;Design!$C$22,Design!$C$22,AE23)</f>
        <v>1.7973333333333334</v>
      </c>
      <c r="AG23" s="142">
        <f>Design!$D$6/3</f>
        <v>0.66666666666666663</v>
      </c>
      <c r="AH23" s="216">
        <f ca="1">IF( 100*(Design!$C$22+AG23*(IF(ISBLANK(Design!$B$35),Constants!$C$6,Design!$B$35)/1000*(1+Constants!$C$36/100*(AQ23-25))+AS23/1000))/($B23-AG23*AR23/1000) &gt; Design!$C$29, Design!$C$29, 100*(Design!$C$22+AG23*(IF(ISBLANK(Design!$B$35),Constants!$C$6,Design!$B$35)/1000*(1+Constants!$C$36/100*(AQ23-25))+AS23/1000))/($B23-AG23*AR23/1000) )</f>
        <v>51.276896485018824</v>
      </c>
      <c r="AI23" s="143">
        <f ca="1">IF(($B23-AG23*IF(ISBLANK(Design!$B$35),Constants!$C$6,Design!$B$35)/1000*(1+Constants!$C$36/100*(AQ23-25))-Design!$C$22)/(IF(ISBLANK(Design!$B$34),Design!$B$33,Design!$B$34)/1000000)*AH23/100/(IF(ISBLANK(Design!$B$26),Design!$B$25,Design!$B$26)*1000000)&lt;0, 0, ($B23-AG23*IF(ISBLANK(Design!$B$35),Constants!$C$6,Design!$B$35)/1000*(1+Constants!$C$36/100*(AQ23-25))-Design!$C$22)/(IF(ISBLANK(Design!$B$34),Design!$B$33,Design!$B$34)/1000000)*AH23/100/(IF(ISBLANK(Design!$B$26),Design!$B$25,Design!$B$26)*1000000))</f>
        <v>0.47612143497470472</v>
      </c>
      <c r="AJ23" s="217">
        <f>$B23*Constants!$C$21/1000+IF(ISBLANK(Design!$B$26),Design!$B$25,Design!$B$26)*1000000*(Constants!$D$26+Constants!$D$27)/1000000000*$B23</f>
        <v>4.1712599999999996E-2</v>
      </c>
      <c r="AK23" s="217">
        <f>$B23*AG23*($B23/(Constants!$C$28*1000000000)*IF(ISBLANK(Design!$B$26),Design!$B$25,Design!$B$26)*1000000/2+$B23/(Constants!$C$29*1000000000)*IF(ISBLANK(Design!$B$26),Design!$B$25,Design!$B$26)*1000000/2)</f>
        <v>2.6776562E-2</v>
      </c>
      <c r="AL23" s="217">
        <f t="shared" ca="1" si="7"/>
        <v>1.9975033068647074E-2</v>
      </c>
      <c r="AM23" s="217">
        <f t="shared" ca="1" si="8"/>
        <v>1.8980197138163565E-2</v>
      </c>
      <c r="AN23" s="217">
        <f>2*AG23*Constants!$C$20/1000000000*Constants!$C$25*IF(ISBLANK(Design!$B$26),Design!$B$25,Design!$B$26)*1000000</f>
        <v>2.4E-2</v>
      </c>
      <c r="AO23" s="217">
        <f>(Constants!$D$26+Constants!$D$27)/1000000000*$B23*IF(ISBLANK(Design!$B$26),Design!$B$25,Design!$B$26)*1000000</f>
        <v>3.4394599999999997E-2</v>
      </c>
      <c r="AP23" s="217">
        <f t="shared" ca="1" si="9"/>
        <v>0.16583899220681064</v>
      </c>
      <c r="AQ23" s="218">
        <f ca="1">AP23*Design!$C$12+$A23</f>
        <v>32.960271625926907</v>
      </c>
      <c r="AR23" s="218">
        <f ca="1">Constants!$D$22+Constants!$D$22*Constants!$C$24/100*(AQ23-25)</f>
        <v>84.075659072474579</v>
      </c>
      <c r="AS23" s="218">
        <f ca="1">Constants!$D$23+Constants!$D$23*Constants!$C$24/100*(AQ23-25)</f>
        <v>68.311472996385589</v>
      </c>
      <c r="AT23" s="217">
        <f ca="1">(1-Constants!$C$19/1000000000*Design!$B$26*1000000) * ($B23+AG23*AS23/1000-AG23*AR23/1000) - (AG23*AS23/1000+AG23*(1+($A23-25)*Constants!$C$36/100)*IF(ISBLANK(Design!$B$35),Constants!$C$6/1000,Design!$B$35/1000))</f>
        <v>3.2336338396900901</v>
      </c>
      <c r="AU23" s="311">
        <f ca="1">IF(AT23&gt;Design!$C$22,Design!$C$22,AT23)</f>
        <v>1.7973333333333334</v>
      </c>
    </row>
    <row r="24" spans="1:47" s="144" customFormat="1" ht="12.75" customHeight="1">
      <c r="A24" s="136">
        <v>25</v>
      </c>
      <c r="B24" s="137">
        <f t="shared" si="0"/>
        <v>3.5845000000000002</v>
      </c>
      <c r="C24" s="138">
        <f>Design!$D$6</f>
        <v>2</v>
      </c>
      <c r="D24" s="193">
        <f ca="1">IF( 100*(Design!$C$22+C24*(IF(ISBLANK(Design!$B$35),Constants!$C$6,Design!$B$35)/1000*(1+Constants!$C$36/100*(M24-25))+O24/1000))/($B24-C24*N24/1000) &gt; Design!$C$29, Design!$C$29, 100*(Design!$C$22+C24*(IF(ISBLANK(Design!$B$35),Constants!$C$6,Design!$B$35)/1000*(1+Constants!$C$36/100*(M24-25))+O24/1000))/($B24-C24*N24/1000) )</f>
        <v>57.925697024613328</v>
      </c>
      <c r="E24" s="139">
        <f ca="1">IF(($B24-C24*IF(ISBLANK(Design!$B$35),Constants!$C$6,Design!$B$35)/1000*(1+Constants!$C$36/100*(M24-25))-Design!$C$22)/(IF(ISBLANK(Design!$B$34),Design!$B$33,Design!$B$34)/1000000)*D24/100/(IF(ISBLANK(Design!$B$26),Design!$B$25,Design!$B$26)*1000000)&lt;0, 0, ($B24-C24*IF(ISBLANK(Design!$B$35),Constants!$C$6,Design!$B$35)/1000*(1+Constants!$C$36/100*(M24-25))-Design!$C$22)/(IF(ISBLANK(Design!$B$34),Design!$B$33,Design!$B$34)/1000000)*D24/100/(IF(ISBLANK(Design!$B$26),Design!$B$25,Design!$B$26)*1000000))</f>
        <v>0.51329025492458225</v>
      </c>
      <c r="F24" s="186">
        <f>$B24*Constants!$C$21/1000+IF(ISBLANK(Design!$B$26),Design!$B$25,Design!$B$26)*1000000*(Constants!$D$26+Constants!$D$27)/1000000000*$B24</f>
        <v>4.0863299999999998E-2</v>
      </c>
      <c r="G24" s="186">
        <f>$B24*C24*($B24/(Constants!$C$28*1000000000)*IF(ISBLANK(Design!$B$26),Design!$B$25,Design!$B$26)*1000000/2+$B24/(Constants!$C$29*1000000000)*IF(ISBLANK(Design!$B$26),Design!$B$25,Design!$B$26)*1000000/2)</f>
        <v>7.7091841499999994E-2</v>
      </c>
      <c r="H24" s="186">
        <f t="shared" ca="1" si="1"/>
        <v>0.22103254735446634</v>
      </c>
      <c r="I24" s="186">
        <f t="shared" ca="1" si="2"/>
        <v>0.16054688752146951</v>
      </c>
      <c r="J24" s="186">
        <f>2*C24*Constants!$C$20/1000000000*Constants!$C$25*IF(ISBLANK(Design!$B$26),Design!$B$25,Design!$B$26)*1000000</f>
        <v>7.1999999999999995E-2</v>
      </c>
      <c r="K24" s="186">
        <f>(Constants!$D$26+Constants!$D$27)/1000000000*$B24*IF(ISBLANK(Design!$B$26),Design!$B$25,Design!$B$26)*1000000</f>
        <v>3.3694299999999996E-2</v>
      </c>
      <c r="L24" s="186">
        <f t="shared" ca="1" si="3"/>
        <v>0.60522887637593581</v>
      </c>
      <c r="M24" s="187">
        <f ca="1">L24*Design!$C$12+$A24</f>
        <v>54.050986066044921</v>
      </c>
      <c r="N24" s="187">
        <f ca="1">Constants!$D$22+Constants!$D$22*Constants!$C$24/100*(M24-25)</f>
        <v>94.874104865814999</v>
      </c>
      <c r="O24" s="187">
        <f ca="1">Constants!$D$23+Constants!$D$23*Constants!$C$24/100*(M24-25)</f>
        <v>77.085210203474688</v>
      </c>
      <c r="P24" s="186">
        <f ca="1">(1-Constants!$C$19/1000000000*Design!$B$26*1000000) * ($B24+C24*O24/1000-C24*N24/1000) - (C24*O24/1000+C24*(1+($A24-25)*Constants!$C$36/100)*IF(ISBLANK(Design!$B$35),Constants!$C$6/1000,Design!$B$35/1000))</f>
        <v>3.0264595692008385</v>
      </c>
      <c r="Q24" s="191">
        <f ca="1">IF(P24&gt;Design!$C$22,Design!$C$22,P24)</f>
        <v>1.7973333333333334</v>
      </c>
      <c r="R24" s="201">
        <f>2*Design!$D$6/3</f>
        <v>1.3333333333333333</v>
      </c>
      <c r="S24" s="202">
        <f ca="1">IF( 100*(Design!$C$22+R24*(IF(ISBLANK(Design!$B$35),Constants!$C$6,Design!$B$35)/1000*(1+Constants!$C$36/100*(AB24-25))+AD24/1000))/($B24-R24*AC24/1000) &gt; Design!$C$29, Design!$C$29, 100*(Design!$C$22+R24*(IF(ISBLANK(Design!$B$35),Constants!$C$6,Design!$B$35)/1000*(1+Constants!$C$36/100*(AB24-25))+AD24/1000))/($B24-R24*AC24/1000) )</f>
        <v>54.871004177879477</v>
      </c>
      <c r="T24" s="141">
        <f ca="1">IF(($B24-R24*IF(ISBLANK(Design!$B$35),Constants!$C$6,Design!$B$35)/1000*(1+Constants!$C$36/100*(AB24-25))-Design!$C$22)/(IF(ISBLANK(Design!$B$34),Design!$B$33,Design!$B$34)/1000000)*S24/100/(IF(ISBLANK(Design!$B$26),Design!$B$25,Design!$B$26)*1000000)&lt;0, 0, ($B24-R24*IF(ISBLANK(Design!$B$35),Constants!$C$6,Design!$B$35)/1000*(1+Constants!$C$36/100*(AB24-25))-Design!$C$22)/(IF(ISBLANK(Design!$B$34),Design!$B$33,Design!$B$34)/1000000)*S24/100/(IF(ISBLANK(Design!$B$26),Design!$B$25,Design!$B$26)*1000000))</f>
        <v>0.48771354023674135</v>
      </c>
      <c r="U24" s="203">
        <f>$B24*Constants!$C$21/1000+IF(ISBLANK(Design!$B$26),Design!$B$25,Design!$B$26)*1000000*(Constants!$D$26+Constants!$D$27)/1000000000*$B24</f>
        <v>4.0863299999999998E-2</v>
      </c>
      <c r="V24" s="203">
        <f>$B24*R24*($B24/(Constants!$C$28*1000000000)*IF(ISBLANK(Design!$B$26),Design!$B$25,Design!$B$26)*1000000/2+$B24/(Constants!$C$29*1000000000)*IF(ISBLANK(Design!$B$26),Design!$B$25,Design!$B$26)*1000000/2)</f>
        <v>5.1394560999999998E-2</v>
      </c>
      <c r="W24" s="203">
        <f t="shared" ca="1" si="4"/>
        <v>8.6967668389640221E-2</v>
      </c>
      <c r="X24" s="203">
        <f t="shared" ca="1" si="5"/>
        <v>7.1527095270435256E-2</v>
      </c>
      <c r="Y24" s="203">
        <f>2*R24*Constants!$C$20/1000000000*Constants!$C$25*IF(ISBLANK(Design!$B$26),Design!$B$25,Design!$B$26)*1000000</f>
        <v>4.8000000000000001E-2</v>
      </c>
      <c r="Z24" s="203">
        <f>(Constants!$D$26+Constants!$D$27)/1000000000*$B24*IF(ISBLANK(Design!$B$26),Design!$B$25,Design!$B$26)*1000000</f>
        <v>3.3694299999999996E-2</v>
      </c>
      <c r="AA24" s="203">
        <f t="shared" ca="1" si="6"/>
        <v>0.33244692466007547</v>
      </c>
      <c r="AB24" s="204">
        <f ca="1">AA24*Design!$C$12+$A24</f>
        <v>40.957452383683624</v>
      </c>
      <c r="AC24" s="204">
        <f ca="1">Constants!$D$22+Constants!$D$22*Constants!$C$24/100*(AB24-25)</f>
        <v>88.170215620446015</v>
      </c>
      <c r="AD24" s="204">
        <f ca="1">Constants!$D$23+Constants!$D$23*Constants!$C$24/100*(AB24-25)</f>
        <v>71.638300191612387</v>
      </c>
      <c r="AE24" s="203">
        <f ca="1">(1-Constants!$C$19/1000000000*Design!$B$26*1000000) * ($B24+R24*AD24/1000-R24*AC24/1000) - (R24*AD24/1000+R24*(1+($A24-25)*Constants!$C$36/100)*IF(ISBLANK(Design!$B$35),Constants!$C$6/1000,Design!$B$35/1000))</f>
        <v>3.1017606345632505</v>
      </c>
      <c r="AF24" s="308">
        <f ca="1">IF(AE24&gt;Design!$C$22,Design!$C$22,AE24)</f>
        <v>1.7973333333333334</v>
      </c>
      <c r="AG24" s="142">
        <f>Design!$D$6/3</f>
        <v>0.66666666666666663</v>
      </c>
      <c r="AH24" s="216">
        <f ca="1">IF( 100*(Design!$C$22+AG24*(IF(ISBLANK(Design!$B$35),Constants!$C$6,Design!$B$35)/1000*(1+Constants!$C$36/100*(AQ24-25))+AS24/1000))/($B24-AG24*AR24/1000) &gt; Design!$C$29, Design!$C$29, 100*(Design!$C$22+AG24*(IF(ISBLANK(Design!$B$35),Constants!$C$6,Design!$B$35)/1000*(1+Constants!$C$36/100*(AQ24-25))+AS24/1000))/($B24-AG24*AR24/1000) )</f>
        <v>52.357807523751951</v>
      </c>
      <c r="AI24" s="143">
        <f ca="1">IF(($B24-AG24*IF(ISBLANK(Design!$B$35),Constants!$C$6,Design!$B$35)/1000*(1+Constants!$C$36/100*(AQ24-25))-Design!$C$22)/(IF(ISBLANK(Design!$B$34),Design!$B$33,Design!$B$34)/1000000)*AH24/100/(IF(ISBLANK(Design!$B$26),Design!$B$25,Design!$B$26)*1000000)&lt;0, 0, ($B24-AG24*IF(ISBLANK(Design!$B$35),Constants!$C$6,Design!$B$35)/1000*(1+Constants!$C$36/100*(AQ24-25))-Design!$C$22)/(IF(ISBLANK(Design!$B$34),Design!$B$33,Design!$B$34)/1000000)*AH24/100/(IF(ISBLANK(Design!$B$26),Design!$B$25,Design!$B$26)*1000000))</f>
        <v>0.46665533687583305</v>
      </c>
      <c r="AJ24" s="217">
        <f>$B24*Constants!$C$21/1000+IF(ISBLANK(Design!$B$26),Design!$B$25,Design!$B$26)*1000000*(Constants!$D$26+Constants!$D$27)/1000000000*$B24</f>
        <v>4.0863299999999998E-2</v>
      </c>
      <c r="AK24" s="217">
        <f>$B24*AG24*($B24/(Constants!$C$28*1000000000)*IF(ISBLANK(Design!$B$26),Design!$B$25,Design!$B$26)*1000000/2+$B24/(Constants!$C$29*1000000000)*IF(ISBLANK(Design!$B$26),Design!$B$25,Design!$B$26)*1000000/2)</f>
        <v>2.5697280499999999E-2</v>
      </c>
      <c r="AL24" s="217">
        <f t="shared" ca="1" si="7"/>
        <v>2.0347162081441852E-2</v>
      </c>
      <c r="AM24" s="217">
        <f t="shared" ca="1" si="8"/>
        <v>1.8514591387152921E-2</v>
      </c>
      <c r="AN24" s="217">
        <f>2*AG24*Constants!$C$20/1000000000*Constants!$C$25*IF(ISBLANK(Design!$B$26),Design!$B$25,Design!$B$26)*1000000</f>
        <v>2.4E-2</v>
      </c>
      <c r="AO24" s="217">
        <f>(Constants!$D$26+Constants!$D$27)/1000000000*$B24*IF(ISBLANK(Design!$B$26),Design!$B$25,Design!$B$26)*1000000</f>
        <v>3.3694299999999996E-2</v>
      </c>
      <c r="AP24" s="217">
        <f t="shared" ca="1" si="9"/>
        <v>0.16311663396859477</v>
      </c>
      <c r="AQ24" s="218">
        <f ca="1">AP24*Design!$C$12+$A24</f>
        <v>32.829598430492553</v>
      </c>
      <c r="AR24" s="218">
        <f ca="1">Constants!$D$22+Constants!$D$22*Constants!$C$24/100*(AQ24-25)</f>
        <v>84.008754396412186</v>
      </c>
      <c r="AS24" s="218">
        <f ca="1">Constants!$D$23+Constants!$D$23*Constants!$C$24/100*(AQ24-25)</f>
        <v>68.257112947084906</v>
      </c>
      <c r="AT24" s="217">
        <f ca="1">(1-Constants!$C$19/1000000000*Design!$B$26*1000000) * ($B24+AG24*AS24/1000-AG24*AR24/1000) - (AG24*AS24/1000+AG24*(1+($A24-25)*Constants!$C$36/100)*IF(ISBLANK(Design!$B$35),Constants!$C$6/1000,Design!$B$35/1000))</f>
        <v>3.1666276064990142</v>
      </c>
      <c r="AU24" s="311">
        <f ca="1">IF(AT24&gt;Design!$C$22,Design!$C$22,AT24)</f>
        <v>1.7973333333333334</v>
      </c>
    </row>
    <row r="25" spans="1:47" s="144" customFormat="1" ht="12.75" customHeight="1">
      <c r="A25" s="136">
        <v>25</v>
      </c>
      <c r="B25" s="137">
        <f t="shared" si="0"/>
        <v>3.5100000000000002</v>
      </c>
      <c r="C25" s="138">
        <f>Design!$D$6</f>
        <v>2</v>
      </c>
      <c r="D25" s="193">
        <f ca="1">IF( 100*(Design!$C$22+C25*(IF(ISBLANK(Design!$B$35),Constants!$C$6,Design!$B$35)/1000*(1+Constants!$C$36/100*(M25-25))+O25/1000))/($B25-C25*N25/1000) &gt; Design!$C$29, Design!$C$29, 100*(Design!$C$22+C25*(IF(ISBLANK(Design!$B$35),Constants!$C$6,Design!$B$35)/1000*(1+Constants!$C$36/100*(M25-25))+O25/1000))/($B25-C25*N25/1000) )</f>
        <v>59.213941037864693</v>
      </c>
      <c r="E25" s="139">
        <f ca="1">IF(($B25-C25*IF(ISBLANK(Design!$B$35),Constants!$C$6,Design!$B$35)/1000*(1+Constants!$C$36/100*(M25-25))-Design!$C$22)/(IF(ISBLANK(Design!$B$34),Design!$B$33,Design!$B$34)/1000000)*D25/100/(IF(ISBLANK(Design!$B$26),Design!$B$25,Design!$B$26)*1000000)&lt;0, 0, ($B25-C25*IF(ISBLANK(Design!$B$35),Constants!$C$6,Design!$B$35)/1000*(1+Constants!$C$36/100*(M25-25))-Design!$C$22)/(IF(ISBLANK(Design!$B$34),Design!$B$33,Design!$B$34)/1000000)*D25/100/(IF(ISBLANK(Design!$B$26),Design!$B$25,Design!$B$26)*1000000))</f>
        <v>0.50265242047744396</v>
      </c>
      <c r="F25" s="186">
        <f>$B25*Constants!$C$21/1000+IF(ISBLANK(Design!$B$26),Design!$B$25,Design!$B$26)*1000000*(Constants!$D$26+Constants!$D$27)/1000000000*$B25</f>
        <v>4.0013999999999994E-2</v>
      </c>
      <c r="G25" s="186">
        <f>$B25*C25*($B25/(Constants!$C$28*1000000000)*IF(ISBLANK(Design!$B$26),Design!$B$25,Design!$B$26)*1000000/2+$B25/(Constants!$C$29*1000000000)*IF(ISBLANK(Design!$B$26),Design!$B$25,Design!$B$26)*1000000/2)</f>
        <v>7.3920600000000017E-2</v>
      </c>
      <c r="H25" s="186">
        <f t="shared" ca="1" si="1"/>
        <v>0.22558554016041865</v>
      </c>
      <c r="I25" s="186">
        <f t="shared" ca="1" si="2"/>
        <v>0.15538140141870491</v>
      </c>
      <c r="J25" s="186">
        <f>2*C25*Constants!$C$20/1000000000*Constants!$C$25*IF(ISBLANK(Design!$B$26),Design!$B$25,Design!$B$26)*1000000</f>
        <v>7.1999999999999995E-2</v>
      </c>
      <c r="K25" s="186">
        <f>(Constants!$D$26+Constants!$D$27)/1000000000*$B25*IF(ISBLANK(Design!$B$26),Design!$B$25,Design!$B$26)*1000000</f>
        <v>3.2993999999999996E-2</v>
      </c>
      <c r="L25" s="186">
        <f t="shared" ca="1" si="3"/>
        <v>0.5998955415791235</v>
      </c>
      <c r="M25" s="187">
        <f ca="1">L25*Design!$C$12+$A25</f>
        <v>53.79498599579793</v>
      </c>
      <c r="N25" s="187">
        <f ca="1">Constants!$D$22+Constants!$D$22*Constants!$C$24/100*(M25-25)</f>
        <v>94.743032829848545</v>
      </c>
      <c r="O25" s="187">
        <f ca="1">Constants!$D$23+Constants!$D$23*Constants!$C$24/100*(M25-25)</f>
        <v>76.978714174251934</v>
      </c>
      <c r="P25" s="186">
        <f ca="1">(1-Constants!$C$19/1000000000*Design!$B$26*1000000) * ($B25+C25*O25/1000-C25*N25/1000) - (C25*O25/1000+C25*(1+($A25-25)*Constants!$C$36/100)*IF(ISBLANK(Design!$B$35),Constants!$C$6/1000,Design!$B$35/1000))</f>
        <v>2.9596667980714226</v>
      </c>
      <c r="Q25" s="191">
        <f ca="1">IF(P25&gt;Design!$C$22,Design!$C$22,P25)</f>
        <v>1.7973333333333334</v>
      </c>
      <c r="R25" s="201">
        <f>2*Design!$D$6/3</f>
        <v>1.3333333333333333</v>
      </c>
      <c r="S25" s="202">
        <f ca="1">IF( 100*(Design!$C$22+R25*(IF(ISBLANK(Design!$B$35),Constants!$C$6,Design!$B$35)/1000*(1+Constants!$C$36/100*(AB25-25))+AD25/1000))/($B25-R25*AC25/1000) &gt; Design!$C$29, Design!$C$29, 100*(Design!$C$22+R25*(IF(ISBLANK(Design!$B$35),Constants!$C$6,Design!$B$35)/1000*(1+Constants!$C$36/100*(AB25-25))+AD25/1000))/($B25-R25*AC25/1000) )</f>
        <v>56.07062529559802</v>
      </c>
      <c r="T25" s="141">
        <f ca="1">IF(($B25-R25*IF(ISBLANK(Design!$B$35),Constants!$C$6,Design!$B$35)/1000*(1+Constants!$C$36/100*(AB25-25))-Design!$C$22)/(IF(ISBLANK(Design!$B$34),Design!$B$33,Design!$B$34)/1000000)*S25/100/(IF(ISBLANK(Design!$B$26),Design!$B$25,Design!$B$26)*1000000)&lt;0, 0, ($B25-R25*IF(ISBLANK(Design!$B$35),Constants!$C$6,Design!$B$35)/1000*(1+Constants!$C$36/100*(AB25-25))-Design!$C$22)/(IF(ISBLANK(Design!$B$34),Design!$B$33,Design!$B$34)/1000000)*S25/100/(IF(ISBLANK(Design!$B$26),Design!$B$25,Design!$B$26)*1000000))</f>
        <v>0.47749174999136362</v>
      </c>
      <c r="U25" s="203">
        <f>$B25*Constants!$C$21/1000+IF(ISBLANK(Design!$B$26),Design!$B$25,Design!$B$26)*1000000*(Constants!$D$26+Constants!$D$27)/1000000000*$B25</f>
        <v>4.0013999999999994E-2</v>
      </c>
      <c r="V25" s="203">
        <f>$B25*R25*($B25/(Constants!$C$28*1000000000)*IF(ISBLANK(Design!$B$26),Design!$B$25,Design!$B$26)*1000000/2+$B25/(Constants!$C$29*1000000000)*IF(ISBLANK(Design!$B$26),Design!$B$25,Design!$B$26)*1000000/2)</f>
        <v>4.9280400000000002E-2</v>
      </c>
      <c r="W25" s="203">
        <f t="shared" ca="1" si="4"/>
        <v>8.8731577416321733E-2</v>
      </c>
      <c r="X25" s="203">
        <f t="shared" ca="1" si="5"/>
        <v>6.9518088872468256E-2</v>
      </c>
      <c r="Y25" s="203">
        <f>2*R25*Constants!$C$20/1000000000*Constants!$C$25*IF(ISBLANK(Design!$B$26),Design!$B$25,Design!$B$26)*1000000</f>
        <v>4.8000000000000001E-2</v>
      </c>
      <c r="Z25" s="203">
        <f>(Constants!$D$26+Constants!$D$27)/1000000000*$B25*IF(ISBLANK(Design!$B$26),Design!$B$25,Design!$B$26)*1000000</f>
        <v>3.2993999999999996E-2</v>
      </c>
      <c r="AA25" s="203">
        <f t="shared" ca="1" si="6"/>
        <v>0.32853806628879001</v>
      </c>
      <c r="AB25" s="204">
        <f ca="1">AA25*Design!$C$12+$A25</f>
        <v>40.76982718186192</v>
      </c>
      <c r="AC25" s="204">
        <f ca="1">Constants!$D$22+Constants!$D$22*Constants!$C$24/100*(AB25-25)</f>
        <v>88.074151517113307</v>
      </c>
      <c r="AD25" s="204">
        <f ca="1">Constants!$D$23+Constants!$D$23*Constants!$C$24/100*(AB25-25)</f>
        <v>71.560248107654559</v>
      </c>
      <c r="AE25" s="203">
        <f ca="1">(1-Constants!$C$19/1000000000*Design!$B$26*1000000) * ($B25+R25*AD25/1000-R25*AC25/1000) - (R25*AD25/1000+R25*(1+($A25-25)*Constants!$C$36/100)*IF(ISBLANK(Design!$B$35),Constants!$C$6/1000,Design!$B$35/1000))</f>
        <v>3.0348363184317773</v>
      </c>
      <c r="AF25" s="308">
        <f ca="1">IF(AE25&gt;Design!$C$22,Design!$C$22,AE25)</f>
        <v>1.7973333333333334</v>
      </c>
      <c r="AG25" s="142">
        <f>Design!$D$6/3</f>
        <v>0.66666666666666663</v>
      </c>
      <c r="AH25" s="216">
        <f ca="1">IF( 100*(Design!$C$22+AG25*(IF(ISBLANK(Design!$B$35),Constants!$C$6,Design!$B$35)/1000*(1+Constants!$C$36/100*(AQ25-25))+AS25/1000))/($B25-AG25*AR25/1000) &gt; Design!$C$29, Design!$C$29, 100*(Design!$C$22+AG25*(IF(ISBLANK(Design!$B$35),Constants!$C$6,Design!$B$35)/1000*(1+Constants!$C$36/100*(AQ25-25))+AS25/1000))/($B25-AG25*AR25/1000) )</f>
        <v>53.48533294572605</v>
      </c>
      <c r="AI25" s="143">
        <f ca="1">IF(($B25-AG25*IF(ISBLANK(Design!$B$35),Constants!$C$6,Design!$B$35)/1000*(1+Constants!$C$36/100*(AQ25-25))-Design!$C$22)/(IF(ISBLANK(Design!$B$34),Design!$B$33,Design!$B$34)/1000000)*AH25/100/(IF(ISBLANK(Design!$B$26),Design!$B$25,Design!$B$26)*1000000)&lt;0, 0, ($B25-AG25*IF(ISBLANK(Design!$B$35),Constants!$C$6,Design!$B$35)/1000*(1+Constants!$C$36/100*(AQ25-25))-Design!$C$22)/(IF(ISBLANK(Design!$B$34),Design!$B$33,Design!$B$34)/1000000)*AH25/100/(IF(ISBLANK(Design!$B$26),Design!$B$25,Design!$B$26)*1000000))</f>
        <v>0.45678208202062337</v>
      </c>
      <c r="AJ25" s="217">
        <f>$B25*Constants!$C$21/1000+IF(ISBLANK(Design!$B$26),Design!$B$25,Design!$B$26)*1000000*(Constants!$D$26+Constants!$D$27)/1000000000*$B25</f>
        <v>4.0013999999999994E-2</v>
      </c>
      <c r="AK25" s="217">
        <f>$B25*AG25*($B25/(Constants!$C$28*1000000000)*IF(ISBLANK(Design!$B$26),Design!$B$25,Design!$B$26)*1000000/2+$B25/(Constants!$C$29*1000000000)*IF(ISBLANK(Design!$B$26),Design!$B$25,Design!$B$26)*1000000/2)</f>
        <v>2.4640200000000001E-2</v>
      </c>
      <c r="AL25" s="217">
        <f t="shared" ca="1" si="7"/>
        <v>2.0734801986308626E-2</v>
      </c>
      <c r="AM25" s="217">
        <f t="shared" ca="1" si="8"/>
        <v>1.8032465307977742E-2</v>
      </c>
      <c r="AN25" s="217">
        <f>2*AG25*Constants!$C$20/1000000000*Constants!$C$25*IF(ISBLANK(Design!$B$26),Design!$B$25,Design!$B$26)*1000000</f>
        <v>2.4E-2</v>
      </c>
      <c r="AO25" s="217">
        <f>(Constants!$D$26+Constants!$D$27)/1000000000*$B25*IF(ISBLANK(Design!$B$26),Design!$B$25,Design!$B$26)*1000000</f>
        <v>3.2993999999999996E-2</v>
      </c>
      <c r="AP25" s="217">
        <f t="shared" ca="1" si="9"/>
        <v>0.16041546729428635</v>
      </c>
      <c r="AQ25" s="218">
        <f ca="1">AP25*Design!$C$12+$A25</f>
        <v>32.699942430125745</v>
      </c>
      <c r="AR25" s="218">
        <f ca="1">Constants!$D$22+Constants!$D$22*Constants!$C$24/100*(AQ25-25)</f>
        <v>83.942370524224387</v>
      </c>
      <c r="AS25" s="218">
        <f ca="1">Constants!$D$23+Constants!$D$23*Constants!$C$24/100*(AQ25-25)</f>
        <v>68.203176050932314</v>
      </c>
      <c r="AT25" s="217">
        <f ca="1">(1-Constants!$C$19/1000000000*Design!$B$26*1000000) * ($B25+AG25*AS25/1000-AG25*AR25/1000) - (AG25*AS25/1000+AG25*(1+($A25-25)*Constants!$C$36/100)*IF(ISBLANK(Design!$B$35),Constants!$C$6/1000,Design!$B$35/1000))</f>
        <v>3.0996210326154032</v>
      </c>
      <c r="AU25" s="311">
        <f ca="1">IF(AT25&gt;Design!$C$22,Design!$C$22,AT25)</f>
        <v>1.7973333333333334</v>
      </c>
    </row>
    <row r="26" spans="1:47" s="144" customFormat="1" ht="12.75" customHeight="1">
      <c r="A26" s="136">
        <v>25</v>
      </c>
      <c r="B26" s="137">
        <f t="shared" si="0"/>
        <v>3.4355000000000002</v>
      </c>
      <c r="C26" s="138">
        <f>Design!$D$6</f>
        <v>2</v>
      </c>
      <c r="D26" s="193">
        <f ca="1">IF( 100*(Design!$C$22+C26*(IF(ISBLANK(Design!$B$35),Constants!$C$6,Design!$B$35)/1000*(1+Constants!$C$36/100*(M26-25))+O26/1000))/($B26-C26*N26/1000) &gt; Design!$C$29, Design!$C$29, 100*(Design!$C$22+C26*(IF(ISBLANK(Design!$B$35),Constants!$C$6,Design!$B$35)/1000*(1+Constants!$C$36/100*(M26-25))+O26/1000))/($B26-C26*N26/1000) )</f>
        <v>60.56126601551393</v>
      </c>
      <c r="E26" s="139">
        <f ca="1">IF(($B26-C26*IF(ISBLANK(Design!$B$35),Constants!$C$6,Design!$B$35)/1000*(1+Constants!$C$36/100*(M26-25))-Design!$C$22)/(IF(ISBLANK(Design!$B$34),Design!$B$33,Design!$B$34)/1000000)*D26/100/(IF(ISBLANK(Design!$B$26),Design!$B$25,Design!$B$26)*1000000)&lt;0, 0, ($B26-C26*IF(ISBLANK(Design!$B$35),Constants!$C$6,Design!$B$35)/1000*(1+Constants!$C$36/100*(M26-25))-Design!$C$22)/(IF(ISBLANK(Design!$B$34),Design!$B$33,Design!$B$34)/1000000)*D26/100/(IF(ISBLANK(Design!$B$26),Design!$B$25,Design!$B$26)*1000000))</f>
        <v>0.49153448273021733</v>
      </c>
      <c r="F26" s="186">
        <f>$B26*Constants!$C$21/1000+IF(ISBLANK(Design!$B$26),Design!$B$25,Design!$B$26)*1000000*(Constants!$D$26+Constants!$D$27)/1000000000*$B26</f>
        <v>3.9164699999999997E-2</v>
      </c>
      <c r="G26" s="186">
        <f>$B26*C26*($B26/(Constants!$C$28*1000000000)*IF(ISBLANK(Design!$B$26),Design!$B$25,Design!$B$26)*1000000/2+$B26/(Constants!$C$29*1000000000)*IF(ISBLANK(Design!$B$26),Design!$B$25,Design!$B$26)*1000000/2)</f>
        <v>7.0815961499999996E-2</v>
      </c>
      <c r="H26" s="186">
        <f t="shared" ca="1" si="1"/>
        <v>0.23035074714053644</v>
      </c>
      <c r="I26" s="186">
        <f t="shared" ca="1" si="2"/>
        <v>0.15000911370109077</v>
      </c>
      <c r="J26" s="186">
        <f>2*C26*Constants!$C$20/1000000000*Constants!$C$25*IF(ISBLANK(Design!$B$26),Design!$B$25,Design!$B$26)*1000000</f>
        <v>7.1999999999999995E-2</v>
      </c>
      <c r="K26" s="186">
        <f>(Constants!$D$26+Constants!$D$27)/1000000000*$B26*IF(ISBLANK(Design!$B$26),Design!$B$25,Design!$B$26)*1000000</f>
        <v>3.2293699999999995E-2</v>
      </c>
      <c r="L26" s="186">
        <f t="shared" ca="1" si="3"/>
        <v>0.59463422234162722</v>
      </c>
      <c r="M26" s="187">
        <f ca="1">L26*Design!$C$12+$A26</f>
        <v>53.54244267239811</v>
      </c>
      <c r="N26" s="187">
        <f ca="1">Constants!$D$22+Constants!$D$22*Constants!$C$24/100*(M26-25)</f>
        <v>94.613730648267833</v>
      </c>
      <c r="O26" s="187">
        <f ca="1">Constants!$D$23+Constants!$D$23*Constants!$C$24/100*(M26-25)</f>
        <v>76.873656151717611</v>
      </c>
      <c r="P26" s="186">
        <f ca="1">(1-Constants!$C$19/1000000000*Design!$B$26*1000000) * ($B26+C26*O26/1000-C26*N26/1000) - (C26*O26/1000+C26*(1+($A26-25)*Constants!$C$36/100)*IF(ISBLANK(Design!$B$35),Constants!$C$6/1000,Design!$B$35/1000))</f>
        <v>2.892870553602775</v>
      </c>
      <c r="Q26" s="191">
        <f ca="1">IF(P26&gt;Design!$C$22,Design!$C$22,P26)</f>
        <v>1.7973333333333334</v>
      </c>
      <c r="R26" s="201">
        <f>2*Design!$D$6/3</f>
        <v>1.3333333333333333</v>
      </c>
      <c r="S26" s="202">
        <f ca="1">IF( 100*(Design!$C$22+R26*(IF(ISBLANK(Design!$B$35),Constants!$C$6,Design!$B$35)/1000*(1+Constants!$C$36/100*(AB26-25))+AD26/1000))/($B26-R26*AC26/1000) &gt; Design!$C$29, Design!$C$29, 100*(Design!$C$22+R26*(IF(ISBLANK(Design!$B$35),Constants!$C$6,Design!$B$35)/1000*(1+Constants!$C$36/100*(AB26-25))+AD26/1000))/($B26-R26*AC26/1000) )</f>
        <v>57.324085297507587</v>
      </c>
      <c r="T26" s="141">
        <f ca="1">IF(($B26-R26*IF(ISBLANK(Design!$B$35),Constants!$C$6,Design!$B$35)/1000*(1+Constants!$C$36/100*(AB26-25))-Design!$C$22)/(IF(ISBLANK(Design!$B$34),Design!$B$33,Design!$B$34)/1000000)*S26/100/(IF(ISBLANK(Design!$B$26),Design!$B$25,Design!$B$26)*1000000)&lt;0, 0, ($B26-R26*IF(ISBLANK(Design!$B$35),Constants!$C$6,Design!$B$35)/1000*(1+Constants!$C$36/100*(AB26-25))-Design!$C$22)/(IF(ISBLANK(Design!$B$34),Design!$B$33,Design!$B$34)/1000000)*S26/100/(IF(ISBLANK(Design!$B$26),Design!$B$25,Design!$B$26)*1000000))</f>
        <v>0.46681473257685713</v>
      </c>
      <c r="U26" s="203">
        <f>$B26*Constants!$C$21/1000+IF(ISBLANK(Design!$B$26),Design!$B$25,Design!$B$26)*1000000*(Constants!$D$26+Constants!$D$27)/1000000000*$B26</f>
        <v>3.9164699999999997E-2</v>
      </c>
      <c r="V26" s="203">
        <f>$B26*R26*($B26/(Constants!$C$28*1000000000)*IF(ISBLANK(Design!$B$26),Design!$B$25,Design!$B$26)*1000000/2+$B26/(Constants!$C$29*1000000000)*IF(ISBLANK(Design!$B$26),Design!$B$25,Design!$B$26)*1000000/2)</f>
        <v>4.7210640999999998E-2</v>
      </c>
      <c r="W26" s="203">
        <f t="shared" ca="1" si="4"/>
        <v>9.0574993079270791E-2</v>
      </c>
      <c r="X26" s="203">
        <f t="shared" ca="1" si="5"/>
        <v>6.7430132705455753E-2</v>
      </c>
      <c r="Y26" s="203">
        <f>2*R26*Constants!$C$20/1000000000*Constants!$C$25*IF(ISBLANK(Design!$B$26),Design!$B$25,Design!$B$26)*1000000</f>
        <v>4.8000000000000001E-2</v>
      </c>
      <c r="Z26" s="203">
        <f>(Constants!$D$26+Constants!$D$27)/1000000000*$B26*IF(ISBLANK(Design!$B$26),Design!$B$25,Design!$B$26)*1000000</f>
        <v>3.2293699999999995E-2</v>
      </c>
      <c r="AA26" s="203">
        <f t="shared" ca="1" si="6"/>
        <v>0.32467416678472655</v>
      </c>
      <c r="AB26" s="204">
        <f ca="1">AA26*Design!$C$12+$A26</f>
        <v>40.584360005666873</v>
      </c>
      <c r="AC26" s="204">
        <f ca="1">Constants!$D$22+Constants!$D$22*Constants!$C$24/100*(AB26-25)</f>
        <v>87.97919232290144</v>
      </c>
      <c r="AD26" s="204">
        <f ca="1">Constants!$D$23+Constants!$D$23*Constants!$C$24/100*(AB26-25)</f>
        <v>71.483093762357413</v>
      </c>
      <c r="AE26" s="203">
        <f ca="1">(1-Constants!$C$19/1000000000*Design!$B$26*1000000) * ($B26+R26*AD26/1000-R26*AC26/1000) - (R26*AD26/1000+R26*(1+($A26-25)*Constants!$C$36/100)*IF(ISBLANK(Design!$B$35),Constants!$C$6/1000,Design!$B$35/1000))</f>
        <v>2.9679105567108706</v>
      </c>
      <c r="AF26" s="308">
        <f ca="1">IF(AE26&gt;Design!$C$22,Design!$C$22,AE26)</f>
        <v>1.7973333333333334</v>
      </c>
      <c r="AG26" s="142">
        <f>Design!$D$6/3</f>
        <v>0.66666666666666663</v>
      </c>
      <c r="AH26" s="216">
        <f ca="1">IF( 100*(Design!$C$22+AG26*(IF(ISBLANK(Design!$B$35),Constants!$C$6,Design!$B$35)/1000*(1+Constants!$C$36/100*(AQ26-25))+AS26/1000))/($B26-AG26*AR26/1000) &gt; Design!$C$29, Design!$C$29, 100*(Design!$C$22+AG26*(IF(ISBLANK(Design!$B$35),Constants!$C$6,Design!$B$35)/1000*(1+Constants!$C$36/100*(AQ26-25))+AS26/1000))/($B26-AG26*AR26/1000) )</f>
        <v>54.662553991514145</v>
      </c>
      <c r="AI26" s="143">
        <f ca="1">IF(($B26-AG26*IF(ISBLANK(Design!$B$35),Constants!$C$6,Design!$B$35)/1000*(1+Constants!$C$36/100*(AQ26-25))-Design!$C$22)/(IF(ISBLANK(Design!$B$34),Design!$B$33,Design!$B$34)/1000000)*AH26/100/(IF(ISBLANK(Design!$B$26),Design!$B$25,Design!$B$26)*1000000)&lt;0, 0, ($B26-AG26*IF(ISBLANK(Design!$B$35),Constants!$C$6,Design!$B$35)/1000*(1+Constants!$C$36/100*(AQ26-25))-Design!$C$22)/(IF(ISBLANK(Design!$B$34),Design!$B$33,Design!$B$34)/1000000)*AH26/100/(IF(ISBLANK(Design!$B$26),Design!$B$25,Design!$B$26)*1000000))</f>
        <v>0.44647474719064983</v>
      </c>
      <c r="AJ26" s="217">
        <f>$B26*Constants!$C$21/1000+IF(ISBLANK(Design!$B$26),Design!$B$25,Design!$B$26)*1000000*(Constants!$D$26+Constants!$D$27)/1000000000*$B26</f>
        <v>3.9164699999999997E-2</v>
      </c>
      <c r="AK26" s="217">
        <f>$B26*AG26*($B26/(Constants!$C$28*1000000000)*IF(ISBLANK(Design!$B$26),Design!$B$25,Design!$B$26)*1000000/2+$B26/(Constants!$C$29*1000000000)*IF(ISBLANK(Design!$B$26),Design!$B$25,Design!$B$26)*1000000/2)</f>
        <v>2.3605320499999999E-2</v>
      </c>
      <c r="AL26" s="217">
        <f t="shared" ca="1" si="7"/>
        <v>2.113897949133501E-2</v>
      </c>
      <c r="AM26" s="217">
        <f t="shared" ca="1" si="8"/>
        <v>1.7532794781445298E-2</v>
      </c>
      <c r="AN26" s="217">
        <f>2*AG26*Constants!$C$20/1000000000*Constants!$C$25*IF(ISBLANK(Design!$B$26),Design!$B$25,Design!$B$26)*1000000</f>
        <v>2.4E-2</v>
      </c>
      <c r="AO26" s="217">
        <f>(Constants!$D$26+Constants!$D$27)/1000000000*$B26*IF(ISBLANK(Design!$B$26),Design!$B$25,Design!$B$26)*1000000</f>
        <v>3.2293699999999995E-2</v>
      </c>
      <c r="AP26" s="217">
        <f t="shared" ca="1" si="9"/>
        <v>0.15773549477278032</v>
      </c>
      <c r="AQ26" s="218">
        <f ca="1">AP26*Design!$C$12+$A26</f>
        <v>32.571303749093452</v>
      </c>
      <c r="AR26" s="218">
        <f ca="1">Constants!$D$22+Constants!$D$22*Constants!$C$24/100*(AQ26-25)</f>
        <v>83.876507519535849</v>
      </c>
      <c r="AS26" s="218">
        <f ca="1">Constants!$D$23+Constants!$D$23*Constants!$C$24/100*(AQ26-25)</f>
        <v>68.14966235962288</v>
      </c>
      <c r="AT26" s="217">
        <f ca="1">(1-Constants!$C$19/1000000000*Design!$B$26*1000000) * ($B26+AG26*AS26/1000-AG26*AR26/1000) - (AG26*AS26/1000+AG26*(1+($A26-25)*Constants!$C$36/100)*IF(ISBLANK(Design!$B$35),Constants!$C$6/1000,Design!$B$35/1000))</f>
        <v>3.0326141179976371</v>
      </c>
      <c r="AU26" s="311">
        <f ca="1">IF(AT26&gt;Design!$C$22,Design!$C$22,AT26)</f>
        <v>1.7973333333333334</v>
      </c>
    </row>
    <row r="27" spans="1:47" s="144" customFormat="1" ht="12.75" customHeight="1">
      <c r="A27" s="136">
        <v>25</v>
      </c>
      <c r="B27" s="137">
        <f t="shared" si="0"/>
        <v>3.3610000000000002</v>
      </c>
      <c r="C27" s="138">
        <f>Design!$D$6</f>
        <v>2</v>
      </c>
      <c r="D27" s="193">
        <f ca="1">IF( 100*(Design!$C$22+C27*(IF(ISBLANK(Design!$B$35),Constants!$C$6,Design!$B$35)/1000*(1+Constants!$C$36/100*(M27-25))+O27/1000))/($B27-C27*N27/1000) &gt; Design!$C$29, Design!$C$29, 100*(Design!$C$22+C27*(IF(ISBLANK(Design!$B$35),Constants!$C$6,Design!$B$35)/1000*(1+Constants!$C$36/100*(M27-25))+O27/1000))/($B27-C27*N27/1000) )</f>
        <v>61.971824841351626</v>
      </c>
      <c r="E27" s="139">
        <f ca="1">IF(($B27-C27*IF(ISBLANK(Design!$B$35),Constants!$C$6,Design!$B$35)/1000*(1+Constants!$C$36/100*(M27-25))-Design!$C$22)/(IF(ISBLANK(Design!$B$34),Design!$B$33,Design!$B$34)/1000000)*D27/100/(IF(ISBLANK(Design!$B$26),Design!$B$25,Design!$B$26)*1000000)&lt;0, 0, ($B27-C27*IF(ISBLANK(Design!$B$35),Constants!$C$6,Design!$B$35)/1000*(1+Constants!$C$36/100*(M27-25))-Design!$C$22)/(IF(ISBLANK(Design!$B$34),Design!$B$33,Design!$B$34)/1000000)*D27/100/(IF(ISBLANK(Design!$B$26),Design!$B$25,Design!$B$26)*1000000))</f>
        <v>0.47990258626079346</v>
      </c>
      <c r="F27" s="186">
        <f>$B27*Constants!$C$21/1000+IF(ISBLANK(Design!$B$26),Design!$B$25,Design!$B$26)*1000000*(Constants!$D$26+Constants!$D$27)/1000000000*$B27</f>
        <v>3.8315399999999999E-2</v>
      </c>
      <c r="G27" s="186">
        <f>$B27*C27*($B27/(Constants!$C$28*1000000000)*IF(ISBLANK(Design!$B$26),Design!$B$25,Design!$B$26)*1000000/2+$B27/(Constants!$C$29*1000000000)*IF(ISBLANK(Design!$B$26),Design!$B$25,Design!$B$26)*1000000/2)</f>
        <v>6.7777926000000016E-2</v>
      </c>
      <c r="H27" s="186">
        <f t="shared" ca="1" si="1"/>
        <v>0.23534308154005878</v>
      </c>
      <c r="I27" s="186">
        <f t="shared" ca="1" si="2"/>
        <v>0.1444151104165908</v>
      </c>
      <c r="J27" s="186">
        <f>2*C27*Constants!$C$20/1000000000*Constants!$C$25*IF(ISBLANK(Design!$B$26),Design!$B$25,Design!$B$26)*1000000</f>
        <v>7.1999999999999995E-2</v>
      </c>
      <c r="K27" s="186">
        <f>(Constants!$D$26+Constants!$D$27)/1000000000*$B27*IF(ISBLANK(Design!$B$26),Design!$B$25,Design!$B$26)*1000000</f>
        <v>3.1593400000000001E-2</v>
      </c>
      <c r="L27" s="186">
        <f t="shared" ca="1" si="3"/>
        <v>0.58944491795664955</v>
      </c>
      <c r="M27" s="187">
        <f ca="1">L27*Design!$C$12+$A27</f>
        <v>53.293356061919177</v>
      </c>
      <c r="N27" s="187">
        <f ca="1">Constants!$D$22+Constants!$D$22*Constants!$C$24/100*(M27-25)</f>
        <v>94.486198303702622</v>
      </c>
      <c r="O27" s="187">
        <f ca="1">Constants!$D$23+Constants!$D$23*Constants!$C$24/100*(M27-25)</f>
        <v>76.77003612175838</v>
      </c>
      <c r="P27" s="186">
        <f ca="1">(1-Constants!$C$19/1000000000*Design!$B$26*1000000) * ($B27+C27*O27/1000-C27*N27/1000) - (C27*O27/1000+C27*(1+($A27-25)*Constants!$C$36/100)*IF(ISBLANK(Design!$B$35),Constants!$C$6/1000,Design!$B$35/1000))</f>
        <v>2.8260708358289839</v>
      </c>
      <c r="Q27" s="191">
        <f ca="1">IF(P27&gt;Design!$C$22,Design!$C$22,P27)</f>
        <v>1.7973333333333334</v>
      </c>
      <c r="R27" s="201">
        <f>2*Design!$D$6/3</f>
        <v>1.3333333333333333</v>
      </c>
      <c r="S27" s="202">
        <f ca="1">IF( 100*(Design!$C$22+R27*(IF(ISBLANK(Design!$B$35),Constants!$C$6,Design!$B$35)/1000*(1+Constants!$C$36/100*(AB27-25))+AD27/1000))/($B27-R27*AC27/1000) &gt; Design!$C$29, Design!$C$29, 100*(Design!$C$22+R27*(IF(ISBLANK(Design!$B$35),Constants!$C$6,Design!$B$35)/1000*(1+Constants!$C$36/100*(AB27-25))+AD27/1000))/($B27-R27*AC27/1000) )</f>
        <v>58.635089110118741</v>
      </c>
      <c r="T27" s="141">
        <f ca="1">IF(($B27-R27*IF(ISBLANK(Design!$B$35),Constants!$C$6,Design!$B$35)/1000*(1+Constants!$C$36/100*(AB27-25))-Design!$C$22)/(IF(ISBLANK(Design!$B$34),Design!$B$33,Design!$B$34)/1000000)*S27/100/(IF(ISBLANK(Design!$B$26),Design!$B$25,Design!$B$26)*1000000)&lt;0, 0, ($B27-R27*IF(ISBLANK(Design!$B$35),Constants!$C$6,Design!$B$35)/1000*(1+Constants!$C$36/100*(AB27-25))-Design!$C$22)/(IF(ISBLANK(Design!$B$34),Design!$B$33,Design!$B$34)/1000000)*S27/100/(IF(ISBLANK(Design!$B$26),Design!$B$25,Design!$B$26)*1000000))</f>
        <v>0.45565111771817507</v>
      </c>
      <c r="U27" s="203">
        <f>$B27*Constants!$C$21/1000+IF(ISBLANK(Design!$B$26),Design!$B$25,Design!$B$26)*1000000*(Constants!$D$26+Constants!$D$27)/1000000000*$B27</f>
        <v>3.8315399999999999E-2</v>
      </c>
      <c r="V27" s="203">
        <f>$B27*R27*($B27/(Constants!$C$28*1000000000)*IF(ISBLANK(Design!$B$26),Design!$B$25,Design!$B$26)*1000000/2+$B27/(Constants!$C$29*1000000000)*IF(ISBLANK(Design!$B$26),Design!$B$25,Design!$B$26)*1000000/2)</f>
        <v>4.5185284000000013E-2</v>
      </c>
      <c r="W27" s="203">
        <f t="shared" ca="1" si="4"/>
        <v>9.2503390299089966E-2</v>
      </c>
      <c r="X27" s="203">
        <f t="shared" ca="1" si="5"/>
        <v>6.5257758703967522E-2</v>
      </c>
      <c r="Y27" s="203">
        <f>2*R27*Constants!$C$20/1000000000*Constants!$C$25*IF(ISBLANK(Design!$B$26),Design!$B$25,Design!$B$26)*1000000</f>
        <v>4.8000000000000001E-2</v>
      </c>
      <c r="Z27" s="203">
        <f>(Constants!$D$26+Constants!$D$27)/1000000000*$B27*IF(ISBLANK(Design!$B$26),Design!$B$25,Design!$B$26)*1000000</f>
        <v>3.1593400000000001E-2</v>
      </c>
      <c r="AA27" s="203">
        <f t="shared" ca="1" si="6"/>
        <v>0.32085523300305752</v>
      </c>
      <c r="AB27" s="204">
        <f ca="1">AA27*Design!$C$12+$A27</f>
        <v>40.401051184146759</v>
      </c>
      <c r="AC27" s="204">
        <f ca="1">Constants!$D$22+Constants!$D$22*Constants!$C$24/100*(AB27-25)</f>
        <v>87.885338206283137</v>
      </c>
      <c r="AD27" s="204">
        <f ca="1">Constants!$D$23+Constants!$D$23*Constants!$C$24/100*(AB27-25)</f>
        <v>71.406837292605047</v>
      </c>
      <c r="AE27" s="203">
        <f ca="1">(1-Constants!$C$19/1000000000*Design!$B$26*1000000) * ($B27+R27*AD27/1000-R27*AC27/1000) - (R27*AD27/1000+R27*(1+($A27-25)*Constants!$C$36/100)*IF(ISBLANK(Design!$B$35),Constants!$C$6/1000,Design!$B$35/1000))</f>
        <v>2.9009833491801129</v>
      </c>
      <c r="AF27" s="308">
        <f ca="1">IF(AE27&gt;Design!$C$22,Design!$C$22,AE27)</f>
        <v>1.7973333333333334</v>
      </c>
      <c r="AG27" s="142">
        <f>Design!$D$6/3</f>
        <v>0.66666666666666663</v>
      </c>
      <c r="AH27" s="216">
        <f ca="1">IF( 100*(Design!$C$22+AG27*(IF(ISBLANK(Design!$B$35),Constants!$C$6,Design!$B$35)/1000*(1+Constants!$C$36/100*(AQ27-25))+AS27/1000))/($B27-AG27*AR27/1000) &gt; Design!$C$29, Design!$C$29, 100*(Design!$C$22+AG27*(IF(ISBLANK(Design!$B$35),Constants!$C$6,Design!$B$35)/1000*(1+Constants!$C$36/100*(AQ27-25))+AS27/1000))/($B27-AG27*AR27/1000) )</f>
        <v>55.892829588420447</v>
      </c>
      <c r="AI27" s="143">
        <f ca="1">IF(($B27-AG27*IF(ISBLANK(Design!$B$35),Constants!$C$6,Design!$B$35)/1000*(1+Constants!$C$36/100*(AQ27-25))-Design!$C$22)/(IF(ISBLANK(Design!$B$34),Design!$B$33,Design!$B$34)/1000000)*AH27/100/(IF(ISBLANK(Design!$B$26),Design!$B$25,Design!$B$26)*1000000)&lt;0, 0, ($B27-AG27*IF(ISBLANK(Design!$B$35),Constants!$C$6,Design!$B$35)/1000*(1+Constants!$C$36/100*(AQ27-25))-Design!$C$22)/(IF(ISBLANK(Design!$B$34),Design!$B$33,Design!$B$34)/1000000)*AH27/100/(IF(ISBLANK(Design!$B$26),Design!$B$25,Design!$B$26)*1000000))</f>
        <v>0.43570398289443107</v>
      </c>
      <c r="AJ27" s="217">
        <f>$B27*Constants!$C$21/1000+IF(ISBLANK(Design!$B$26),Design!$B$25,Design!$B$26)*1000000*(Constants!$D$26+Constants!$D$27)/1000000000*$B27</f>
        <v>3.8315399999999999E-2</v>
      </c>
      <c r="AK27" s="217">
        <f>$B27*AG27*($B27/(Constants!$C$28*1000000000)*IF(ISBLANK(Design!$B$26),Design!$B$25,Design!$B$26)*1000000/2+$B27/(Constants!$C$29*1000000000)*IF(ISBLANK(Design!$B$26),Design!$B$25,Design!$B$26)*1000000/2)</f>
        <v>2.2592642000000007E-2</v>
      </c>
      <c r="AL27" s="217">
        <f t="shared" ca="1" si="7"/>
        <v>2.156081850608349E-2</v>
      </c>
      <c r="AM27" s="217">
        <f t="shared" ca="1" si="8"/>
        <v>1.7014466847782971E-2</v>
      </c>
      <c r="AN27" s="217">
        <f>2*AG27*Constants!$C$20/1000000000*Constants!$C$25*IF(ISBLANK(Design!$B$26),Design!$B$25,Design!$B$26)*1000000</f>
        <v>2.4E-2</v>
      </c>
      <c r="AO27" s="217">
        <f>(Constants!$D$26+Constants!$D$27)/1000000000*$B27*IF(ISBLANK(Design!$B$26),Design!$B$25,Design!$B$26)*1000000</f>
        <v>3.1593400000000001E-2</v>
      </c>
      <c r="AP27" s="217">
        <f t="shared" ca="1" si="9"/>
        <v>0.15507672735386646</v>
      </c>
      <c r="AQ27" s="218">
        <f ca="1">AP27*Design!$C$12+$A27</f>
        <v>32.443682912985594</v>
      </c>
      <c r="AR27" s="218">
        <f ca="1">Constants!$D$22+Constants!$D$22*Constants!$C$24/100*(AQ27-25)</f>
        <v>83.811165651448619</v>
      </c>
      <c r="AS27" s="218">
        <f ca="1">Constants!$D$23+Constants!$D$23*Constants!$C$24/100*(AQ27-25)</f>
        <v>68.096572091802003</v>
      </c>
      <c r="AT27" s="217">
        <f ca="1">(1-Constants!$C$19/1000000000*Design!$B$26*1000000) * ($B27+AG27*AS27/1000-AG27*AR27/1000) - (AG27*AS27/1000+AG27*(1+($A27-25)*Constants!$C$36/100)*IF(ISBLANK(Design!$B$35),Constants!$C$6/1000,Design!$B$35/1000))</f>
        <v>2.9656068624696776</v>
      </c>
      <c r="AU27" s="311">
        <f ca="1">IF(AT27&gt;Design!$C$22,Design!$C$22,AT27)</f>
        <v>1.7973333333333334</v>
      </c>
    </row>
    <row r="28" spans="1:47" s="144" customFormat="1" ht="12.75" customHeight="1">
      <c r="A28" s="136">
        <v>25</v>
      </c>
      <c r="B28" s="137">
        <f t="shared" si="0"/>
        <v>3.2865000000000002</v>
      </c>
      <c r="C28" s="138">
        <f>Design!$D$6</f>
        <v>2</v>
      </c>
      <c r="D28" s="193">
        <f ca="1">IF( 100*(Design!$C$22+C28*(IF(ISBLANK(Design!$B$35),Constants!$C$6,Design!$B$35)/1000*(1+Constants!$C$36/100*(M28-25))+O28/1000))/($B28-C28*N28/1000) &gt; Design!$C$29, Design!$C$29, 100*(Design!$C$22+C28*(IF(ISBLANK(Design!$B$35),Constants!$C$6,Design!$B$35)/1000*(1+Constants!$C$36/100*(M28-25))+O28/1000))/($B28-C28*N28/1000) )</f>
        <v>63.450168987553816</v>
      </c>
      <c r="E28" s="139">
        <f ca="1">IF(($B28-C28*IF(ISBLANK(Design!$B$35),Constants!$C$6,Design!$B$35)/1000*(1+Constants!$C$36/100*(M28-25))-Design!$C$22)/(IF(ISBLANK(Design!$B$34),Design!$B$33,Design!$B$34)/1000000)*D28/100/(IF(ISBLANK(Design!$B$26),Design!$B$25,Design!$B$26)*1000000)&lt;0, 0, ($B28-C28*IF(ISBLANK(Design!$B$35),Constants!$C$6,Design!$B$35)/1000*(1+Constants!$C$36/100*(M28-25))-Design!$C$22)/(IF(ISBLANK(Design!$B$34),Design!$B$33,Design!$B$34)/1000000)*D28/100/(IF(ISBLANK(Design!$B$26),Design!$B$25,Design!$B$26)*1000000))</f>
        <v>0.46771962676436724</v>
      </c>
      <c r="F28" s="186">
        <f>$B28*Constants!$C$21/1000+IF(ISBLANK(Design!$B$26),Design!$B$25,Design!$B$26)*1000000*(Constants!$D$26+Constants!$D$27)/1000000000*$B28</f>
        <v>3.7466099999999995E-2</v>
      </c>
      <c r="G28" s="186">
        <f>$B28*C28*($B28/(Constants!$C$28*1000000000)*IF(ISBLANK(Design!$B$26),Design!$B$25,Design!$B$26)*1000000/2+$B28/(Constants!$C$29*1000000000)*IF(ISBLANK(Design!$B$26),Design!$B$25,Design!$B$26)*1000000/2)</f>
        <v>6.4806493500000006E-2</v>
      </c>
      <c r="H28" s="186">
        <f t="shared" ca="1" si="1"/>
        <v>0.24057889687569117</v>
      </c>
      <c r="I28" s="186">
        <f t="shared" ca="1" si="2"/>
        <v>0.138583051334222</v>
      </c>
      <c r="J28" s="186">
        <f>2*C28*Constants!$C$20/1000000000*Constants!$C$25*IF(ISBLANK(Design!$B$26),Design!$B$25,Design!$B$26)*1000000</f>
        <v>7.1999999999999995E-2</v>
      </c>
      <c r="K28" s="186">
        <f>(Constants!$D$26+Constants!$D$27)/1000000000*$B28*IF(ISBLANK(Design!$B$26),Design!$B$25,Design!$B$26)*1000000</f>
        <v>3.0893099999999996E-2</v>
      </c>
      <c r="L28" s="186">
        <f t="shared" ca="1" si="3"/>
        <v>0.58432764170991314</v>
      </c>
      <c r="M28" s="187">
        <f ca="1">L28*Design!$C$12+$A28</f>
        <v>53.047726802075829</v>
      </c>
      <c r="N28" s="187">
        <f ca="1">Constants!$D$22+Constants!$D$22*Constants!$C$24/100*(M28-25)</f>
        <v>94.360436122662819</v>
      </c>
      <c r="O28" s="187">
        <f ca="1">Constants!$D$23+Constants!$D$23*Constants!$C$24/100*(M28-25)</f>
        <v>76.667854349663543</v>
      </c>
      <c r="P28" s="186">
        <f ca="1">(1-Constants!$C$19/1000000000*Design!$B$26*1000000) * ($B28+C28*O28/1000-C28*N28/1000) - (C28*O28/1000+C28*(1+($A28-25)*Constants!$C$36/100)*IF(ISBLANK(Design!$B$35),Constants!$C$6/1000,Design!$B$35/1000))</f>
        <v>2.7592676441092747</v>
      </c>
      <c r="Q28" s="191">
        <f ca="1">IF(P28&gt;Design!$C$22,Design!$C$22,P28)</f>
        <v>1.7973333333333334</v>
      </c>
      <c r="R28" s="201">
        <f>2*Design!$D$6/3</f>
        <v>1.3333333333333333</v>
      </c>
      <c r="S28" s="202">
        <f ca="1">IF( 100*(Design!$C$22+R28*(IF(ISBLANK(Design!$B$35),Constants!$C$6,Design!$B$35)/1000*(1+Constants!$C$36/100*(AB28-25))+AD28/1000))/($B28-R28*AC28/1000) &gt; Design!$C$29, Design!$C$29, 100*(Design!$C$22+R28*(IF(ISBLANK(Design!$B$35),Constants!$C$6,Design!$B$35)/1000*(1+Constants!$C$36/100*(AB28-25))+AD28/1000))/($B28-R28*AC28/1000) )</f>
        <v>60.007689597605555</v>
      </c>
      <c r="T28" s="141">
        <f ca="1">IF(($B28-R28*IF(ISBLANK(Design!$B$35),Constants!$C$6,Design!$B$35)/1000*(1+Constants!$C$36/100*(AB28-25))-Design!$C$22)/(IF(ISBLANK(Design!$B$34),Design!$B$33,Design!$B$34)/1000000)*S28/100/(IF(ISBLANK(Design!$B$26),Design!$B$25,Design!$B$26)*1000000)&lt;0, 0, ($B28-R28*IF(ISBLANK(Design!$B$35),Constants!$C$6,Design!$B$35)/1000*(1+Constants!$C$36/100*(AB28-25))-Design!$C$22)/(IF(ISBLANK(Design!$B$34),Design!$B$33,Design!$B$34)/1000000)*S28/100/(IF(ISBLANK(Design!$B$26),Design!$B$25,Design!$B$26)*1000000))</f>
        <v>0.44396658935747313</v>
      </c>
      <c r="U28" s="203">
        <f>$B28*Constants!$C$21/1000+IF(ISBLANK(Design!$B$26),Design!$B$25,Design!$B$26)*1000000*(Constants!$D$26+Constants!$D$27)/1000000000*$B28</f>
        <v>3.7466099999999995E-2</v>
      </c>
      <c r="V28" s="203">
        <f>$B28*R28*($B28/(Constants!$C$28*1000000000)*IF(ISBLANK(Design!$B$26),Design!$B$25,Design!$B$26)*1000000/2+$B28/(Constants!$C$29*1000000000)*IF(ISBLANK(Design!$B$26),Design!$B$25,Design!$B$26)*1000000/2)</f>
        <v>4.3204329E-2</v>
      </c>
      <c r="W28" s="203">
        <f t="shared" ca="1" si="4"/>
        <v>9.4522765180883525E-2</v>
      </c>
      <c r="X28" s="203">
        <f t="shared" ca="1" si="5"/>
        <v>6.2994989318125222E-2</v>
      </c>
      <c r="Y28" s="203">
        <f>2*R28*Constants!$C$20/1000000000*Constants!$C$25*IF(ISBLANK(Design!$B$26),Design!$B$25,Design!$B$26)*1000000</f>
        <v>4.8000000000000001E-2</v>
      </c>
      <c r="Z28" s="203">
        <f>(Constants!$D$26+Constants!$D$27)/1000000000*$B28*IF(ISBLANK(Design!$B$26),Design!$B$25,Design!$B$26)*1000000</f>
        <v>3.0893099999999996E-2</v>
      </c>
      <c r="AA28" s="203">
        <f t="shared" ca="1" si="6"/>
        <v>0.31708128349900877</v>
      </c>
      <c r="AB28" s="204">
        <f ca="1">AA28*Design!$C$12+$A28</f>
        <v>40.219901607952423</v>
      </c>
      <c r="AC28" s="204">
        <f ca="1">Constants!$D$22+Constants!$D$22*Constants!$C$24/100*(AB28-25)</f>
        <v>87.792589623271638</v>
      </c>
      <c r="AD28" s="204">
        <f ca="1">Constants!$D$23+Constants!$D$23*Constants!$C$24/100*(AB28-25)</f>
        <v>71.331479068908209</v>
      </c>
      <c r="AE28" s="203">
        <f ca="1">(1-Constants!$C$19/1000000000*Design!$B$26*1000000) * ($B28+R28*AD28/1000-R28*AC28/1000) - (R28*AD28/1000+R28*(1+($A28-25)*Constants!$C$36/100)*IF(ISBLANK(Design!$B$35),Constants!$C$6/1000,Design!$B$35/1000))</f>
        <v>2.8340546952428864</v>
      </c>
      <c r="AF28" s="308">
        <f ca="1">IF(AE28&gt;Design!$C$22,Design!$C$22,AE28)</f>
        <v>1.7973333333333334</v>
      </c>
      <c r="AG28" s="142">
        <f>Design!$D$6/3</f>
        <v>0.66666666666666663</v>
      </c>
      <c r="AH28" s="216">
        <f ca="1">IF( 100*(Design!$C$22+AG28*(IF(ISBLANK(Design!$B$35),Constants!$C$6,Design!$B$35)/1000*(1+Constants!$C$36/100*(AQ28-25))+AS28/1000))/($B28-AG28*AR28/1000) &gt; Design!$C$29, Design!$C$29, 100*(Design!$C$22+AG28*(IF(ISBLANK(Design!$B$35),Constants!$C$6,Design!$B$35)/1000*(1+Constants!$C$36/100*(AQ28-25))+AS28/1000))/($B28-AG28*AR28/1000) )</f>
        <v>57.179828354509695</v>
      </c>
      <c r="AI28" s="143">
        <f ca="1">IF(($B28-AG28*IF(ISBLANK(Design!$B$35),Constants!$C$6,Design!$B$35)/1000*(1+Constants!$C$36/100*(AQ28-25))-Design!$C$22)/(IF(ISBLANK(Design!$B$34),Design!$B$33,Design!$B$34)/1000000)*AH28/100/(IF(ISBLANK(Design!$B$26),Design!$B$25,Design!$B$26)*1000000)&lt;0, 0, ($B28-AG28*IF(ISBLANK(Design!$B$35),Constants!$C$6,Design!$B$35)/1000*(1+Constants!$C$36/100*(AQ28-25))-Design!$C$22)/(IF(ISBLANK(Design!$B$34),Design!$B$33,Design!$B$34)/1000000)*AH28/100/(IF(ISBLANK(Design!$B$26),Design!$B$25,Design!$B$26)*1000000))</f>
        <v>0.42443773374923349</v>
      </c>
      <c r="AJ28" s="217">
        <f>$B28*Constants!$C$21/1000+IF(ISBLANK(Design!$B$26),Design!$B$25,Design!$B$26)*1000000*(Constants!$D$26+Constants!$D$27)/1000000000*$B28</f>
        <v>3.7466099999999995E-2</v>
      </c>
      <c r="AK28" s="217">
        <f>$B28*AG28*($B28/(Constants!$C$28*1000000000)*IF(ISBLANK(Design!$B$26),Design!$B$25,Design!$B$26)*1000000/2+$B28/(Constants!$C$29*1000000000)*IF(ISBLANK(Design!$B$26),Design!$B$25,Design!$B$26)*1000000/2)</f>
        <v>2.16021645E-2</v>
      </c>
      <c r="AL28" s="217">
        <f t="shared" ca="1" si="7"/>
        <v>2.2001552442090767E-2</v>
      </c>
      <c r="AM28" s="217">
        <f t="shared" ca="1" si="8"/>
        <v>1.6476269326948408E-2</v>
      </c>
      <c r="AN28" s="217">
        <f>2*AG28*Constants!$C$20/1000000000*Constants!$C$25*IF(ISBLANK(Design!$B$26),Design!$B$25,Design!$B$26)*1000000</f>
        <v>2.4E-2</v>
      </c>
      <c r="AO28" s="217">
        <f>(Constants!$D$26+Constants!$D$27)/1000000000*$B28*IF(ISBLANK(Design!$B$26),Design!$B$25,Design!$B$26)*1000000</f>
        <v>3.0893099999999996E-2</v>
      </c>
      <c r="AP28" s="217">
        <f t="shared" ca="1" si="9"/>
        <v>0.15243918626903916</v>
      </c>
      <c r="AQ28" s="218">
        <f ca="1">AP28*Design!$C$12+$A28</f>
        <v>32.317080940913883</v>
      </c>
      <c r="AR28" s="218">
        <f ca="1">Constants!$D$22+Constants!$D$22*Constants!$C$24/100*(AQ28-25)</f>
        <v>83.746345441747906</v>
      </c>
      <c r="AS28" s="218">
        <f ca="1">Constants!$D$23+Constants!$D$23*Constants!$C$24/100*(AQ28-25)</f>
        <v>68.043905671420177</v>
      </c>
      <c r="AT28" s="217">
        <f ca="1">(1-Constants!$C$19/1000000000*Design!$B$26*1000000) * ($B28+AG28*AS28/1000-AG28*AR28/1000) - (AG28*AS28/1000+AG28*(1+($A28-25)*Constants!$C$36/100)*IF(ISBLANK(Design!$B$35),Constants!$C$6/1000,Design!$B$35/1000))</f>
        <v>2.8985992656901902</v>
      </c>
      <c r="AU28" s="311">
        <f ca="1">IF(AT28&gt;Design!$C$22,Design!$C$22,AT28)</f>
        <v>1.7973333333333334</v>
      </c>
    </row>
    <row r="29" spans="1:47" s="144" customFormat="1" ht="12.75" customHeight="1">
      <c r="A29" s="136">
        <v>25</v>
      </c>
      <c r="B29" s="137">
        <f t="shared" si="0"/>
        <v>3.2120000000000002</v>
      </c>
      <c r="C29" s="138">
        <f>Design!$D$6</f>
        <v>2</v>
      </c>
      <c r="D29" s="193">
        <f ca="1">IF( 100*(Design!$C$22+C29*(IF(ISBLANK(Design!$B$35),Constants!$C$6,Design!$B$35)/1000*(1+Constants!$C$36/100*(M29-25))+O29/1000))/($B29-C29*N29/1000) &gt; Design!$C$29, Design!$C$29, 100*(Design!$C$22+C29*(IF(ISBLANK(Design!$B$35),Constants!$C$6,Design!$B$35)/1000*(1+Constants!$C$36/100*(M29-25))+O29/1000))/($B29-C29*N29/1000) )</f>
        <v>65.001297516455978</v>
      </c>
      <c r="E29" s="139">
        <f ca="1">IF(($B29-C29*IF(ISBLANK(Design!$B$35),Constants!$C$6,Design!$B$35)/1000*(1+Constants!$C$36/100*(M29-25))-Design!$C$22)/(IF(ISBLANK(Design!$B$34),Design!$B$33,Design!$B$34)/1000000)*D29/100/(IF(ISBLANK(Design!$B$26),Design!$B$25,Design!$B$26)*1000000)&lt;0, 0, ($B29-C29*IF(ISBLANK(Design!$B$35),Constants!$C$6,Design!$B$35)/1000*(1+Constants!$C$36/100*(M29-25))-Design!$C$22)/(IF(ISBLANK(Design!$B$34),Design!$B$33,Design!$B$34)/1000000)*D29/100/(IF(ISBLANK(Design!$B$26),Design!$B$25,Design!$B$26)*1000000))</f>
        <v>0.45494485173162336</v>
      </c>
      <c r="F29" s="186">
        <f>$B29*Constants!$C$21/1000+IF(ISBLANK(Design!$B$26),Design!$B$25,Design!$B$26)*1000000*(Constants!$D$26+Constants!$D$27)/1000000000*$B29</f>
        <v>3.6616799999999998E-2</v>
      </c>
      <c r="G29" s="186">
        <f>$B29*C29*($B29/(Constants!$C$28*1000000000)*IF(ISBLANK(Design!$B$26),Design!$B$25,Design!$B$26)*1000000/2+$B29/(Constants!$C$29*1000000000)*IF(ISBLANK(Design!$B$26),Design!$B$25,Design!$B$26)*1000000/2)</f>
        <v>6.1901664000000009E-2</v>
      </c>
      <c r="H29" s="186">
        <f t="shared" ca="1" si="1"/>
        <v>0.24607616625990084</v>
      </c>
      <c r="I29" s="186">
        <f t="shared" ca="1" si="2"/>
        <v>0.13249499410440305</v>
      </c>
      <c r="J29" s="186">
        <f>2*C29*Constants!$C$20/1000000000*Constants!$C$25*IF(ISBLANK(Design!$B$26),Design!$B$25,Design!$B$26)*1000000</f>
        <v>7.1999999999999995E-2</v>
      </c>
      <c r="K29" s="186">
        <f>(Constants!$D$26+Constants!$D$27)/1000000000*$B29*IF(ISBLANK(Design!$B$26),Design!$B$25,Design!$B$26)*1000000</f>
        <v>3.0192799999999992E-2</v>
      </c>
      <c r="L29" s="186">
        <f t="shared" ca="1" si="3"/>
        <v>0.57928242436430388</v>
      </c>
      <c r="M29" s="187">
        <f ca="1">L29*Design!$C$12+$A29</f>
        <v>52.805556369486588</v>
      </c>
      <c r="N29" s="187">
        <f ca="1">Constants!$D$22+Constants!$D$22*Constants!$C$24/100*(M29-25)</f>
        <v>94.236444861177134</v>
      </c>
      <c r="O29" s="187">
        <f ca="1">Constants!$D$23+Constants!$D$23*Constants!$C$24/100*(M29-25)</f>
        <v>76.567111449706417</v>
      </c>
      <c r="P29" s="186">
        <f ca="1">(1-Constants!$C$19/1000000000*Design!$B$26*1000000) * ($B29+C29*O29/1000-C29*N29/1000) - (C29*O29/1000+C29*(1+($A29-25)*Constants!$C$36/100)*IF(ISBLANK(Design!$B$35),Constants!$C$6/1000,Design!$B$35/1000))</f>
        <v>2.6924609769599401</v>
      </c>
      <c r="Q29" s="191">
        <f ca="1">IF(P29&gt;Design!$C$22,Design!$C$22,P29)</f>
        <v>1.7973333333333334</v>
      </c>
      <c r="R29" s="201">
        <f>2*Design!$D$6/3</f>
        <v>1.3333333333333333</v>
      </c>
      <c r="S29" s="202">
        <f ca="1">IF( 100*(Design!$C$22+R29*(IF(ISBLANK(Design!$B$35),Constants!$C$6,Design!$B$35)/1000*(1+Constants!$C$36/100*(AB29-25))+AD29/1000))/($B29-R29*AC29/1000) &gt; Design!$C$29, Design!$C$29, 100*(Design!$C$22+R29*(IF(ISBLANK(Design!$B$35),Constants!$C$6,Design!$B$35)/1000*(1+Constants!$C$36/100*(AB29-25))+AD29/1000))/($B29-R29*AC29/1000) )</f>
        <v>61.446329391320639</v>
      </c>
      <c r="T29" s="141">
        <f ca="1">IF(($B29-R29*IF(ISBLANK(Design!$B$35),Constants!$C$6,Design!$B$35)/1000*(1+Constants!$C$36/100*(AB29-25))-Design!$C$22)/(IF(ISBLANK(Design!$B$34),Design!$B$33,Design!$B$34)/1000000)*S29/100/(IF(ISBLANK(Design!$B$26),Design!$B$25,Design!$B$26)*1000000)&lt;0, 0, ($B29-R29*IF(ISBLANK(Design!$B$35),Constants!$C$6,Design!$B$35)/1000*(1+Constants!$C$36/100*(AB29-25))-Design!$C$22)/(IF(ISBLANK(Design!$B$34),Design!$B$33,Design!$B$34)/1000000)*S29/100/(IF(ISBLANK(Design!$B$26),Design!$B$25,Design!$B$26)*1000000))</f>
        <v>0.43172353155393528</v>
      </c>
      <c r="U29" s="203">
        <f>$B29*Constants!$C$21/1000+IF(ISBLANK(Design!$B$26),Design!$B$25,Design!$B$26)*1000000*(Constants!$D$26+Constants!$D$27)/1000000000*$B29</f>
        <v>3.6616799999999998E-2</v>
      </c>
      <c r="V29" s="203">
        <f>$B29*R29*($B29/(Constants!$C$28*1000000000)*IF(ISBLANK(Design!$B$26),Design!$B$25,Design!$B$26)*1000000/2+$B29/(Constants!$C$29*1000000000)*IF(ISBLANK(Design!$B$26),Design!$B$25,Design!$B$26)*1000000/2)</f>
        <v>4.1267775999999999E-2</v>
      </c>
      <c r="W29" s="203">
        <f t="shared" ca="1" si="4"/>
        <v>9.6639699368604226E-2</v>
      </c>
      <c r="X29" s="203">
        <f t="shared" ca="1" si="5"/>
        <v>6.0635275924313239E-2</v>
      </c>
      <c r="Y29" s="203">
        <f>2*R29*Constants!$C$20/1000000000*Constants!$C$25*IF(ISBLANK(Design!$B$26),Design!$B$25,Design!$B$26)*1000000</f>
        <v>4.8000000000000001E-2</v>
      </c>
      <c r="Z29" s="203">
        <f>(Constants!$D$26+Constants!$D$27)/1000000000*$B29*IF(ISBLANK(Design!$B$26),Design!$B$25,Design!$B$26)*1000000</f>
        <v>3.0192799999999992E-2</v>
      </c>
      <c r="AA29" s="203">
        <f t="shared" ca="1" si="6"/>
        <v>0.31335235129291739</v>
      </c>
      <c r="AB29" s="204">
        <f ca="1">AA29*Design!$C$12+$A29</f>
        <v>40.040912862060033</v>
      </c>
      <c r="AC29" s="204">
        <f ca="1">Constants!$D$22+Constants!$D$22*Constants!$C$24/100*(AB29-25)</f>
        <v>87.700947385374732</v>
      </c>
      <c r="AD29" s="204">
        <f ca="1">Constants!$D$23+Constants!$D$23*Constants!$C$24/100*(AB29-25)</f>
        <v>71.257019750616976</v>
      </c>
      <c r="AE29" s="203">
        <f ca="1">(1-Constants!$C$19/1000000000*Design!$B$26*1000000) * ($B29+R29*AD29/1000-R29*AC29/1000) - (R29*AD29/1000+R29*(1+($A29-25)*Constants!$C$36/100)*IF(ISBLANK(Design!$B$35),Constants!$C$6/1000,Design!$B$35/1000))</f>
        <v>2.7671245938374684</v>
      </c>
      <c r="AF29" s="308">
        <f ca="1">IF(AE29&gt;Design!$C$22,Design!$C$22,AE29)</f>
        <v>1.7973333333333334</v>
      </c>
      <c r="AG29" s="142">
        <f>Design!$D$6/3</f>
        <v>0.66666666666666663</v>
      </c>
      <c r="AH29" s="216">
        <f ca="1">IF( 100*(Design!$C$22+AG29*(IF(ISBLANK(Design!$B$35),Constants!$C$6,Design!$B$35)/1000*(1+Constants!$C$36/100*(AQ29-25))+AS29/1000))/($B29-AG29*AR29/1000) &gt; Design!$C$29, Design!$C$29, 100*(Design!$C$22+AG29*(IF(ISBLANK(Design!$B$35),Constants!$C$6,Design!$B$35)/1000*(1+Constants!$C$36/100*(AQ29-25))+AS29/1000))/($B29-AG29*AR29/1000) )</f>
        <v>58.527565133502634</v>
      </c>
      <c r="AI29" s="143">
        <f ca="1">IF(($B29-AG29*IF(ISBLANK(Design!$B$35),Constants!$C$6,Design!$B$35)/1000*(1+Constants!$C$36/100*(AQ29-25))-Design!$C$22)/(IF(ISBLANK(Design!$B$34),Design!$B$33,Design!$B$34)/1000000)*AH29/100/(IF(ISBLANK(Design!$B$26),Design!$B$25,Design!$B$26)*1000000)&lt;0, 0, ($B29-AG29*IF(ISBLANK(Design!$B$35),Constants!$C$6,Design!$B$35)/1000*(1+Constants!$C$36/100*(AQ29-25))-Design!$C$22)/(IF(ISBLANK(Design!$B$34),Design!$B$33,Design!$B$34)/1000000)*AH29/100/(IF(ISBLANK(Design!$B$26),Design!$B$25,Design!$B$26)*1000000))</f>
        <v>0.41264091927969099</v>
      </c>
      <c r="AJ29" s="217">
        <f>$B29*Constants!$C$21/1000+IF(ISBLANK(Design!$B$26),Design!$B$25,Design!$B$26)*1000000*(Constants!$D$26+Constants!$D$27)/1000000000*$B29</f>
        <v>3.6616799999999998E-2</v>
      </c>
      <c r="AK29" s="217">
        <f>$B29*AG29*($B29/(Constants!$C$28*1000000000)*IF(ISBLANK(Design!$B$26),Design!$B$25,Design!$B$26)*1000000/2+$B29/(Constants!$C$29*1000000000)*IF(ISBLANK(Design!$B$26),Design!$B$25,Design!$B$26)*1000000/2)</f>
        <v>2.0633888E-2</v>
      </c>
      <c r="AL29" s="217">
        <f t="shared" ca="1" si="7"/>
        <v>2.2462538494908372E-2</v>
      </c>
      <c r="AM29" s="217">
        <f t="shared" ca="1" si="8"/>
        <v>1.5916878867954475E-2</v>
      </c>
      <c r="AN29" s="217">
        <f>2*AG29*Constants!$C$20/1000000000*Constants!$C$25*IF(ISBLANK(Design!$B$26),Design!$B$25,Design!$B$26)*1000000</f>
        <v>2.4E-2</v>
      </c>
      <c r="AO29" s="217">
        <f>(Constants!$D$26+Constants!$D$27)/1000000000*$B29*IF(ISBLANK(Design!$B$26),Design!$B$25,Design!$B$26)*1000000</f>
        <v>3.0192799999999992E-2</v>
      </c>
      <c r="AP29" s="217">
        <f t="shared" ca="1" si="9"/>
        <v>0.14982290536286283</v>
      </c>
      <c r="AQ29" s="218">
        <f ca="1">AP29*Design!$C$12+$A29</f>
        <v>32.191499457417414</v>
      </c>
      <c r="AR29" s="218">
        <f ca="1">Constants!$D$22+Constants!$D$22*Constants!$C$24/100*(AQ29-25)</f>
        <v>83.682047722197723</v>
      </c>
      <c r="AS29" s="218">
        <f ca="1">Constants!$D$23+Constants!$D$23*Constants!$C$24/100*(AQ29-25)</f>
        <v>67.991663774285641</v>
      </c>
      <c r="AT29" s="217">
        <f ca="1">(1-Constants!$C$19/1000000000*Design!$B$26*1000000) * ($B29+AG29*AS29/1000-AG29*AR29/1000) - (AG29*AS29/1000+AG29*(1+($A29-25)*Constants!$C$36/100)*IF(ISBLANK(Design!$B$35),Constants!$C$6/1000,Design!$B$35/1000))</f>
        <v>2.8315913271150626</v>
      </c>
      <c r="AU29" s="311">
        <f ca="1">IF(AT29&gt;Design!$C$22,Design!$C$22,AT29)</f>
        <v>1.7973333333333334</v>
      </c>
    </row>
    <row r="30" spans="1:47" s="144" customFormat="1" ht="12.75" customHeight="1">
      <c r="A30" s="136">
        <v>25</v>
      </c>
      <c r="B30" s="137">
        <f t="shared" si="0"/>
        <v>3.1375000000000002</v>
      </c>
      <c r="C30" s="138">
        <f>Design!$D$6</f>
        <v>2</v>
      </c>
      <c r="D30" s="193">
        <f ca="1">IF( 100*(Design!$C$22+C30*(IF(ISBLANK(Design!$B$35),Constants!$C$6,Design!$B$35)/1000*(1+Constants!$C$36/100*(M30-25))+O30/1000))/($B30-C30*N30/1000) &gt; Design!$C$29, Design!$C$29, 100*(Design!$C$22+C30*(IF(ISBLANK(Design!$B$35),Constants!$C$6,Design!$B$35)/1000*(1+Constants!$C$36/100*(M30-25))+O30/1000))/($B30-C30*N30/1000) )</f>
        <v>66.63071349486431</v>
      </c>
      <c r="E30" s="139">
        <f ca="1">IF(($B30-C30*IF(ISBLANK(Design!$B$35),Constants!$C$6,Design!$B$35)/1000*(1+Constants!$C$36/100*(M30-25))-Design!$C$22)/(IF(ISBLANK(Design!$B$34),Design!$B$33,Design!$B$34)/1000000)*D30/100/(IF(ISBLANK(Design!$B$26),Design!$B$25,Design!$B$26)*1000000)&lt;0, 0, ($B30-C30*IF(ISBLANK(Design!$B$35),Constants!$C$6,Design!$B$35)/1000*(1+Constants!$C$36/100*(M30-25))-Design!$C$22)/(IF(ISBLANK(Design!$B$34),Design!$B$33,Design!$B$34)/1000000)*D30/100/(IF(ISBLANK(Design!$B$26),Design!$B$25,Design!$B$26)*1000000))</f>
        <v>0.44153340073941461</v>
      </c>
      <c r="F30" s="186">
        <f>$B30*Constants!$C$21/1000+IF(ISBLANK(Design!$B$26),Design!$B$25,Design!$B$26)*1000000*(Constants!$D$26+Constants!$D$27)/1000000000*$B30</f>
        <v>3.5767500000000001E-2</v>
      </c>
      <c r="G30" s="186">
        <f>$B30*C30*($B30/(Constants!$C$28*1000000000)*IF(ISBLANK(Design!$B$26),Design!$B$25,Design!$B$26)*1000000/2+$B30/(Constants!$C$29*1000000000)*IF(ISBLANK(Design!$B$26),Design!$B$25,Design!$B$26)*1000000/2)</f>
        <v>5.906343750000001E-2</v>
      </c>
      <c r="H30" s="186">
        <f t="shared" ca="1" si="1"/>
        <v>0.25185468938343614</v>
      </c>
      <c r="I30" s="186">
        <f t="shared" ca="1" si="2"/>
        <v>0.12613119156146524</v>
      </c>
      <c r="J30" s="186">
        <f>2*C30*Constants!$C$20/1000000000*Constants!$C$25*IF(ISBLANK(Design!$B$26),Design!$B$25,Design!$B$26)*1000000</f>
        <v>7.1999999999999995E-2</v>
      </c>
      <c r="K30" s="186">
        <f>(Constants!$D$26+Constants!$D$27)/1000000000*$B30*IF(ISBLANK(Design!$B$26),Design!$B$25,Design!$B$26)*1000000</f>
        <v>2.9492499999999994E-2</v>
      </c>
      <c r="L30" s="186">
        <f t="shared" ca="1" si="3"/>
        <v>0.57430931844490141</v>
      </c>
      <c r="M30" s="187">
        <f ca="1">L30*Design!$C$12+$A30</f>
        <v>52.566847285355266</v>
      </c>
      <c r="N30" s="187">
        <f ca="1">Constants!$D$22+Constants!$D$22*Constants!$C$24/100*(M30-25)</f>
        <v>94.1142258101019</v>
      </c>
      <c r="O30" s="187">
        <f ca="1">Constants!$D$23+Constants!$D$23*Constants!$C$24/100*(M30-25)</f>
        <v>76.467808470707794</v>
      </c>
      <c r="P30" s="186">
        <f ca="1">(1-Constants!$C$19/1000000000*Design!$B$26*1000000) * ($B30+C30*O30/1000-C30*N30/1000) - (C30*O30/1000+C30*(1+($A30-25)*Constants!$C$36/100)*IF(ISBLANK(Design!$B$35),Constants!$C$6/1000,Design!$B$35/1000))</f>
        <v>2.6256508318476754</v>
      </c>
      <c r="Q30" s="191">
        <f ca="1">IF(P30&gt;Design!$C$22,Design!$C$22,P30)</f>
        <v>1.7973333333333334</v>
      </c>
      <c r="R30" s="201">
        <f>2*Design!$D$6/3</f>
        <v>1.3333333333333333</v>
      </c>
      <c r="S30" s="202">
        <f ca="1">IF( 100*(Design!$C$22+R30*(IF(ISBLANK(Design!$B$35),Constants!$C$6,Design!$B$35)/1000*(1+Constants!$C$36/100*(AB30-25))+AD30/1000))/($B30-R30*AC30/1000) &gt; Design!$C$29, Design!$C$29, 100*(Design!$C$22+R30*(IF(ISBLANK(Design!$B$35),Constants!$C$6,Design!$B$35)/1000*(1+Constants!$C$36/100*(AB30-25))+AD30/1000))/($B30-R30*AC30/1000) )</f>
        <v>62.955888903150772</v>
      </c>
      <c r="T30" s="141">
        <f ca="1">IF(($B30-R30*IF(ISBLANK(Design!$B$35),Constants!$C$6,Design!$B$35)/1000*(1+Constants!$C$36/100*(AB30-25))-Design!$C$22)/(IF(ISBLANK(Design!$B$34),Design!$B$33,Design!$B$34)/1000000)*S30/100/(IF(ISBLANK(Design!$B$26),Design!$B$25,Design!$B$26)*1000000)&lt;0, 0, ($B30-R30*IF(ISBLANK(Design!$B$35),Constants!$C$6,Design!$B$35)/1000*(1+Constants!$C$36/100*(AB30-25))-Design!$C$22)/(IF(ISBLANK(Design!$B$34),Design!$B$33,Design!$B$34)/1000000)*S30/100/(IF(ISBLANK(Design!$B$26),Design!$B$25,Design!$B$26)*1000000))</f>
        <v>0.41888062204433879</v>
      </c>
      <c r="U30" s="203">
        <f>$B30*Constants!$C$21/1000+IF(ISBLANK(Design!$B$26),Design!$B$25,Design!$B$26)*1000000*(Constants!$D$26+Constants!$D$27)/1000000000*$B30</f>
        <v>3.5767500000000001E-2</v>
      </c>
      <c r="V30" s="203">
        <f>$B30*R30*($B30/(Constants!$C$28*1000000000)*IF(ISBLANK(Design!$B$26),Design!$B$25,Design!$B$26)*1000000/2+$B30/(Constants!$C$29*1000000000)*IF(ISBLANK(Design!$B$26),Design!$B$25,Design!$B$26)*1000000/2)</f>
        <v>3.9375625000000004E-2</v>
      </c>
      <c r="W30" s="203">
        <f t="shared" ca="1" si="4"/>
        <v>9.8861434299322953E-2</v>
      </c>
      <c r="X30" s="203">
        <f t="shared" ca="1" si="5"/>
        <v>5.8171427950319925E-2</v>
      </c>
      <c r="Y30" s="203">
        <f>2*R30*Constants!$C$20/1000000000*Constants!$C$25*IF(ISBLANK(Design!$B$26),Design!$B$25,Design!$B$26)*1000000</f>
        <v>4.8000000000000001E-2</v>
      </c>
      <c r="Z30" s="203">
        <f>(Constants!$D$26+Constants!$D$27)/1000000000*$B30*IF(ISBLANK(Design!$B$26),Design!$B$25,Design!$B$26)*1000000</f>
        <v>2.9492499999999994E-2</v>
      </c>
      <c r="AA30" s="203">
        <f t="shared" ca="1" si="6"/>
        <v>0.30966848724964285</v>
      </c>
      <c r="AB30" s="204">
        <f ca="1">AA30*Design!$C$12+$A30</f>
        <v>39.864087387982856</v>
      </c>
      <c r="AC30" s="204">
        <f ca="1">Constants!$D$22+Constants!$D$22*Constants!$C$24/100*(AB30-25)</f>
        <v>87.610412742647227</v>
      </c>
      <c r="AD30" s="204">
        <f ca="1">Constants!$D$23+Constants!$D$23*Constants!$C$24/100*(AB30-25)</f>
        <v>71.183460353400875</v>
      </c>
      <c r="AE30" s="203">
        <f ca="1">(1-Constants!$C$19/1000000000*Design!$B$26*1000000) * ($B30+R30*AD30/1000-R30*AC30/1000) - (R30*AD30/1000+R30*(1+($A30-25)*Constants!$C$36/100)*IF(ISBLANK(Design!$B$35),Constants!$C$6/1000,Design!$B$35/1000))</f>
        <v>2.7001930433283703</v>
      </c>
      <c r="AF30" s="308">
        <f ca="1">IF(AE30&gt;Design!$C$22,Design!$C$22,AE30)</f>
        <v>1.7973333333333334</v>
      </c>
      <c r="AG30" s="142">
        <f>Design!$D$6/3</f>
        <v>0.66666666666666663</v>
      </c>
      <c r="AH30" s="216">
        <f ca="1">IF( 100*(Design!$C$22+AG30*(IF(ISBLANK(Design!$B$35),Constants!$C$6,Design!$B$35)/1000*(1+Constants!$C$36/100*(AQ30-25))+AS30/1000))/($B30-AG30*AR30/1000) &gt; Design!$C$29, Design!$C$29, 100*(Design!$C$22+AG30*(IF(ISBLANK(Design!$B$35),Constants!$C$6,Design!$B$35)/1000*(1+Constants!$C$36/100*(AQ30-25))+AS30/1000))/($B30-AG30*AR30/1000) )</f>
        <v>59.940442827012014</v>
      </c>
      <c r="AI30" s="143">
        <f ca="1">IF(($B30-AG30*IF(ISBLANK(Design!$B$35),Constants!$C$6,Design!$B$35)/1000*(1+Constants!$C$36/100*(AQ30-25))-Design!$C$22)/(IF(ISBLANK(Design!$B$34),Design!$B$33,Design!$B$34)/1000000)*AH30/100/(IF(ISBLANK(Design!$B$26),Design!$B$25,Design!$B$26)*1000000)&lt;0, 0, ($B30-AG30*IF(ISBLANK(Design!$B$35),Constants!$C$6,Design!$B$35)/1000*(1+Constants!$C$36/100*(AQ30-25))-Design!$C$22)/(IF(ISBLANK(Design!$B$34),Design!$B$33,Design!$B$34)/1000000)*AH30/100/(IF(ISBLANK(Design!$B$26),Design!$B$25,Design!$B$26)*1000000))</f>
        <v>0.40027506843766197</v>
      </c>
      <c r="AJ30" s="217">
        <f>$B30*Constants!$C$21/1000+IF(ISBLANK(Design!$B$26),Design!$B$25,Design!$B$26)*1000000*(Constants!$D$26+Constants!$D$27)/1000000000*$B30</f>
        <v>3.5767500000000001E-2</v>
      </c>
      <c r="AK30" s="217">
        <f>$B30*AG30*($B30/(Constants!$C$28*1000000000)*IF(ISBLANK(Design!$B$26),Design!$B$25,Design!$B$26)*1000000/2+$B30/(Constants!$C$29*1000000000)*IF(ISBLANK(Design!$B$26),Design!$B$25,Design!$B$26)*1000000/2)</f>
        <v>1.9687812500000002E-2</v>
      </c>
      <c r="AL30" s="217">
        <f t="shared" ca="1" si="7"/>
        <v>2.2945274298876214E-2</v>
      </c>
      <c r="AM30" s="217">
        <f t="shared" ca="1" si="8"/>
        <v>1.5334847129482647E-2</v>
      </c>
      <c r="AN30" s="217">
        <f>2*AG30*Constants!$C$20/1000000000*Constants!$C$25*IF(ISBLANK(Design!$B$26),Design!$B$25,Design!$B$26)*1000000</f>
        <v>2.4E-2</v>
      </c>
      <c r="AO30" s="217">
        <f>(Constants!$D$26+Constants!$D$27)/1000000000*$B30*IF(ISBLANK(Design!$B$26),Design!$B$25,Design!$B$26)*1000000</f>
        <v>2.9492499999999994E-2</v>
      </c>
      <c r="AP30" s="217">
        <f t="shared" ca="1" si="9"/>
        <v>0.14722793392835887</v>
      </c>
      <c r="AQ30" s="218">
        <f ca="1">AP30*Design!$C$12+$A30</f>
        <v>32.066940828561229</v>
      </c>
      <c r="AR30" s="218">
        <f ca="1">Constants!$D$22+Constants!$D$22*Constants!$C$24/100*(AQ30-25)</f>
        <v>83.618273704223355</v>
      </c>
      <c r="AS30" s="218">
        <f ca="1">Constants!$D$23+Constants!$D$23*Constants!$C$24/100*(AQ30-25)</f>
        <v>67.939847384681471</v>
      </c>
      <c r="AT30" s="217">
        <f ca="1">(1-Constants!$C$19/1000000000*Design!$B$26*1000000) * ($B30+AG30*AS30/1000-AG30*AR30/1000) - (AG30*AS30/1000+AG30*(1+($A30-25)*Constants!$C$36/100)*IF(ISBLANK(Design!$B$35),Constants!$C$6/1000,Design!$B$35/1000))</f>
        <v>2.764583045951821</v>
      </c>
      <c r="AU30" s="311">
        <f ca="1">IF(AT30&gt;Design!$C$22,Design!$C$22,AT30)</f>
        <v>1.7973333333333334</v>
      </c>
    </row>
    <row r="31" spans="1:47" s="144" customFormat="1" ht="12.75" customHeight="1">
      <c r="A31" s="136">
        <v>25</v>
      </c>
      <c r="B31" s="137">
        <f t="shared" si="0"/>
        <v>3.0630000000000002</v>
      </c>
      <c r="C31" s="138">
        <f>Design!$D$6</f>
        <v>2</v>
      </c>
      <c r="D31" s="193">
        <f ca="1">IF( 100*(Design!$C$22+C31*(IF(ISBLANK(Design!$B$35),Constants!$C$6,Design!$B$35)/1000*(1+Constants!$C$36/100*(M31-25))+O31/1000))/($B31-C31*N31/1000) &gt; Design!$C$29, Design!$C$29, 100*(Design!$C$22+C31*(IF(ISBLANK(Design!$B$35),Constants!$C$6,Design!$B$35)/1000*(1+Constants!$C$36/100*(M31-25))+O31/1000))/($B31-C31*N31/1000) )</f>
        <v>68.344489163225091</v>
      </c>
      <c r="E31" s="139">
        <f ca="1">IF(($B31-C31*IF(ISBLANK(Design!$B$35),Constants!$C$6,Design!$B$35)/1000*(1+Constants!$C$36/100*(M31-25))-Design!$C$22)/(IF(ISBLANK(Design!$B$34),Design!$B$33,Design!$B$34)/1000000)*D31/100/(IF(ISBLANK(Design!$B$26),Design!$B$25,Design!$B$26)*1000000)&lt;0, 0, ($B31-C31*IF(ISBLANK(Design!$B$35),Constants!$C$6,Design!$B$35)/1000*(1+Constants!$C$36/100*(M31-25))-Design!$C$22)/(IF(ISBLANK(Design!$B$34),Design!$B$33,Design!$B$34)/1000000)*D31/100/(IF(ISBLANK(Design!$B$26),Design!$B$25,Design!$B$26)*1000000))</f>
        <v>0.427435774422675</v>
      </c>
      <c r="F31" s="186">
        <f>$B31*Constants!$C$21/1000+IF(ISBLANK(Design!$B$26),Design!$B$25,Design!$B$26)*1000000*(Constants!$D$26+Constants!$D$27)/1000000000*$B31</f>
        <v>3.4918199999999996E-2</v>
      </c>
      <c r="G31" s="186">
        <f>$B31*C31*($B31/(Constants!$C$28*1000000000)*IF(ISBLANK(Design!$B$26),Design!$B$25,Design!$B$26)*1000000/2+$B31/(Constants!$C$29*1000000000)*IF(ISBLANK(Design!$B$26),Design!$B$25,Design!$B$26)*1000000/2)</f>
        <v>5.6291814000000009E-2</v>
      </c>
      <c r="H31" s="186">
        <f t="shared" ca="1" si="1"/>
        <v>0.25793633229785562</v>
      </c>
      <c r="I31" s="186">
        <f t="shared" ca="1" si="2"/>
        <v>0.11946985722217146</v>
      </c>
      <c r="J31" s="186">
        <f>2*C31*Constants!$C$20/1000000000*Constants!$C$25*IF(ISBLANK(Design!$B$26),Design!$B$25,Design!$B$26)*1000000</f>
        <v>7.1999999999999995E-2</v>
      </c>
      <c r="K31" s="186">
        <f>(Constants!$D$26+Constants!$D$27)/1000000000*$B31*IF(ISBLANK(Design!$B$26),Design!$B$25,Design!$B$26)*1000000</f>
        <v>2.8792199999999993E-2</v>
      </c>
      <c r="L31" s="186">
        <f t="shared" ca="1" si="3"/>
        <v>0.56940840352002708</v>
      </c>
      <c r="M31" s="187">
        <f ca="1">L31*Design!$C$12+$A31</f>
        <v>52.331603368961296</v>
      </c>
      <c r="N31" s="187">
        <f ca="1">Constants!$D$22+Constants!$D$22*Constants!$C$24/100*(M31-25)</f>
        <v>93.993780924908179</v>
      </c>
      <c r="O31" s="187">
        <f ca="1">Constants!$D$23+Constants!$D$23*Constants!$C$24/100*(M31-25)</f>
        <v>76.369947001487901</v>
      </c>
      <c r="P31" s="186">
        <f ca="1">(1-Constants!$C$19/1000000000*Design!$B$26*1000000) * ($B31+C31*O31/1000-C31*N31/1000) - (C31*O31/1000+C31*(1+($A31-25)*Constants!$C$36/100)*IF(ISBLANK(Design!$B$35),Constants!$C$6/1000,Design!$B$35/1000))</f>
        <v>2.5588372049348678</v>
      </c>
      <c r="Q31" s="191">
        <f ca="1">IF(P31&gt;Design!$C$22,Design!$C$22,P31)</f>
        <v>1.7973333333333334</v>
      </c>
      <c r="R31" s="201">
        <f>2*Design!$D$6/3</f>
        <v>1.3333333333333333</v>
      </c>
      <c r="S31" s="202">
        <f ca="1">IF( 100*(Design!$C$22+R31*(IF(ISBLANK(Design!$B$35),Constants!$C$6,Design!$B$35)/1000*(1+Constants!$C$36/100*(AB31-25))+AD31/1000))/($B31-R31*AC31/1000) &gt; Design!$C$29, Design!$C$29, 100*(Design!$C$22+R31*(IF(ISBLANK(Design!$B$35),Constants!$C$6,Design!$B$35)/1000*(1+Constants!$C$36/100*(AB31-25))+AD31/1000))/($B31-R31*AC31/1000) )</f>
        <v>64.541741616344112</v>
      </c>
      <c r="T31" s="141">
        <f ca="1">IF(($B31-R31*IF(ISBLANK(Design!$B$35),Constants!$C$6,Design!$B$35)/1000*(1+Constants!$C$36/100*(AB31-25))-Design!$C$22)/(IF(ISBLANK(Design!$B$34),Design!$B$33,Design!$B$34)/1000000)*S31/100/(IF(ISBLANK(Design!$B$26),Design!$B$25,Design!$B$26)*1000000)&lt;0, 0, ($B31-R31*IF(ISBLANK(Design!$B$35),Constants!$C$6,Design!$B$35)/1000*(1+Constants!$C$36/100*(AB31-25))-Design!$C$22)/(IF(ISBLANK(Design!$B$34),Design!$B$33,Design!$B$34)/1000000)*S31/100/(IF(ISBLANK(Design!$B$26),Design!$B$25,Design!$B$26)*1000000))</f>
        <v>0.40539236420998642</v>
      </c>
      <c r="U31" s="203">
        <f>$B31*Constants!$C$21/1000+IF(ISBLANK(Design!$B$26),Design!$B$25,Design!$B$26)*1000000*(Constants!$D$26+Constants!$D$27)/1000000000*$B31</f>
        <v>3.4918199999999996E-2</v>
      </c>
      <c r="V31" s="203">
        <f>$B31*R31*($B31/(Constants!$C$28*1000000000)*IF(ISBLANK(Design!$B$26),Design!$B$25,Design!$B$26)*1000000/2+$B31/(Constants!$C$29*1000000000)*IF(ISBLANK(Design!$B$26),Design!$B$25,Design!$B$26)*1000000/2)</f>
        <v>3.7527876000000002E-2</v>
      </c>
      <c r="W31" s="203">
        <f t="shared" ca="1" si="4"/>
        <v>0.10119595720223058</v>
      </c>
      <c r="X31" s="203">
        <f t="shared" ca="1" si="5"/>
        <v>5.5595531015999337E-2</v>
      </c>
      <c r="Y31" s="203">
        <f>2*R31*Constants!$C$20/1000000000*Constants!$C$25*IF(ISBLANK(Design!$B$26),Design!$B$25,Design!$B$26)*1000000</f>
        <v>4.8000000000000001E-2</v>
      </c>
      <c r="Z31" s="203">
        <f>(Constants!$D$26+Constants!$D$27)/1000000000*$B31*IF(ISBLANK(Design!$B$26),Design!$B$25,Design!$B$26)*1000000</f>
        <v>2.8792199999999993E-2</v>
      </c>
      <c r="AA31" s="203">
        <f t="shared" ca="1" si="6"/>
        <v>0.30602976421822992</v>
      </c>
      <c r="AB31" s="204">
        <f ca="1">AA31*Design!$C$12+$A31</f>
        <v>39.68942868247504</v>
      </c>
      <c r="AC31" s="204">
        <f ca="1">Constants!$D$22+Constants!$D$22*Constants!$C$24/100*(AB31-25)</f>
        <v>87.520987485427213</v>
      </c>
      <c r="AD31" s="204">
        <f ca="1">Constants!$D$23+Constants!$D$23*Constants!$C$24/100*(AB31-25)</f>
        <v>71.110802331909611</v>
      </c>
      <c r="AE31" s="203">
        <f ca="1">(1-Constants!$C$19/1000000000*Design!$B$26*1000000) * ($B31+R31*AD31/1000-R31*AC31/1000) - (R31*AD31/1000+R31*(1+($A31-25)*Constants!$C$36/100)*IF(ISBLANK(Design!$B$35),Constants!$C$6/1000,Design!$B$35/1000))</f>
        <v>2.6332600413732328</v>
      </c>
      <c r="AF31" s="308">
        <f ca="1">IF(AE31&gt;Design!$C$22,Design!$C$22,AE31)</f>
        <v>1.7973333333333334</v>
      </c>
      <c r="AG31" s="142">
        <f>Design!$D$6/3</f>
        <v>0.66666666666666663</v>
      </c>
      <c r="AH31" s="216">
        <f ca="1">IF( 100*(Design!$C$22+AG31*(IF(ISBLANK(Design!$B$35),Constants!$C$6,Design!$B$35)/1000*(1+Constants!$C$36/100*(AQ31-25))+AS31/1000))/($B31-AG31*AR31/1000) &gt; Design!$C$29, Design!$C$29, 100*(Design!$C$22+AG31*(IF(ISBLANK(Design!$B$35),Constants!$C$6,Design!$B$35)/1000*(1+Constants!$C$36/100*(AQ31-25))+AS31/1000))/($B31-AG31*AR31/1000) )</f>
        <v>61.423300442459535</v>
      </c>
      <c r="AI31" s="143">
        <f ca="1">IF(($B31-AG31*IF(ISBLANK(Design!$B$35),Constants!$C$6,Design!$B$35)/1000*(1+Constants!$C$36/100*(AQ31-25))-Design!$C$22)/(IF(ISBLANK(Design!$B$34),Design!$B$33,Design!$B$34)/1000000)*AH31/100/(IF(ISBLANK(Design!$B$26),Design!$B$25,Design!$B$26)*1000000)&lt;0, 0, ($B31-AG31*IF(ISBLANK(Design!$B$35),Constants!$C$6,Design!$B$35)/1000*(1+Constants!$C$36/100*(AQ31-25))-Design!$C$22)/(IF(ISBLANK(Design!$B$34),Design!$B$33,Design!$B$34)/1000000)*AH31/100/(IF(ISBLANK(Design!$B$26),Design!$B$25,Design!$B$26)*1000000))</f>
        <v>0.38729789982126095</v>
      </c>
      <c r="AJ31" s="217">
        <f>$B31*Constants!$C$21/1000+IF(ISBLANK(Design!$B$26),Design!$B$25,Design!$B$26)*1000000*(Constants!$D$26+Constants!$D$27)/1000000000*$B31</f>
        <v>3.4918199999999996E-2</v>
      </c>
      <c r="AK31" s="217">
        <f>$B31*AG31*($B31/(Constants!$C$28*1000000000)*IF(ISBLANK(Design!$B$26),Design!$B$25,Design!$B$26)*1000000/2+$B31/(Constants!$C$29*1000000000)*IF(ISBLANK(Design!$B$26),Design!$B$25,Design!$B$26)*1000000/2)</f>
        <v>1.8763938000000001E-2</v>
      </c>
      <c r="AL31" s="217">
        <f t="shared" ca="1" si="7"/>
        <v>2.345141743768548E-2</v>
      </c>
      <c r="AM31" s="217">
        <f t="shared" ca="1" si="8"/>
        <v>1.4728584725588748E-2</v>
      </c>
      <c r="AN31" s="217">
        <f>2*AG31*Constants!$C$20/1000000000*Constants!$C$25*IF(ISBLANK(Design!$B$26),Design!$B$25,Design!$B$26)*1000000</f>
        <v>2.4E-2</v>
      </c>
      <c r="AO31" s="217">
        <f>(Constants!$D$26+Constants!$D$27)/1000000000*$B31*IF(ISBLANK(Design!$B$26),Design!$B$25,Design!$B$26)*1000000</f>
        <v>2.8792199999999993E-2</v>
      </c>
      <c r="AP31" s="217">
        <f t="shared" ca="1" si="9"/>
        <v>0.14465434016327422</v>
      </c>
      <c r="AQ31" s="218">
        <f ca="1">AP31*Design!$C$12+$A31</f>
        <v>31.943408327837162</v>
      </c>
      <c r="AR31" s="218">
        <f ca="1">Constants!$D$22+Constants!$D$22*Constants!$C$24/100*(AQ31-25)</f>
        <v>83.555025063852625</v>
      </c>
      <c r="AS31" s="218">
        <f ca="1">Constants!$D$23+Constants!$D$23*Constants!$C$24/100*(AQ31-25)</f>
        <v>67.888457864380257</v>
      </c>
      <c r="AT31" s="217">
        <f ca="1">(1-Constants!$C$19/1000000000*Design!$B$26*1000000) * ($B31+AG31*AS31/1000-AG31*AR31/1000) - (AG31*AS31/1000+AG31*(1+($A31-25)*Constants!$C$36/100)*IF(ISBLANK(Design!$B$35),Constants!$C$6/1000,Design!$B$35/1000))</f>
        <v>2.6975744211040626</v>
      </c>
      <c r="AU31" s="311">
        <f ca="1">IF(AT31&gt;Design!$C$22,Design!$C$22,AT31)</f>
        <v>1.7973333333333334</v>
      </c>
    </row>
    <row r="32" spans="1:47" s="144" customFormat="1" ht="12.75" customHeight="1">
      <c r="A32" s="136">
        <v>25</v>
      </c>
      <c r="B32" s="137">
        <f t="shared" si="0"/>
        <v>2.9885000000000002</v>
      </c>
      <c r="C32" s="138">
        <f>Design!$D$6</f>
        <v>2</v>
      </c>
      <c r="D32" s="193">
        <f ca="1">IF( 100*(Design!$C$22+C32*(IF(ISBLANK(Design!$B$35),Constants!$C$6,Design!$B$35)/1000*(1+Constants!$C$36/100*(M32-25))+O32/1000))/($B32-C32*N32/1000) &gt; Design!$C$29, Design!$C$29, 100*(Design!$C$22+C32*(IF(ISBLANK(Design!$B$35),Constants!$C$6,Design!$B$35)/1000*(1+Constants!$C$36/100*(M32-25))+O32/1000))/($B32-C32*N32/1000) )</f>
        <v>70.149341487235105</v>
      </c>
      <c r="E32" s="139">
        <f ca="1">IF(($B32-C32*IF(ISBLANK(Design!$B$35),Constants!$C$6,Design!$B$35)/1000*(1+Constants!$C$36/100*(M32-25))-Design!$C$22)/(IF(ISBLANK(Design!$B$34),Design!$B$33,Design!$B$34)/1000000)*D32/100/(IF(ISBLANK(Design!$B$26),Design!$B$25,Design!$B$26)*1000000)&lt;0, 0, ($B32-C32*IF(ISBLANK(Design!$B$35),Constants!$C$6,Design!$B$35)/1000*(1+Constants!$C$36/100*(M32-25))-Design!$C$22)/(IF(ISBLANK(Design!$B$34),Design!$B$33,Design!$B$34)/1000000)*D32/100/(IF(ISBLANK(Design!$B$26),Design!$B$25,Design!$B$26)*1000000))</f>
        <v>0.41259721887434747</v>
      </c>
      <c r="F32" s="186">
        <f>$B32*Constants!$C$21/1000+IF(ISBLANK(Design!$B$26),Design!$B$25,Design!$B$26)*1000000*(Constants!$D$26+Constants!$D$27)/1000000000*$B32</f>
        <v>3.4068899999999999E-2</v>
      </c>
      <c r="G32" s="186">
        <f>$B32*C32*($B32/(Constants!$C$28*1000000000)*IF(ISBLANK(Design!$B$26),Design!$B$25,Design!$B$26)*1000000/2+$B32/(Constants!$C$29*1000000000)*IF(ISBLANK(Design!$B$26),Design!$B$25,Design!$B$26)*1000000/2)</f>
        <v>5.3586793500000007E-2</v>
      </c>
      <c r="H32" s="186">
        <f t="shared" ca="1" si="1"/>
        <v>0.26434530626929414</v>
      </c>
      <c r="I32" s="186">
        <f t="shared" ca="1" si="2"/>
        <v>0.11248689295726079</v>
      </c>
      <c r="J32" s="186">
        <f>2*C32*Constants!$C$20/1000000000*Constants!$C$25*IF(ISBLANK(Design!$B$26),Design!$B$25,Design!$B$26)*1000000</f>
        <v>7.1999999999999995E-2</v>
      </c>
      <c r="K32" s="186">
        <f>(Constants!$D$26+Constants!$D$27)/1000000000*$B32*IF(ISBLANK(Design!$B$26),Design!$B$25,Design!$B$26)*1000000</f>
        <v>2.8091899999999996E-2</v>
      </c>
      <c r="L32" s="186">
        <f t="shared" ca="1" si="3"/>
        <v>0.5645797927265549</v>
      </c>
      <c r="M32" s="187">
        <f ca="1">L32*Design!$C$12+$A32</f>
        <v>52.099830050874637</v>
      </c>
      <c r="N32" s="187">
        <f ca="1">Constants!$D$22+Constants!$D$22*Constants!$C$24/100*(M32-25)</f>
        <v>93.87511298604781</v>
      </c>
      <c r="O32" s="187">
        <f ca="1">Constants!$D$23+Constants!$D$23*Constants!$C$24/100*(M32-25)</f>
        <v>76.273529301163848</v>
      </c>
      <c r="P32" s="186">
        <f ca="1">(1-Constants!$C$19/1000000000*Design!$B$26*1000000) * ($B32+C32*O32/1000-C32*N32/1000) - (C32*O32/1000+C32*(1+($A32-25)*Constants!$C$36/100)*IF(ISBLANK(Design!$B$35),Constants!$C$6/1000,Design!$B$35/1000))</f>
        <v>2.4920200907648815</v>
      </c>
      <c r="Q32" s="191">
        <f ca="1">IF(P32&gt;Design!$C$22,Design!$C$22,P32)</f>
        <v>1.7973333333333334</v>
      </c>
      <c r="R32" s="201">
        <f>2*Design!$D$6/3</f>
        <v>1.3333333333333333</v>
      </c>
      <c r="S32" s="202">
        <f ca="1">IF( 100*(Design!$C$22+R32*(IF(ISBLANK(Design!$B$35),Constants!$C$6,Design!$B$35)/1000*(1+Constants!$C$36/100*(AB32-25))+AD32/1000))/($B32-R32*AC32/1000) &gt; Design!$C$29, Design!$C$29, 100*(Design!$C$22+R32*(IF(ISBLANK(Design!$B$35),Constants!$C$6,Design!$B$35)/1000*(1+Constants!$C$36/100*(AB32-25))+AD32/1000))/($B32-R32*AC32/1000) )</f>
        <v>66.209817974248395</v>
      </c>
      <c r="T32" s="141">
        <f ca="1">IF(($B32-R32*IF(ISBLANK(Design!$B$35),Constants!$C$6,Design!$B$35)/1000*(1+Constants!$C$36/100*(AB32-25))-Design!$C$22)/(IF(ISBLANK(Design!$B$34),Design!$B$33,Design!$B$34)/1000000)*S32/100/(IF(ISBLANK(Design!$B$26),Design!$B$25,Design!$B$26)*1000000)&lt;0, 0, ($B32-R32*IF(ISBLANK(Design!$B$35),Constants!$C$6,Design!$B$35)/1000*(1+Constants!$C$36/100*(AB32-25))-Design!$C$22)/(IF(ISBLANK(Design!$B$34),Design!$B$33,Design!$B$34)/1000000)*S32/100/(IF(ISBLANK(Design!$B$26),Design!$B$25,Design!$B$26)*1000000))</f>
        <v>0.39120854627687718</v>
      </c>
      <c r="U32" s="203">
        <f>$B32*Constants!$C$21/1000+IF(ISBLANK(Design!$B$26),Design!$B$25,Design!$B$26)*1000000*(Constants!$D$26+Constants!$D$27)/1000000000*$B32</f>
        <v>3.4068899999999999E-2</v>
      </c>
      <c r="V32" s="203">
        <f>$B32*R32*($B32/(Constants!$C$28*1000000000)*IF(ISBLANK(Design!$B$26),Design!$B$25,Design!$B$26)*1000000/2+$B32/(Constants!$C$29*1000000000)*IF(ISBLANK(Design!$B$26),Design!$B$25,Design!$B$26)*1000000/2)</f>
        <v>3.5724529000000005E-2</v>
      </c>
      <c r="W32" s="203">
        <f t="shared" ca="1" si="4"/>
        <v>0.10365210109499316</v>
      </c>
      <c r="X32" s="203">
        <f t="shared" ca="1" si="5"/>
        <v>5.2898852020914128E-2</v>
      </c>
      <c r="Y32" s="203">
        <f>2*R32*Constants!$C$20/1000000000*Constants!$C$25*IF(ISBLANK(Design!$B$26),Design!$B$25,Design!$B$26)*1000000</f>
        <v>4.8000000000000001E-2</v>
      </c>
      <c r="Z32" s="203">
        <f>(Constants!$D$26+Constants!$D$27)/1000000000*$B32*IF(ISBLANK(Design!$B$26),Design!$B$25,Design!$B$26)*1000000</f>
        <v>2.8091899999999996E-2</v>
      </c>
      <c r="AA32" s="203">
        <f t="shared" ca="1" si="6"/>
        <v>0.30243628211590728</v>
      </c>
      <c r="AB32" s="204">
        <f ca="1">AA32*Design!$C$12+$A32</f>
        <v>39.516941541563554</v>
      </c>
      <c r="AC32" s="204">
        <f ca="1">Constants!$D$22+Constants!$D$22*Constants!$C$24/100*(AB32-25)</f>
        <v>87.432674069280537</v>
      </c>
      <c r="AD32" s="204">
        <f ca="1">Constants!$D$23+Constants!$D$23*Constants!$C$24/100*(AB32-25)</f>
        <v>71.039047681290441</v>
      </c>
      <c r="AE32" s="203">
        <f ca="1">(1-Constants!$C$19/1000000000*Design!$B$26*1000000) * ($B32+R32*AD32/1000-R32*AC32/1000) - (R32*AD32/1000+R32*(1+($A32-25)*Constants!$C$36/100)*IF(ISBLANK(Design!$B$35),Constants!$C$6/1000,Design!$B$35/1000))</f>
        <v>2.5663255847593582</v>
      </c>
      <c r="AF32" s="308">
        <f ca="1">IF(AE32&gt;Design!$C$22,Design!$C$22,AE32)</f>
        <v>1.7973333333333334</v>
      </c>
      <c r="AG32" s="142">
        <f>Design!$D$6/3</f>
        <v>0.66666666666666663</v>
      </c>
      <c r="AH32" s="216">
        <f ca="1">IF( 100*(Design!$C$22+AG32*(IF(ISBLANK(Design!$B$35),Constants!$C$6,Design!$B$35)/1000*(1+Constants!$C$36/100*(AQ32-25))+AS32/1000))/($B32-AG32*AR32/1000) &gt; Design!$C$29, Design!$C$29, 100*(Design!$C$22+AG32*(IF(ISBLANK(Design!$B$35),Constants!$C$6,Design!$B$35)/1000*(1+Constants!$C$36/100*(AQ32-25))+AS32/1000))/($B32-AG32*AR32/1000) )</f>
        <v>62.981468461593565</v>
      </c>
      <c r="AI32" s="143">
        <f ca="1">IF(($B32-AG32*IF(ISBLANK(Design!$B$35),Constants!$C$6,Design!$B$35)/1000*(1+Constants!$C$36/100*(AQ32-25))-Design!$C$22)/(IF(ISBLANK(Design!$B$34),Design!$B$33,Design!$B$34)/1000000)*AH32/100/(IF(ISBLANK(Design!$B$26),Design!$B$25,Design!$B$26)*1000000)&lt;0, 0, ($B32-AG32*IF(ISBLANK(Design!$B$35),Constants!$C$6,Design!$B$35)/1000*(1+Constants!$C$36/100*(AQ32-25))-Design!$C$22)/(IF(ISBLANK(Design!$B$34),Design!$B$33,Design!$B$34)/1000000)*AH32/100/(IF(ISBLANK(Design!$B$26),Design!$B$25,Design!$B$26)*1000000))</f>
        <v>0.37366283794134914</v>
      </c>
      <c r="AJ32" s="217">
        <f>$B32*Constants!$C$21/1000+IF(ISBLANK(Design!$B$26),Design!$B$25,Design!$B$26)*1000000*(Constants!$D$26+Constants!$D$27)/1000000000*$B32</f>
        <v>3.4068899999999999E-2</v>
      </c>
      <c r="AK32" s="217">
        <f>$B32*AG32*($B32/(Constants!$C$28*1000000000)*IF(ISBLANK(Design!$B$26),Design!$B$25,Design!$B$26)*1000000/2+$B32/(Constants!$C$29*1000000000)*IF(ISBLANK(Design!$B$26),Design!$B$25,Design!$B$26)*1000000/2)</f>
        <v>1.7862264500000002E-2</v>
      </c>
      <c r="AL32" s="217">
        <f t="shared" ca="1" si="7"/>
        <v>2.3982808410734441E-2</v>
      </c>
      <c r="AM32" s="217">
        <f t="shared" ca="1" si="8"/>
        <v>1.4096342483245251E-2</v>
      </c>
      <c r="AN32" s="217">
        <f>2*AG32*Constants!$C$20/1000000000*Constants!$C$25*IF(ISBLANK(Design!$B$26),Design!$B$25,Design!$B$26)*1000000</f>
        <v>2.4E-2</v>
      </c>
      <c r="AO32" s="217">
        <f>(Constants!$D$26+Constants!$D$27)/1000000000*$B32*IF(ISBLANK(Design!$B$26),Design!$B$25,Design!$B$26)*1000000</f>
        <v>2.8091899999999996E-2</v>
      </c>
      <c r="AP32" s="217">
        <f t="shared" ca="1" si="9"/>
        <v>0.14210221539397969</v>
      </c>
      <c r="AQ32" s="218">
        <f ca="1">AP32*Design!$C$12+$A32</f>
        <v>31.820906338911023</v>
      </c>
      <c r="AR32" s="218">
        <f ca="1">Constants!$D$22+Constants!$D$22*Constants!$C$24/100*(AQ32-25)</f>
        <v>83.492304045522445</v>
      </c>
      <c r="AS32" s="218">
        <f ca="1">Constants!$D$23+Constants!$D$23*Constants!$C$24/100*(AQ32-25)</f>
        <v>67.837497036986989</v>
      </c>
      <c r="AT32" s="217">
        <f ca="1">(1-Constants!$C$19/1000000000*Design!$B$26*1000000) * ($B32+AG32*AS32/1000-AG32*AR32/1000) - (AG32*AS32/1000+AG32*(1+($A32-25)*Constants!$C$36/100)*IF(ISBLANK(Design!$B$35),Constants!$C$6/1000,Design!$B$35/1000))</f>
        <v>2.6305654511035543</v>
      </c>
      <c r="AU32" s="311">
        <f ca="1">IF(AT32&gt;Design!$C$22,Design!$C$22,AT32)</f>
        <v>1.7973333333333334</v>
      </c>
    </row>
    <row r="33" spans="1:47" s="144" customFormat="1" ht="12.75" customHeight="1">
      <c r="A33" s="136">
        <v>25</v>
      </c>
      <c r="B33" s="137">
        <f t="shared" si="0"/>
        <v>2.9140000000000001</v>
      </c>
      <c r="C33" s="138">
        <f>Design!$D$6</f>
        <v>2</v>
      </c>
      <c r="D33" s="193">
        <f ca="1">IF( 100*(Design!$C$22+C33*(IF(ISBLANK(Design!$B$35),Constants!$C$6,Design!$B$35)/1000*(1+Constants!$C$36/100*(M33-25))+O33/1000))/($B33-C33*N33/1000) &gt; Design!$C$29, Design!$C$29, 100*(Design!$C$22+C33*(IF(ISBLANK(Design!$B$35),Constants!$C$6,Design!$B$35)/1000*(1+Constants!$C$36/100*(M33-25))+O33/1000))/($B33-C33*N33/1000) )</f>
        <v>72.052720074824848</v>
      </c>
      <c r="E33" s="139">
        <f ca="1">IF(($B33-C33*IF(ISBLANK(Design!$B$35),Constants!$C$6,Design!$B$35)/1000*(1+Constants!$C$36/100*(M33-25))-Design!$C$22)/(IF(ISBLANK(Design!$B$34),Design!$B$33,Design!$B$34)/1000000)*D33/100/(IF(ISBLANK(Design!$B$26),Design!$B$25,Design!$B$26)*1000000)&lt;0, 0, ($B33-C33*IF(ISBLANK(Design!$B$35),Constants!$C$6,Design!$B$35)/1000*(1+Constants!$C$36/100*(M33-25))-Design!$C$22)/(IF(ISBLANK(Design!$B$34),Design!$B$33,Design!$B$34)/1000000)*D33/100/(IF(ISBLANK(Design!$B$26),Design!$B$25,Design!$B$26)*1000000))</f>
        <v>0.39695700932800082</v>
      </c>
      <c r="F33" s="186">
        <f>$B33*Constants!$C$21/1000+IF(ISBLANK(Design!$B$26),Design!$B$25,Design!$B$26)*1000000*(Constants!$D$26+Constants!$D$27)/1000000000*$B33</f>
        <v>3.3219600000000002E-2</v>
      </c>
      <c r="G33" s="186">
        <f>$B33*C33*($B33/(Constants!$C$28*1000000000)*IF(ISBLANK(Design!$B$26),Design!$B$25,Design!$B$26)*1000000/2+$B33/(Constants!$C$29*1000000000)*IF(ISBLANK(Design!$B$26),Design!$B$25,Design!$B$26)*1000000/2)</f>
        <v>5.0948376000000004E-2</v>
      </c>
      <c r="H33" s="186">
        <f t="shared" ca="1" si="1"/>
        <v>0.27110849339289084</v>
      </c>
      <c r="I33" s="186">
        <f t="shared" ca="1" si="2"/>
        <v>0.10515557146316432</v>
      </c>
      <c r="J33" s="186">
        <f>2*C33*Constants!$C$20/1000000000*Constants!$C$25*IF(ISBLANK(Design!$B$26),Design!$B$25,Design!$B$26)*1000000</f>
        <v>7.1999999999999995E-2</v>
      </c>
      <c r="K33" s="186">
        <f>(Constants!$D$26+Constants!$D$27)/1000000000*$B33*IF(ISBLANK(Design!$B$26),Design!$B$25,Design!$B$26)*1000000</f>
        <v>2.7391599999999995E-2</v>
      </c>
      <c r="L33" s="186">
        <f t="shared" ca="1" si="3"/>
        <v>0.55982364085605507</v>
      </c>
      <c r="M33" s="187">
        <f ca="1">L33*Design!$C$12+$A33</f>
        <v>51.871534761090643</v>
      </c>
      <c r="N33" s="187">
        <f ca="1">Constants!$D$22+Constants!$D$22*Constants!$C$24/100*(M33-25)</f>
        <v>93.758225797678406</v>
      </c>
      <c r="O33" s="187">
        <f ca="1">Constants!$D$23+Constants!$D$23*Constants!$C$24/100*(M33-25)</f>
        <v>76.178558460613715</v>
      </c>
      <c r="P33" s="186">
        <f ca="1">(1-Constants!$C$19/1000000000*Design!$B$26*1000000) * ($B33+C33*O33/1000-C33*N33/1000) - (C33*O33/1000+C33*(1+($A33-25)*Constants!$C$36/100)*IF(ISBLANK(Design!$B$35),Constants!$C$6/1000,Design!$B$35/1000))</f>
        <v>2.4251994818720561</v>
      </c>
      <c r="Q33" s="191">
        <f ca="1">IF(P33&gt;Design!$C$22,Design!$C$22,P33)</f>
        <v>1.7973333333333334</v>
      </c>
      <c r="R33" s="201">
        <f>2*Design!$D$6/3</f>
        <v>1.3333333333333333</v>
      </c>
      <c r="S33" s="202">
        <f ca="1">IF( 100*(Design!$C$22+R33*(IF(ISBLANK(Design!$B$35),Constants!$C$6,Design!$B$35)/1000*(1+Constants!$C$36/100*(AB33-25))+AD33/1000))/($B33-R33*AC33/1000) &gt; Design!$C$29, Design!$C$29, 100*(Design!$C$22+R33*(IF(ISBLANK(Design!$B$35),Constants!$C$6,Design!$B$35)/1000*(1+Constants!$C$36/100*(AB33-25))+AD33/1000))/($B33-R33*AC33/1000) )</f>
        <v>67.966679468544356</v>
      </c>
      <c r="T33" s="141">
        <f ca="1">IF(($B33-R33*IF(ISBLANK(Design!$B$35),Constants!$C$6,Design!$B$35)/1000*(1+Constants!$C$36/100*(AB33-25))-Design!$C$22)/(IF(ISBLANK(Design!$B$34),Design!$B$33,Design!$B$34)/1000000)*S33/100/(IF(ISBLANK(Design!$B$26),Design!$B$25,Design!$B$26)*1000000)&lt;0, 0, ($B33-R33*IF(ISBLANK(Design!$B$35),Constants!$C$6,Design!$B$35)/1000*(1+Constants!$C$36/100*(AB33-25))-Design!$C$22)/(IF(ISBLANK(Design!$B$34),Design!$B$33,Design!$B$34)/1000000)*S33/100/(IF(ISBLANK(Design!$B$26),Design!$B$25,Design!$B$26)*1000000))</f>
        <v>0.37627361419769462</v>
      </c>
      <c r="U33" s="203">
        <f>$B33*Constants!$C$21/1000+IF(ISBLANK(Design!$B$26),Design!$B$25,Design!$B$26)*1000000*(Constants!$D$26+Constants!$D$27)/1000000000*$B33</f>
        <v>3.3219600000000002E-2</v>
      </c>
      <c r="V33" s="203">
        <f>$B33*R33*($B33/(Constants!$C$28*1000000000)*IF(ISBLANK(Design!$B$26),Design!$B$25,Design!$B$26)*1000000/2+$B33/(Constants!$C$29*1000000000)*IF(ISBLANK(Design!$B$26),Design!$B$25,Design!$B$26)*1000000/2)</f>
        <v>3.3965584E-2</v>
      </c>
      <c r="W33" s="203">
        <f t="shared" ca="1" si="4"/>
        <v>0.10623966154311029</v>
      </c>
      <c r="X33" s="203">
        <f t="shared" ca="1" si="5"/>
        <v>5.0071728646665044E-2</v>
      </c>
      <c r="Y33" s="203">
        <f>2*R33*Constants!$C$20/1000000000*Constants!$C$25*IF(ISBLANK(Design!$B$26),Design!$B$25,Design!$B$26)*1000000</f>
        <v>4.8000000000000001E-2</v>
      </c>
      <c r="Z33" s="203">
        <f>(Constants!$D$26+Constants!$D$27)/1000000000*$B33*IF(ISBLANK(Design!$B$26),Design!$B$25,Design!$B$26)*1000000</f>
        <v>2.7391599999999995E-2</v>
      </c>
      <c r="AA33" s="203">
        <f t="shared" ca="1" si="6"/>
        <v>0.29888817418977537</v>
      </c>
      <c r="AB33" s="204">
        <f ca="1">AA33*Design!$C$12+$A33</f>
        <v>39.346632361109215</v>
      </c>
      <c r="AC33" s="204">
        <f ca="1">Constants!$D$22+Constants!$D$22*Constants!$C$24/100*(AB33-25)</f>
        <v>87.345475768887923</v>
      </c>
      <c r="AD33" s="204">
        <f ca="1">Constants!$D$23+Constants!$D$23*Constants!$C$24/100*(AB33-25)</f>
        <v>70.96819906222143</v>
      </c>
      <c r="AE33" s="203">
        <f ca="1">(1-Constants!$C$19/1000000000*Design!$B$26*1000000) * ($B33+R33*AD33/1000-R33*AC33/1000) - (R33*AD33/1000+R33*(1+($A33-25)*Constants!$C$36/100)*IF(ISBLANK(Design!$B$35),Constants!$C$6/1000,Design!$B$35/1000))</f>
        <v>2.499389669202372</v>
      </c>
      <c r="AF33" s="308">
        <f ca="1">IF(AE33&gt;Design!$C$22,Design!$C$22,AE33)</f>
        <v>1.7973333333333334</v>
      </c>
      <c r="AG33" s="142">
        <f>Design!$D$6/3</f>
        <v>0.66666666666666663</v>
      </c>
      <c r="AH33" s="216">
        <f ca="1">IF( 100*(Design!$C$22+AG33*(IF(ISBLANK(Design!$B$35),Constants!$C$6,Design!$B$35)/1000*(1+Constants!$C$36/100*(AQ33-25))+AS33/1000))/($B33-AG33*AR33/1000) &gt; Design!$C$29, Design!$C$29, 100*(Design!$C$22+AG33*(IF(ISBLANK(Design!$B$35),Constants!$C$6,Design!$B$35)/1000*(1+Constants!$C$36/100*(AQ33-25))+AS33/1000))/($B33-AG33*AR33/1000) )</f>
        <v>64.620832864867623</v>
      </c>
      <c r="AI33" s="143">
        <f ca="1">IF(($B33-AG33*IF(ISBLANK(Design!$B$35),Constants!$C$6,Design!$B$35)/1000*(1+Constants!$C$36/100*(AQ33-25))-Design!$C$22)/(IF(ISBLANK(Design!$B$34),Design!$B$33,Design!$B$34)/1000000)*AH33/100/(IF(ISBLANK(Design!$B$26),Design!$B$25,Design!$B$26)*1000000)&lt;0, 0, ($B33-AG33*IF(ISBLANK(Design!$B$35),Constants!$C$6,Design!$B$35)/1000*(1+Constants!$C$36/100*(AQ33-25))-Design!$C$22)/(IF(ISBLANK(Design!$B$34),Design!$B$33,Design!$B$34)/1000000)*AH33/100/(IF(ISBLANK(Design!$B$26),Design!$B$25,Design!$B$26)*1000000))</f>
        <v>0.35931845387194034</v>
      </c>
      <c r="AJ33" s="217">
        <f>$B33*Constants!$C$21/1000+IF(ISBLANK(Design!$B$26),Design!$B$25,Design!$B$26)*1000000*(Constants!$D$26+Constants!$D$27)/1000000000*$B33</f>
        <v>3.3219600000000002E-2</v>
      </c>
      <c r="AK33" s="217">
        <f>$B33*AG33*($B33/(Constants!$C$28*1000000000)*IF(ISBLANK(Design!$B$26),Design!$B$25,Design!$B$26)*1000000/2+$B33/(Constants!$C$29*1000000000)*IF(ISBLANK(Design!$B$26),Design!$B$25,Design!$B$26)*1000000/2)</f>
        <v>1.6982792E-2</v>
      </c>
      <c r="AL33" s="217">
        <f t="shared" ca="1" si="7"/>
        <v>2.4541497805135436E-2</v>
      </c>
      <c r="AM33" s="217">
        <f t="shared" ca="1" si="8"/>
        <v>1.3436189446985852E-2</v>
      </c>
      <c r="AN33" s="217">
        <f>2*AG33*Constants!$C$20/1000000000*Constants!$C$25*IF(ISBLANK(Design!$B$26),Design!$B$25,Design!$B$26)*1000000</f>
        <v>2.4E-2</v>
      </c>
      <c r="AO33" s="217">
        <f>(Constants!$D$26+Constants!$D$27)/1000000000*$B33*IF(ISBLANK(Design!$B$26),Design!$B$25,Design!$B$26)*1000000</f>
        <v>2.7391599999999995E-2</v>
      </c>
      <c r="AP33" s="217">
        <f t="shared" ca="1" si="9"/>
        <v>0.13957167925212127</v>
      </c>
      <c r="AQ33" s="218">
        <f ca="1">AP33*Design!$C$12+$A33</f>
        <v>31.69944060410182</v>
      </c>
      <c r="AR33" s="218">
        <f ca="1">Constants!$D$22+Constants!$D$22*Constants!$C$24/100*(AQ33-25)</f>
        <v>83.430113589300134</v>
      </c>
      <c r="AS33" s="218">
        <f ca="1">Constants!$D$23+Constants!$D$23*Constants!$C$24/100*(AQ33-25)</f>
        <v>67.786967291306354</v>
      </c>
      <c r="AT33" s="217">
        <f ca="1">(1-Constants!$C$19/1000000000*Design!$B$26*1000000) * ($B33+AG33*AS33/1000-AG33*AR33/1000) - (AG33*AS33/1000+AG33*(1+($A33-25)*Constants!$C$36/100)*IF(ISBLANK(Design!$B$35),Constants!$C$6/1000,Design!$B$35/1000))</f>
        <v>2.5635561340269994</v>
      </c>
      <c r="AU33" s="311">
        <f ca="1">IF(AT33&gt;Design!$C$22,Design!$C$22,AT33)</f>
        <v>1.7973333333333334</v>
      </c>
    </row>
    <row r="34" spans="1:47" s="144" customFormat="1" ht="12.75" customHeight="1">
      <c r="A34" s="136">
        <v>25</v>
      </c>
      <c r="B34" s="137">
        <f t="shared" si="0"/>
        <v>2.8395000000000001</v>
      </c>
      <c r="C34" s="138">
        <f>Design!$D$6</f>
        <v>2</v>
      </c>
      <c r="D34" s="193">
        <f ca="1">IF( 100*(Design!$C$22+C34*(IF(ISBLANK(Design!$B$35),Constants!$C$6,Design!$B$35)/1000*(1+Constants!$C$36/100*(M34-25))+O34/1000))/($B34-C34*N34/1000) &gt; Design!$C$29, Design!$C$29, 100*(Design!$C$22+C34*(IF(ISBLANK(Design!$B$35),Constants!$C$6,Design!$B$35)/1000*(1+Constants!$C$36/100*(M34-25))+O34/1000))/($B34-C34*N34/1000) )</f>
        <v>74.062909886557165</v>
      </c>
      <c r="E34" s="139">
        <f ca="1">IF(($B34-C34*IF(ISBLANK(Design!$B$35),Constants!$C$6,Design!$B$35)/1000*(1+Constants!$C$36/100*(M34-25))-Design!$C$22)/(IF(ISBLANK(Design!$B$34),Design!$B$33,Design!$B$34)/1000000)*D34/100/(IF(ISBLANK(Design!$B$26),Design!$B$25,Design!$B$26)*1000000)&lt;0, 0, ($B34-C34*IF(ISBLANK(Design!$B$35),Constants!$C$6,Design!$B$35)/1000*(1+Constants!$C$36/100*(M34-25))-Design!$C$22)/(IF(ISBLANK(Design!$B$34),Design!$B$33,Design!$B$34)/1000000)*D34/100/(IF(ISBLANK(Design!$B$26),Design!$B$25,Design!$B$26)*1000000))</f>
        <v>0.38044761335555533</v>
      </c>
      <c r="F34" s="186">
        <f>$B34*Constants!$C$21/1000+IF(ISBLANK(Design!$B$26),Design!$B$25,Design!$B$26)*1000000*(Constants!$D$26+Constants!$D$27)/1000000000*$B34</f>
        <v>3.2370299999999998E-2</v>
      </c>
      <c r="G34" s="186">
        <f>$B34*C34*($B34/(Constants!$C$28*1000000000)*IF(ISBLANK(Design!$B$26),Design!$B$25,Design!$B$26)*1000000/2+$B34/(Constants!$C$29*1000000000)*IF(ISBLANK(Design!$B$26),Design!$B$25,Design!$B$26)*1000000/2)</f>
        <v>4.8376561500000005E-2</v>
      </c>
      <c r="H34" s="186">
        <f t="shared" ca="1" si="1"/>
        <v>0.27825582844914892</v>
      </c>
      <c r="I34" s="186">
        <f t="shared" ca="1" si="2"/>
        <v>9.7446164458442661E-2</v>
      </c>
      <c r="J34" s="186">
        <f>2*C34*Constants!$C$20/1000000000*Constants!$C$25*IF(ISBLANK(Design!$B$26),Design!$B$25,Design!$B$26)*1000000</f>
        <v>7.1999999999999995E-2</v>
      </c>
      <c r="K34" s="186">
        <f>(Constants!$D$26+Constants!$D$27)/1000000000*$B34*IF(ISBLANK(Design!$B$26),Design!$B$25,Design!$B$26)*1000000</f>
        <v>2.6691299999999998E-2</v>
      </c>
      <c r="L34" s="186">
        <f t="shared" ca="1" si="3"/>
        <v>0.55514015440759157</v>
      </c>
      <c r="M34" s="187">
        <f ca="1">L34*Design!$C$12+$A34</f>
        <v>51.646727411564399</v>
      </c>
      <c r="N34" s="187">
        <f ca="1">Constants!$D$22+Constants!$D$22*Constants!$C$24/100*(M34-25)</f>
        <v>93.643124434720974</v>
      </c>
      <c r="O34" s="187">
        <f ca="1">Constants!$D$23+Constants!$D$23*Constants!$C$24/100*(M34-25)</f>
        <v>76.085038603210791</v>
      </c>
      <c r="P34" s="186">
        <f ca="1">(1-Constants!$C$19/1000000000*Design!$B$26*1000000) * ($B34+C34*O34/1000-C34*N34/1000) - (C34*O34/1000+C34*(1+($A34-25)*Constants!$C$36/100)*IF(ISBLANK(Design!$B$35),Constants!$C$6/1000,Design!$B$35/1000))</f>
        <v>2.3583753682968607</v>
      </c>
      <c r="Q34" s="191">
        <f ca="1">IF(P34&gt;Design!$C$22,Design!$C$22,P34)</f>
        <v>1.7973333333333334</v>
      </c>
      <c r="R34" s="201">
        <f>2*Design!$D$6/3</f>
        <v>1.3333333333333333</v>
      </c>
      <c r="S34" s="202">
        <f ca="1">IF( 100*(Design!$C$22+R34*(IF(ISBLANK(Design!$B$35),Constants!$C$6,Design!$B$35)/1000*(1+Constants!$C$36/100*(AB34-25))+AD34/1000))/($B34-R34*AC34/1000) &gt; Design!$C$29, Design!$C$29, 100*(Design!$C$22+R34*(IF(ISBLANK(Design!$B$35),Constants!$C$6,Design!$B$35)/1000*(1+Constants!$C$36/100*(AB34-25))+AD34/1000))/($B34-R34*AC34/1000) )</f>
        <v>69.819604878902894</v>
      </c>
      <c r="T34" s="141">
        <f ca="1">IF(($B34-R34*IF(ISBLANK(Design!$B$35),Constants!$C$6,Design!$B$35)/1000*(1+Constants!$C$36/100*(AB34-25))-Design!$C$22)/(IF(ISBLANK(Design!$B$34),Design!$B$33,Design!$B$34)/1000000)*S34/100/(IF(ISBLANK(Design!$B$26),Design!$B$25,Design!$B$26)*1000000)&lt;0, 0, ($B34-R34*IF(ISBLANK(Design!$B$35),Constants!$C$6,Design!$B$35)/1000*(1+Constants!$C$36/100*(AB34-25))-Design!$C$22)/(IF(ISBLANK(Design!$B$34),Design!$B$33,Design!$B$34)/1000000)*S34/100/(IF(ISBLANK(Design!$B$26),Design!$B$25,Design!$B$26)*1000000))</f>
        <v>0.36052594170070679</v>
      </c>
      <c r="U34" s="203">
        <f>$B34*Constants!$C$21/1000+IF(ISBLANK(Design!$B$26),Design!$B$25,Design!$B$26)*1000000*(Constants!$D$26+Constants!$D$27)/1000000000*$B34</f>
        <v>3.2370299999999998E-2</v>
      </c>
      <c r="V34" s="203">
        <f>$B34*R34*($B34/(Constants!$C$28*1000000000)*IF(ISBLANK(Design!$B$26),Design!$B$25,Design!$B$26)*1000000/2+$B34/(Constants!$C$29*1000000000)*IF(ISBLANK(Design!$B$26),Design!$B$25,Design!$B$26)*1000000/2)</f>
        <v>3.2251041000000001E-2</v>
      </c>
      <c r="W34" s="203">
        <f t="shared" ca="1" si="4"/>
        <v>0.10896953359744271</v>
      </c>
      <c r="X34" s="203">
        <f t="shared" ca="1" si="5"/>
        <v>4.7103440156050398E-2</v>
      </c>
      <c r="Y34" s="203">
        <f>2*R34*Constants!$C$20/1000000000*Constants!$C$25*IF(ISBLANK(Design!$B$26),Design!$B$25,Design!$B$26)*1000000</f>
        <v>4.8000000000000001E-2</v>
      </c>
      <c r="Z34" s="203">
        <f>(Constants!$D$26+Constants!$D$27)/1000000000*$B34*IF(ISBLANK(Design!$B$26),Design!$B$25,Design!$B$26)*1000000</f>
        <v>2.6691299999999998E-2</v>
      </c>
      <c r="AA34" s="203">
        <f t="shared" ca="1" si="6"/>
        <v>0.29538561475349306</v>
      </c>
      <c r="AB34" s="204">
        <f ca="1">AA34*Design!$C$12+$A34</f>
        <v>39.178509508167664</v>
      </c>
      <c r="AC34" s="204">
        <f ca="1">Constants!$D$22+Constants!$D$22*Constants!$C$24/100*(AB34-25)</f>
        <v>87.259396868181838</v>
      </c>
      <c r="AD34" s="204">
        <f ca="1">Constants!$D$23+Constants!$D$23*Constants!$C$24/100*(AB34-25)</f>
        <v>70.898259955397748</v>
      </c>
      <c r="AE34" s="203">
        <f ca="1">(1-Constants!$C$19/1000000000*Design!$B$26*1000000) * ($B34+R34*AD34/1000-R34*AC34/1000) - (R34*AD34/1000+R34*(1+($A34-25)*Constants!$C$36/100)*IF(ISBLANK(Design!$B$35),Constants!$C$6/1000,Design!$B$35/1000))</f>
        <v>2.432452289097462</v>
      </c>
      <c r="AF34" s="308">
        <f ca="1">IF(AE34&gt;Design!$C$22,Design!$C$22,AE34)</f>
        <v>1.7973333333333334</v>
      </c>
      <c r="AG34" s="142">
        <f>Design!$D$6/3</f>
        <v>0.66666666666666663</v>
      </c>
      <c r="AH34" s="216">
        <f ca="1">IF( 100*(Design!$C$22+AG34*(IF(ISBLANK(Design!$B$35),Constants!$C$6,Design!$B$35)/1000*(1+Constants!$C$36/100*(AQ34-25))+AS34/1000))/($B34-AG34*AR34/1000) &gt; Design!$C$29, Design!$C$29, 100*(Design!$C$22+AG34*(IF(ISBLANK(Design!$B$35),Constants!$C$6,Design!$B$35)/1000*(1+Constants!$C$36/100*(AQ34-25))+AS34/1000))/($B34-AG34*AR34/1000) )</f>
        <v>66.34790943275172</v>
      </c>
      <c r="AI34" s="143">
        <f ca="1">IF(($B34-AG34*IF(ISBLANK(Design!$B$35),Constants!$C$6,Design!$B$35)/1000*(1+Constants!$C$36/100*(AQ34-25))-Design!$C$22)/(IF(ISBLANK(Design!$B$34),Design!$B$33,Design!$B$34)/1000000)*AH34/100/(IF(ISBLANK(Design!$B$26),Design!$B$25,Design!$B$26)*1000000)&lt;0, 0, ($B34-AG34*IF(ISBLANK(Design!$B$35),Constants!$C$6,Design!$B$35)/1000*(1+Constants!$C$36/100*(AQ34-25))-Design!$C$22)/(IF(ISBLANK(Design!$B$34),Design!$B$33,Design!$B$34)/1000000)*AH34/100/(IF(ISBLANK(Design!$B$26),Design!$B$25,Design!$B$26)*1000000))</f>
        <v>0.34420781612473056</v>
      </c>
      <c r="AJ34" s="217">
        <f>$B34*Constants!$C$21/1000+IF(ISBLANK(Design!$B$26),Design!$B$25,Design!$B$26)*1000000*(Constants!$D$26+Constants!$D$27)/1000000000*$B34</f>
        <v>3.2370299999999998E-2</v>
      </c>
      <c r="AK34" s="217">
        <f>$B34*AG34*($B34/(Constants!$C$28*1000000000)*IF(ISBLANK(Design!$B$26),Design!$B$25,Design!$B$26)*1000000/2+$B34/(Constants!$C$29*1000000000)*IF(ISBLANK(Design!$B$26),Design!$B$25,Design!$B$26)*1000000/2)</f>
        <v>1.6125520500000001E-2</v>
      </c>
      <c r="AL34" s="217">
        <f t="shared" ca="1" si="7"/>
        <v>2.5129778616574717E-2</v>
      </c>
      <c r="AM34" s="217">
        <f t="shared" ca="1" si="8"/>
        <v>1.2745986922120244E-2</v>
      </c>
      <c r="AN34" s="217">
        <f>2*AG34*Constants!$C$20/1000000000*Constants!$C$25*IF(ISBLANK(Design!$B$26),Design!$B$25,Design!$B$26)*1000000</f>
        <v>2.4E-2</v>
      </c>
      <c r="AO34" s="217">
        <f>(Constants!$D$26+Constants!$D$27)/1000000000*$B34*IF(ISBLANK(Design!$B$26),Design!$B$25,Design!$B$26)*1000000</f>
        <v>2.6691299999999998E-2</v>
      </c>
      <c r="AP34" s="217">
        <f t="shared" ca="1" si="9"/>
        <v>0.13706288603869496</v>
      </c>
      <c r="AQ34" s="218">
        <f ca="1">AP34*Design!$C$12+$A34</f>
        <v>31.579018529857358</v>
      </c>
      <c r="AR34" s="218">
        <f ca="1">Constants!$D$22+Constants!$D$22*Constants!$C$24/100*(AQ34-25)</f>
        <v>83.36845748728696</v>
      </c>
      <c r="AS34" s="218">
        <f ca="1">Constants!$D$23+Constants!$D$23*Constants!$C$24/100*(AQ34-25)</f>
        <v>67.736871708420665</v>
      </c>
      <c r="AT34" s="217">
        <f ca="1">(1-Constants!$C$19/1000000000*Design!$B$26*1000000) * ($B34+AG34*AS34/1000-AG34*AR34/1000) - (AG34*AS34/1000+AG34*(1+($A34-25)*Constants!$C$36/100)*IF(ISBLANK(Design!$B$35),Constants!$C$6/1000,Design!$B$35/1000))</f>
        <v>2.496546467393733</v>
      </c>
      <c r="AU34" s="311">
        <f ca="1">IF(AT34&gt;Design!$C$22,Design!$C$22,AT34)</f>
        <v>1.7973333333333334</v>
      </c>
    </row>
    <row r="35" spans="1:47" s="144" customFormat="1" ht="12.75" customHeight="1">
      <c r="A35" s="136">
        <v>25</v>
      </c>
      <c r="B35" s="137">
        <f t="shared" si="0"/>
        <v>2.7650000000000001</v>
      </c>
      <c r="C35" s="138">
        <f>Design!$D$6</f>
        <v>2</v>
      </c>
      <c r="D35" s="193">
        <f ca="1">IF( 100*(Design!$C$22+C35*(IF(ISBLANK(Design!$B$35),Constants!$C$6,Design!$B$35)/1000*(1+Constants!$C$36/100*(M35-25))+O35/1000))/($B35-C35*N35/1000) &gt; Design!$C$29, Design!$C$29, 100*(Design!$C$22+C35*(IF(ISBLANK(Design!$B$35),Constants!$C$6,Design!$B$35)/1000*(1+Constants!$C$36/100*(M35-25))+O35/1000))/($B35-C35*N35/1000) )</f>
        <v>76.189151728294519</v>
      </c>
      <c r="E35" s="139">
        <f ca="1">IF(($B35-C35*IF(ISBLANK(Design!$B$35),Constants!$C$6,Design!$B$35)/1000*(1+Constants!$C$36/100*(M35-25))-Design!$C$22)/(IF(ISBLANK(Design!$B$34),Design!$B$33,Design!$B$34)/1000000)*D35/100/(IF(ISBLANK(Design!$B$26),Design!$B$25,Design!$B$26)*1000000)&lt;0, 0, ($B35-C35*IF(ISBLANK(Design!$B$35),Constants!$C$6,Design!$B$35)/1000*(1+Constants!$C$36/100*(M35-25))-Design!$C$22)/(IF(ISBLANK(Design!$B$34),Design!$B$33,Design!$B$34)/1000000)*D35/100/(IF(ISBLANK(Design!$B$26),Design!$B$25,Design!$B$26)*1000000))</f>
        <v>0.36299370924936653</v>
      </c>
      <c r="F35" s="186">
        <f>$B35*Constants!$C$21/1000+IF(ISBLANK(Design!$B$26),Design!$B$25,Design!$B$26)*1000000*(Constants!$D$26+Constants!$D$27)/1000000000*$B35</f>
        <v>3.1520999999999993E-2</v>
      </c>
      <c r="G35" s="186">
        <f>$B35*C35*($B35/(Constants!$C$28*1000000000)*IF(ISBLANK(Design!$B$26),Design!$B$25,Design!$B$26)*1000000/2+$B35/(Constants!$C$29*1000000000)*IF(ISBLANK(Design!$B$26),Design!$B$25,Design!$B$26)*1000000/2)</f>
        <v>4.5871350000000005E-2</v>
      </c>
      <c r="H35" s="186">
        <f t="shared" ca="1" si="1"/>
        <v>0.28582074876234348</v>
      </c>
      <c r="I35" s="186">
        <f t="shared" ca="1" si="2"/>
        <v>8.9325505367951086E-2</v>
      </c>
      <c r="J35" s="186">
        <f>2*C35*Constants!$C$20/1000000000*Constants!$C$25*IF(ISBLANK(Design!$B$26),Design!$B$25,Design!$B$26)*1000000</f>
        <v>7.1999999999999995E-2</v>
      </c>
      <c r="K35" s="186">
        <f>(Constants!$D$26+Constants!$D$27)/1000000000*$B35*IF(ISBLANK(Design!$B$26),Design!$B$25,Design!$B$26)*1000000</f>
        <v>2.5990999999999997E-2</v>
      </c>
      <c r="L35" s="186">
        <f t="shared" ca="1" si="3"/>
        <v>0.5505296041302945</v>
      </c>
      <c r="M35" s="187">
        <f ca="1">L35*Design!$C$12+$A35</f>
        <v>51.42542099825414</v>
      </c>
      <c r="N35" s="187">
        <f ca="1">Constants!$D$22+Constants!$D$22*Constants!$C$24/100*(M35-25)</f>
        <v>93.529815551106125</v>
      </c>
      <c r="O35" s="187">
        <f ca="1">Constants!$D$23+Constants!$D$23*Constants!$C$24/100*(M35-25)</f>
        <v>75.992975135273724</v>
      </c>
      <c r="P35" s="186">
        <f ca="1">(1-Constants!$C$19/1000000000*Design!$B$26*1000000) * ($B35+C35*O35/1000-C35*N35/1000) - (C35*O35/1000+C35*(1+($A35-25)*Constants!$C$36/100)*IF(ISBLANK(Design!$B$35),Constants!$C$6/1000,Design!$B$35/1000))</f>
        <v>2.2915477369809545</v>
      </c>
      <c r="Q35" s="191">
        <f ca="1">IF(P35&gt;Design!$C$22,Design!$C$22,P35)</f>
        <v>1.7973333333333334</v>
      </c>
      <c r="R35" s="201">
        <f>2*Design!$D$6/3</f>
        <v>1.3333333333333333</v>
      </c>
      <c r="S35" s="202">
        <f ca="1">IF( 100*(Design!$C$22+R35*(IF(ISBLANK(Design!$B$35),Constants!$C$6,Design!$B$35)/1000*(1+Constants!$C$36/100*(AB35-25))+AD35/1000))/($B35-R35*AC35/1000) &gt; Design!$C$29, Design!$C$29, 100*(Design!$C$22+R35*(IF(ISBLANK(Design!$B$35),Constants!$C$6,Design!$B$35)/1000*(1+Constants!$C$36/100*(AB35-25))+AD35/1000))/($B35-R35*AC35/1000) )</f>
        <v>71.776691055000299</v>
      </c>
      <c r="T35" s="141">
        <f ca="1">IF(($B35-R35*IF(ISBLANK(Design!$B$35),Constants!$C$6,Design!$B$35)/1000*(1+Constants!$C$36/100*(AB35-25))-Design!$C$22)/(IF(ISBLANK(Design!$B$34),Design!$B$33,Design!$B$34)/1000000)*S35/100/(IF(ISBLANK(Design!$B$26),Design!$B$25,Design!$B$26)*1000000)&lt;0, 0, ($B35-R35*IF(ISBLANK(Design!$B$35),Constants!$C$6,Design!$B$35)/1000*(1+Constants!$C$36/100*(AB35-25))-Design!$C$22)/(IF(ISBLANK(Design!$B$34),Design!$B$33,Design!$B$34)/1000000)*S35/100/(IF(ISBLANK(Design!$B$26),Design!$B$25,Design!$B$26)*1000000))</f>
        <v>0.3438969772774938</v>
      </c>
      <c r="U35" s="203">
        <f>$B35*Constants!$C$21/1000+IF(ISBLANK(Design!$B$26),Design!$B$25,Design!$B$26)*1000000*(Constants!$D$26+Constants!$D$27)/1000000000*$B35</f>
        <v>3.1520999999999993E-2</v>
      </c>
      <c r="V35" s="203">
        <f>$B35*R35*($B35/(Constants!$C$28*1000000000)*IF(ISBLANK(Design!$B$26),Design!$B$25,Design!$B$26)*1000000/2+$B35/(Constants!$C$29*1000000000)*IF(ISBLANK(Design!$B$26),Design!$B$25,Design!$B$26)*1000000/2)</f>
        <v>3.0580900000000001E-2</v>
      </c>
      <c r="W35" s="203">
        <f t="shared" ca="1" si="4"/>
        <v>0.11185387315294466</v>
      </c>
      <c r="X35" s="203">
        <f t="shared" ca="1" si="5"/>
        <v>4.3982055626823738E-2</v>
      </c>
      <c r="Y35" s="203">
        <f>2*R35*Constants!$C$20/1000000000*Constants!$C$25*IF(ISBLANK(Design!$B$26),Design!$B$25,Design!$B$26)*1000000</f>
        <v>4.8000000000000001E-2</v>
      </c>
      <c r="Z35" s="203">
        <f>(Constants!$D$26+Constants!$D$27)/1000000000*$B35*IF(ISBLANK(Design!$B$26),Design!$B$25,Design!$B$26)*1000000</f>
        <v>2.5990999999999997E-2</v>
      </c>
      <c r="AA35" s="203">
        <f t="shared" ca="1" si="6"/>
        <v>0.29192882877976839</v>
      </c>
      <c r="AB35" s="204">
        <f ca="1">AA35*Design!$C$12+$A35</f>
        <v>39.012583781428887</v>
      </c>
      <c r="AC35" s="204">
        <f ca="1">Constants!$D$22+Constants!$D$22*Constants!$C$24/100*(AB35-25)</f>
        <v>87.174442896091591</v>
      </c>
      <c r="AD35" s="204">
        <f ca="1">Constants!$D$23+Constants!$D$23*Constants!$C$24/100*(AB35-25)</f>
        <v>70.829234853074411</v>
      </c>
      <c r="AE35" s="203">
        <f ca="1">(1-Constants!$C$19/1000000000*Design!$B$26*1000000) * ($B35+R35*AD35/1000-R35*AC35/1000) - (R35*AD35/1000+R35*(1+($A35-25)*Constants!$C$36/100)*IF(ISBLANK(Design!$B$35),Constants!$C$6/1000,Design!$B$35/1000))</f>
        <v>2.3655134372109465</v>
      </c>
      <c r="AF35" s="308">
        <f ca="1">IF(AE35&gt;Design!$C$22,Design!$C$22,AE35)</f>
        <v>1.7973333333333334</v>
      </c>
      <c r="AG35" s="142">
        <f>Design!$D$6/3</f>
        <v>0.66666666666666663</v>
      </c>
      <c r="AH35" s="216">
        <f ca="1">IF( 100*(Design!$C$22+AG35*(IF(ISBLANK(Design!$B$35),Constants!$C$6,Design!$B$35)/1000*(1+Constants!$C$36/100*(AQ35-25))+AS35/1000))/($B35-AG35*AR35/1000) &gt; Design!$C$29, Design!$C$29, 100*(Design!$C$22+AG35*(IF(ISBLANK(Design!$B$35),Constants!$C$6,Design!$B$35)/1000*(1+Constants!$C$36/100*(AQ35-25))+AS35/1000))/($B35-AG35*AR35/1000) )</f>
        <v>68.169930301585211</v>
      </c>
      <c r="AI35" s="143">
        <f ca="1">IF(($B35-AG35*IF(ISBLANK(Design!$B$35),Constants!$C$6,Design!$B$35)/1000*(1+Constants!$C$36/100*(AQ35-25))-Design!$C$22)/(IF(ISBLANK(Design!$B$34),Design!$B$33,Design!$B$34)/1000000)*AH35/100/(IF(ISBLANK(Design!$B$26),Design!$B$25,Design!$B$26)*1000000)&lt;0, 0, ($B35-AG35*IF(ISBLANK(Design!$B$35),Constants!$C$6,Design!$B$35)/1000*(1+Constants!$C$36/100*(AQ35-25))-Design!$C$22)/(IF(ISBLANK(Design!$B$34),Design!$B$33,Design!$B$34)/1000000)*AH35/100/(IF(ISBLANK(Design!$B$26),Design!$B$25,Design!$B$26)*1000000))</f>
        <v>0.32826773447409652</v>
      </c>
      <c r="AJ35" s="217">
        <f>$B35*Constants!$C$21/1000+IF(ISBLANK(Design!$B$26),Design!$B$25,Design!$B$26)*1000000*(Constants!$D$26+Constants!$D$27)/1000000000*$B35</f>
        <v>3.1520999999999993E-2</v>
      </c>
      <c r="AK35" s="217">
        <f>$B35*AG35*($B35/(Constants!$C$28*1000000000)*IF(ISBLANK(Design!$B$26),Design!$B$25,Design!$B$26)*1000000/2+$B35/(Constants!$C$29*1000000000)*IF(ISBLANK(Design!$B$26),Design!$B$25,Design!$B$26)*1000000/2)</f>
        <v>1.5290450000000001E-2</v>
      </c>
      <c r="AL35" s="217">
        <f t="shared" ca="1" si="7"/>
        <v>2.5750224913478177E-2</v>
      </c>
      <c r="AM35" s="217">
        <f t="shared" ca="1" si="8"/>
        <v>1.2023357661065524E-2</v>
      </c>
      <c r="AN35" s="217">
        <f>2*AG35*Constants!$C$20/1000000000*Constants!$C$25*IF(ISBLANK(Design!$B$26),Design!$B$25,Design!$B$26)*1000000</f>
        <v>2.4E-2</v>
      </c>
      <c r="AO35" s="217">
        <f>(Constants!$D$26+Constants!$D$27)/1000000000*$B35*IF(ISBLANK(Design!$B$26),Design!$B$25,Design!$B$26)*1000000</f>
        <v>2.5990999999999997E-2</v>
      </c>
      <c r="AP35" s="217">
        <f t="shared" ca="1" si="9"/>
        <v>0.13457603257454367</v>
      </c>
      <c r="AQ35" s="218">
        <f ca="1">AP35*Design!$C$12+$A35</f>
        <v>31.459649563578097</v>
      </c>
      <c r="AR35" s="218">
        <f ca="1">Constants!$D$22+Constants!$D$22*Constants!$C$24/100*(AQ35-25)</f>
        <v>83.307340576551979</v>
      </c>
      <c r="AS35" s="218">
        <f ca="1">Constants!$D$23+Constants!$D$23*Constants!$C$24/100*(AQ35-25)</f>
        <v>67.687214218448489</v>
      </c>
      <c r="AT35" s="217">
        <f ca="1">(1-Constants!$C$19/1000000000*Design!$B$26*1000000) * ($B35+AG35*AS35/1000-AG35*AR35/1000) - (AG35*AS35/1000+AG35*(1+($A35-25)*Constants!$C$36/100)*IF(ISBLANK(Design!$B$35),Constants!$C$6/1000,Design!$B$35/1000))</f>
        <v>2.4295364480395056</v>
      </c>
      <c r="AU35" s="311">
        <f ca="1">IF(AT35&gt;Design!$C$22,Design!$C$22,AT35)</f>
        <v>1.7973333333333334</v>
      </c>
    </row>
    <row r="36" spans="1:47" s="144" customFormat="1" ht="12.75" customHeight="1">
      <c r="A36" s="136">
        <v>25</v>
      </c>
      <c r="B36" s="137">
        <f t="shared" si="0"/>
        <v>2.6905000000000001</v>
      </c>
      <c r="C36" s="138">
        <f>Design!$D$6</f>
        <v>2</v>
      </c>
      <c r="D36" s="193">
        <f ca="1">IF( 100*(Design!$C$22+C36*(IF(ISBLANK(Design!$B$35),Constants!$C$6,Design!$B$35)/1000*(1+Constants!$C$36/100*(M36-25))+O36/1000))/($B36-C36*N36/1000) &gt; Design!$C$29, Design!$C$29, 100*(Design!$C$22+C36*(IF(ISBLANK(Design!$B$35),Constants!$C$6,Design!$B$35)/1000*(1+Constants!$C$36/100*(M36-25))+O36/1000))/($B36-C36*N36/1000) )</f>
        <v>78.441784225921396</v>
      </c>
      <c r="E36" s="139">
        <f ca="1">IF(($B36-C36*IF(ISBLANK(Design!$B$35),Constants!$C$6,Design!$B$35)/1000*(1+Constants!$C$36/100*(M36-25))-Design!$C$22)/(IF(ISBLANK(Design!$B$34),Design!$B$33,Design!$B$34)/1000000)*D36/100/(IF(ISBLANK(Design!$B$26),Design!$B$25,Design!$B$26)*1000000)&lt;0, 0, ($B36-C36*IF(ISBLANK(Design!$B$35),Constants!$C$6,Design!$B$35)/1000*(1+Constants!$C$36/100*(M36-25))-Design!$C$22)/(IF(ISBLANK(Design!$B$34),Design!$B$33,Design!$B$34)/1000000)*D36/100/(IF(ISBLANK(Design!$B$26),Design!$B$25,Design!$B$26)*1000000))</f>
        <v>0.34451102947403683</v>
      </c>
      <c r="F36" s="186">
        <f>$B36*Constants!$C$21/1000+IF(ISBLANK(Design!$B$26),Design!$B$25,Design!$B$26)*1000000*(Constants!$D$26+Constants!$D$27)/1000000000*$B36</f>
        <v>3.0671699999999996E-2</v>
      </c>
      <c r="G36" s="186">
        <f>$B36*C36*($B36/(Constants!$C$28*1000000000)*IF(ISBLANK(Design!$B$26),Design!$B$25,Design!$B$26)*1000000/2+$B36/(Constants!$C$29*1000000000)*IF(ISBLANK(Design!$B$26),Design!$B$25,Design!$B$26)*1000000/2)</f>
        <v>4.3432741500000004E-2</v>
      </c>
      <c r="H36" s="186">
        <f t="shared" ca="1" si="1"/>
        <v>0.29384072673949618</v>
      </c>
      <c r="I36" s="186">
        <f t="shared" ca="1" si="2"/>
        <v>8.0756472494525527E-2</v>
      </c>
      <c r="J36" s="186">
        <f>2*C36*Constants!$C$20/1000000000*Constants!$C$25*IF(ISBLANK(Design!$B$26),Design!$B$25,Design!$B$26)*1000000</f>
        <v>7.1999999999999995E-2</v>
      </c>
      <c r="K36" s="186">
        <f>(Constants!$D$26+Constants!$D$27)/1000000000*$B36*IF(ISBLANK(Design!$B$26),Design!$B$25,Design!$B$26)*1000000</f>
        <v>2.5290699999999996E-2</v>
      </c>
      <c r="L36" s="186">
        <f t="shared" ca="1" si="3"/>
        <v>0.5459923407340217</v>
      </c>
      <c r="M36" s="187">
        <f ca="1">L36*Design!$C$12+$A36</f>
        <v>51.207632355233045</v>
      </c>
      <c r="N36" s="187">
        <f ca="1">Constants!$D$22+Constants!$D$22*Constants!$C$24/100*(M36-25)</f>
        <v>93.41830776587932</v>
      </c>
      <c r="O36" s="187">
        <f ca="1">Constants!$D$23+Constants!$D$23*Constants!$C$24/100*(M36-25)</f>
        <v>75.902375059776944</v>
      </c>
      <c r="P36" s="186">
        <f ca="1">(1-Constants!$C$19/1000000000*Design!$B$26*1000000) * ($B36+C36*O36/1000-C36*N36/1000) - (C36*O36/1000+C36*(1+($A36-25)*Constants!$C$36/100)*IF(ISBLANK(Design!$B$35),Constants!$C$6/1000,Design!$B$35/1000))</f>
        <v>2.2247165710094623</v>
      </c>
      <c r="Q36" s="191">
        <f ca="1">IF(P36&gt;Design!$C$22,Design!$C$22,P36)</f>
        <v>1.7973333333333334</v>
      </c>
      <c r="R36" s="201">
        <f>2*Design!$D$6/3</f>
        <v>1.3333333333333333</v>
      </c>
      <c r="S36" s="202">
        <f ca="1">IF( 100*(Design!$C$22+R36*(IF(ISBLANK(Design!$B$35),Constants!$C$6,Design!$B$35)/1000*(1+Constants!$C$36/100*(AB36-25))+AD36/1000))/($B36-R36*AC36/1000) &gt; Design!$C$29, Design!$C$29, 100*(Design!$C$22+R36*(IF(ISBLANK(Design!$B$35),Constants!$C$6,Design!$B$35)/1000*(1+Constants!$C$36/100*(AB36-25))+AD36/1000))/($B36-R36*AC36/1000) )</f>
        <v>73.846971185153308</v>
      </c>
      <c r="T36" s="141">
        <f ca="1">IF(($B36-R36*IF(ISBLANK(Design!$B$35),Constants!$C$6,Design!$B$35)/1000*(1+Constants!$C$36/100*(AB36-25))-Design!$C$22)/(IF(ISBLANK(Design!$B$34),Design!$B$33,Design!$B$34)/1000000)*S36/100/(IF(ISBLANK(Design!$B$26),Design!$B$25,Design!$B$26)*1000000)&lt;0, 0, ($B36-R36*IF(ISBLANK(Design!$B$35),Constants!$C$6,Design!$B$35)/1000*(1+Constants!$C$36/100*(AB36-25))-Design!$C$22)/(IF(ISBLANK(Design!$B$34),Design!$B$33,Design!$B$34)/1000000)*S36/100/(IF(ISBLANK(Design!$B$26),Design!$B$25,Design!$B$26)*1000000))</f>
        <v>0.32631024320165303</v>
      </c>
      <c r="U36" s="203">
        <f>$B36*Constants!$C$21/1000+IF(ISBLANK(Design!$B$26),Design!$B$25,Design!$B$26)*1000000*(Constants!$D$26+Constants!$D$27)/1000000000*$B36</f>
        <v>3.0671699999999996E-2</v>
      </c>
      <c r="V36" s="203">
        <f>$B36*R36*($B36/(Constants!$C$28*1000000000)*IF(ISBLANK(Design!$B$26),Design!$B$25,Design!$B$26)*1000000/2+$B36/(Constants!$C$29*1000000000)*IF(ISBLANK(Design!$B$26),Design!$B$25,Design!$B$26)*1000000/2)</f>
        <v>2.8955161000000004E-2</v>
      </c>
      <c r="W36" s="203">
        <f t="shared" ca="1" si="4"/>
        <v>0.11490628803436678</v>
      </c>
      <c r="X36" s="203">
        <f t="shared" ca="1" si="5"/>
        <v>4.0694254804779895E-2</v>
      </c>
      <c r="Y36" s="203">
        <f>2*R36*Constants!$C$20/1000000000*Constants!$C$25*IF(ISBLANK(Design!$B$26),Design!$B$25,Design!$B$26)*1000000</f>
        <v>4.8000000000000001E-2</v>
      </c>
      <c r="Z36" s="203">
        <f>(Constants!$D$26+Constants!$D$27)/1000000000*$B36*IF(ISBLANK(Design!$B$26),Design!$B$25,Design!$B$26)*1000000</f>
        <v>2.5290699999999996E-2</v>
      </c>
      <c r="AA36" s="203">
        <f t="shared" ca="1" si="6"/>
        <v>0.28851810383914667</v>
      </c>
      <c r="AB36" s="204">
        <f ca="1">AA36*Design!$C$12+$A36</f>
        <v>38.848868984279036</v>
      </c>
      <c r="AC36" s="204">
        <f ca="1">Constants!$D$22+Constants!$D$22*Constants!$C$24/100*(AB36-25)</f>
        <v>87.090620919950865</v>
      </c>
      <c r="AD36" s="204">
        <f ca="1">Constants!$D$23+Constants!$D$23*Constants!$C$24/100*(AB36-25)</f>
        <v>70.761129497460075</v>
      </c>
      <c r="AE36" s="203">
        <f ca="1">(1-Constants!$C$19/1000000000*Design!$B$26*1000000) * ($B36+R36*AD36/1000-R36*AC36/1000) - (R36*AD36/1000+R36*(1+($A36-25)*Constants!$C$36/100)*IF(ISBLANK(Design!$B$35),Constants!$C$6/1000,Design!$B$35/1000))</f>
        <v>2.2985731042963979</v>
      </c>
      <c r="AF36" s="308">
        <f ca="1">IF(AE36&gt;Design!$C$22,Design!$C$22,AE36)</f>
        <v>1.7973333333333334</v>
      </c>
      <c r="AG36" s="142">
        <f>Design!$D$6/3</f>
        <v>0.66666666666666663</v>
      </c>
      <c r="AH36" s="216">
        <f ca="1">IF( 100*(Design!$C$22+AG36*(IF(ISBLANK(Design!$B$35),Constants!$C$6,Design!$B$35)/1000*(1+Constants!$C$36/100*(AQ36-25))+AS36/1000))/($B36-AG36*AR36/1000) &gt; Design!$C$29, Design!$C$29, 100*(Design!$C$22+AG36*(IF(ISBLANK(Design!$B$35),Constants!$C$6,Design!$B$35)/1000*(1+Constants!$C$36/100*(AQ36-25))+AS36/1000))/($B36-AG36*AR36/1000) )</f>
        <v>70.094945198839142</v>
      </c>
      <c r="AI36" s="143">
        <f ca="1">IF(($B36-AG36*IF(ISBLANK(Design!$B$35),Constants!$C$6,Design!$B$35)/1000*(1+Constants!$C$36/100*(AQ36-25))-Design!$C$22)/(IF(ISBLANK(Design!$B$34),Design!$B$33,Design!$B$34)/1000000)*AH36/100/(IF(ISBLANK(Design!$B$26),Design!$B$25,Design!$B$26)*1000000)&lt;0, 0, ($B36-AG36*IF(ISBLANK(Design!$B$35),Constants!$C$6,Design!$B$35)/1000*(1+Constants!$C$36/100*(AQ36-25))-Design!$C$22)/(IF(ISBLANK(Design!$B$34),Design!$B$33,Design!$B$34)/1000000)*AH36/100/(IF(ISBLANK(Design!$B$26),Design!$B$25,Design!$B$26)*1000000))</f>
        <v>0.31142787555285018</v>
      </c>
      <c r="AJ36" s="217">
        <f>$B36*Constants!$C$21/1000+IF(ISBLANK(Design!$B$26),Design!$B$25,Design!$B$26)*1000000*(Constants!$D$26+Constants!$D$27)/1000000000*$B36</f>
        <v>3.0671699999999996E-2</v>
      </c>
      <c r="AK36" s="217">
        <f>$B36*AG36*($B36/(Constants!$C$28*1000000000)*IF(ISBLANK(Design!$B$26),Design!$B$25,Design!$B$26)*1000000/2+$B36/(Constants!$C$29*1000000000)*IF(ISBLANK(Design!$B$26),Design!$B$25,Design!$B$26)*1000000/2)</f>
        <v>1.4477580500000002E-2</v>
      </c>
      <c r="AL36" s="217">
        <f t="shared" ca="1" si="7"/>
        <v>2.6405738367906859E-2</v>
      </c>
      <c r="AM36" s="217">
        <f t="shared" ca="1" si="8"/>
        <v>1.1265649052400547E-2</v>
      </c>
      <c r="AN36" s="217">
        <f>2*AG36*Constants!$C$20/1000000000*Constants!$C$25*IF(ISBLANK(Design!$B$26),Design!$B$25,Design!$B$26)*1000000</f>
        <v>2.4E-2</v>
      </c>
      <c r="AO36" s="217">
        <f>(Constants!$D$26+Constants!$D$27)/1000000000*$B36*IF(ISBLANK(Design!$B$26),Design!$B$25,Design!$B$26)*1000000</f>
        <v>2.5290699999999996E-2</v>
      </c>
      <c r="AP36" s="217">
        <f t="shared" ca="1" si="9"/>
        <v>0.13211136792030739</v>
      </c>
      <c r="AQ36" s="218">
        <f ca="1">AP36*Design!$C$12+$A36</f>
        <v>31.341345660174753</v>
      </c>
      <c r="AR36" s="218">
        <f ca="1">Constants!$D$22+Constants!$D$22*Constants!$C$24/100*(AQ36-25)</f>
        <v>83.24676897800947</v>
      </c>
      <c r="AS36" s="218">
        <f ca="1">Constants!$D$23+Constants!$D$23*Constants!$C$24/100*(AQ36-25)</f>
        <v>67.637999794632691</v>
      </c>
      <c r="AT36" s="217">
        <f ca="1">(1-Constants!$C$19/1000000000*Design!$B$26*1000000) * ($B36+AG36*AS36/1000-AG36*AR36/1000) - (AG36*AS36/1000+AG36*(1+($A36-25)*Constants!$C$36/100)*IF(ISBLANK(Design!$B$35),Constants!$C$6/1000,Design!$B$35/1000))</f>
        <v>2.362526071960219</v>
      </c>
      <c r="AU36" s="311">
        <f ca="1">IF(AT36&gt;Design!$C$22,Design!$C$22,AT36)</f>
        <v>1.7973333333333334</v>
      </c>
    </row>
    <row r="37" spans="1:47" s="144" customFormat="1" ht="12.75" customHeight="1">
      <c r="A37" s="136">
        <v>25</v>
      </c>
      <c r="B37" s="137">
        <f t="shared" si="0"/>
        <v>2.6160000000000001</v>
      </c>
      <c r="C37" s="138">
        <f>Design!$D$6</f>
        <v>2</v>
      </c>
      <c r="D37" s="193">
        <f ca="1">IF( 100*(Design!$C$22+C37*(IF(ISBLANK(Design!$B$35),Constants!$C$6,Design!$B$35)/1000*(1+Constants!$C$36/100*(M37-25))+O37/1000))/($B37-C37*N37/1000) &gt; Design!$C$29, Design!$C$29, 100*(Design!$C$22+C37*(IF(ISBLANK(Design!$B$35),Constants!$C$6,Design!$B$35)/1000*(1+Constants!$C$36/100*(M37-25))+O37/1000))/($B37-C37*N37/1000) )</f>
        <v>80.832411889012903</v>
      </c>
      <c r="E37" s="139">
        <f ca="1">IF(($B37-C37*IF(ISBLANK(Design!$B$35),Constants!$C$6,Design!$B$35)/1000*(1+Constants!$C$36/100*(M37-25))-Design!$C$22)/(IF(ISBLANK(Design!$B$34),Design!$B$33,Design!$B$34)/1000000)*D37/100/(IF(ISBLANK(Design!$B$26),Design!$B$25,Design!$B$26)*1000000)&lt;0, 0, ($B37-C37*IF(ISBLANK(Design!$B$35),Constants!$C$6,Design!$B$35)/1000*(1+Constants!$C$36/100*(M37-25))-Design!$C$22)/(IF(ISBLANK(Design!$B$34),Design!$B$33,Design!$B$34)/1000000)*D37/100/(IF(ISBLANK(Design!$B$26),Design!$B$25,Design!$B$26)*1000000))</f>
        <v>0.3249049916946371</v>
      </c>
      <c r="F37" s="186">
        <f>$B37*Constants!$C$21/1000+IF(ISBLANK(Design!$B$26),Design!$B$25,Design!$B$26)*1000000*(Constants!$D$26+Constants!$D$27)/1000000000*$B37</f>
        <v>2.9822399999999999E-2</v>
      </c>
      <c r="G37" s="186">
        <f>$B37*C37*($B37/(Constants!$C$28*1000000000)*IF(ISBLANK(Design!$B$26),Design!$B$25,Design!$B$26)*1000000/2+$B37/(Constants!$C$29*1000000000)*IF(ISBLANK(Design!$B$26),Design!$B$25,Design!$B$26)*1000000/2)</f>
        <v>4.1060736000000007E-2</v>
      </c>
      <c r="H37" s="186">
        <f t="shared" ca="1" si="1"/>
        <v>0.30235790353351816</v>
      </c>
      <c r="I37" s="186">
        <f t="shared" ca="1" si="2"/>
        <v>7.169737511964297E-2</v>
      </c>
      <c r="J37" s="186">
        <f>2*C37*Constants!$C$20/1000000000*Constants!$C$25*IF(ISBLANK(Design!$B$26),Design!$B$25,Design!$B$26)*1000000</f>
        <v>7.1999999999999995E-2</v>
      </c>
      <c r="K37" s="186">
        <f>(Constants!$D$26+Constants!$D$27)/1000000000*$B37*IF(ISBLANK(Design!$B$26),Design!$B$25,Design!$B$26)*1000000</f>
        <v>2.4590399999999995E-2</v>
      </c>
      <c r="L37" s="186">
        <f t="shared" ca="1" si="3"/>
        <v>0.54152881465316116</v>
      </c>
      <c r="M37" s="187">
        <f ca="1">L37*Design!$C$12+$A37</f>
        <v>50.993383103351732</v>
      </c>
      <c r="N37" s="187">
        <f ca="1">Constants!$D$22+Constants!$D$22*Constants!$C$24/100*(M37-25)</f>
        <v>93.308612148916083</v>
      </c>
      <c r="O37" s="187">
        <f ca="1">Constants!$D$23+Constants!$D$23*Constants!$C$24/100*(M37-25)</f>
        <v>75.813247370994318</v>
      </c>
      <c r="P37" s="186">
        <f ca="1">(1-Constants!$C$19/1000000000*Design!$B$26*1000000) * ($B37+C37*O37/1000-C37*N37/1000) - (C37*O37/1000+C37*(1+($A37-25)*Constants!$C$36/100)*IF(ISBLANK(Design!$B$35),Constants!$C$6/1000,Design!$B$35/1000))</f>
        <v>2.1578818486577518</v>
      </c>
      <c r="Q37" s="191">
        <f ca="1">IF(P37&gt;Design!$C$22,Design!$C$22,P37)</f>
        <v>1.7973333333333334</v>
      </c>
      <c r="R37" s="201">
        <f>2*Design!$D$6/3</f>
        <v>1.3333333333333333</v>
      </c>
      <c r="S37" s="202">
        <f ca="1">IF( 100*(Design!$C$22+R37*(IF(ISBLANK(Design!$B$35),Constants!$C$6,Design!$B$35)/1000*(1+Constants!$C$36/100*(AB37-25))+AD37/1000))/($B37-R37*AC37/1000) &gt; Design!$C$29, Design!$C$29, 100*(Design!$C$22+R37*(IF(ISBLANK(Design!$B$35),Constants!$C$6,Design!$B$35)/1000*(1+Constants!$C$36/100*(AB37-25))+AD37/1000))/($B37-R37*AC37/1000) )</f>
        <v>76.040554197557498</v>
      </c>
      <c r="T37" s="141">
        <f ca="1">IF(($B37-R37*IF(ISBLANK(Design!$B$35),Constants!$C$6,Design!$B$35)/1000*(1+Constants!$C$36/100*(AB37-25))-Design!$C$22)/(IF(ISBLANK(Design!$B$34),Design!$B$33,Design!$B$34)/1000000)*S37/100/(IF(ISBLANK(Design!$B$26),Design!$B$25,Design!$B$26)*1000000)&lt;0, 0, ($B37-R37*IF(ISBLANK(Design!$B$35),Constants!$C$6,Design!$B$35)/1000*(1+Constants!$C$36/100*(AB37-25))-Design!$C$22)/(IF(ISBLANK(Design!$B$34),Design!$B$33,Design!$B$34)/1000000)*S37/100/(IF(ISBLANK(Design!$B$26),Design!$B$25,Design!$B$26)*1000000))</f>
        <v>0.30768015573631519</v>
      </c>
      <c r="U37" s="203">
        <f>$B37*Constants!$C$21/1000+IF(ISBLANK(Design!$B$26),Design!$B$25,Design!$B$26)*1000000*(Constants!$D$26+Constants!$D$27)/1000000000*$B37</f>
        <v>2.9822399999999999E-2</v>
      </c>
      <c r="V37" s="203">
        <f>$B37*R37*($B37/(Constants!$C$28*1000000000)*IF(ISBLANK(Design!$B$26),Design!$B$25,Design!$B$26)*1000000/2+$B37/(Constants!$C$29*1000000000)*IF(ISBLANK(Design!$B$26),Design!$B$25,Design!$B$26)*1000000/2)</f>
        <v>2.7373824000000001E-2</v>
      </c>
      <c r="W37" s="203">
        <f t="shared" ca="1" si="4"/>
        <v>0.11814206548923607</v>
      </c>
      <c r="X37" s="203">
        <f t="shared" ca="1" si="5"/>
        <v>3.7225115531428973E-2</v>
      </c>
      <c r="Y37" s="203">
        <f>2*R37*Constants!$C$20/1000000000*Constants!$C$25*IF(ISBLANK(Design!$B$26),Design!$B$25,Design!$B$26)*1000000</f>
        <v>4.8000000000000001E-2</v>
      </c>
      <c r="Z37" s="203">
        <f>(Constants!$D$26+Constants!$D$27)/1000000000*$B37*IF(ISBLANK(Design!$B$26),Design!$B$25,Design!$B$26)*1000000</f>
        <v>2.4590399999999995E-2</v>
      </c>
      <c r="AA37" s="203">
        <f t="shared" ca="1" si="6"/>
        <v>0.28515380502066506</v>
      </c>
      <c r="AB37" s="204">
        <f ca="1">AA37*Design!$C$12+$A37</f>
        <v>38.687382640991927</v>
      </c>
      <c r="AC37" s="204">
        <f ca="1">Constants!$D$22+Constants!$D$22*Constants!$C$24/100*(AB37-25)</f>
        <v>87.007939912187865</v>
      </c>
      <c r="AD37" s="204">
        <f ca="1">Constants!$D$23+Constants!$D$23*Constants!$C$24/100*(AB37-25)</f>
        <v>70.69395117865264</v>
      </c>
      <c r="AE37" s="203">
        <f ca="1">(1-Constants!$C$19/1000000000*Design!$B$26*1000000) * ($B37+R37*AD37/1000-R37*AC37/1000) - (R37*AD37/1000+R37*(1+($A37-25)*Constants!$C$36/100)*IF(ISBLANK(Design!$B$35),Constants!$C$6/1000,Design!$B$35/1000))</f>
        <v>2.2316312786148877</v>
      </c>
      <c r="AF37" s="308">
        <f ca="1">IF(AE37&gt;Design!$C$22,Design!$C$22,AE37)</f>
        <v>1.7973333333333334</v>
      </c>
      <c r="AG37" s="142">
        <f>Design!$D$6/3</f>
        <v>0.66666666666666663</v>
      </c>
      <c r="AH37" s="216">
        <f ca="1">IF( 100*(Design!$C$22+AG37*(IF(ISBLANK(Design!$B$35),Constants!$C$6,Design!$B$35)/1000*(1+Constants!$C$36/100*(AQ37-25))+AS37/1000))/($B37-AG37*AR37/1000) &gt; Design!$C$29, Design!$C$29, 100*(Design!$C$22+AG37*(IF(ISBLANK(Design!$B$35),Constants!$C$6,Design!$B$35)/1000*(1+Constants!$C$36/100*(AQ37-25))+AS37/1000))/($B37-AG37*AR37/1000) )</f>
        <v>72.131940347037315</v>
      </c>
      <c r="AI37" s="143">
        <f ca="1">IF(($B37-AG37*IF(ISBLANK(Design!$B$35),Constants!$C$6,Design!$B$35)/1000*(1+Constants!$C$36/100*(AQ37-25))-Design!$C$22)/(IF(ISBLANK(Design!$B$34),Design!$B$33,Design!$B$34)/1000000)*AH37/100/(IF(ISBLANK(Design!$B$26),Design!$B$25,Design!$B$26)*1000000)&lt;0, 0, ($B37-AG37*IF(ISBLANK(Design!$B$35),Constants!$C$6,Design!$B$35)/1000*(1+Constants!$C$36/100*(AQ37-25))-Design!$C$22)/(IF(ISBLANK(Design!$B$34),Design!$B$33,Design!$B$34)/1000000)*AH37/100/(IF(ISBLANK(Design!$B$26),Design!$B$25,Design!$B$26)*1000000))</f>
        <v>0.2936097241102818</v>
      </c>
      <c r="AJ37" s="217">
        <f>$B37*Constants!$C$21/1000+IF(ISBLANK(Design!$B$26),Design!$B$25,Design!$B$26)*1000000*(Constants!$D$26+Constants!$D$27)/1000000000*$B37</f>
        <v>2.9822399999999999E-2</v>
      </c>
      <c r="AK37" s="217">
        <f>$B37*AG37*($B37/(Constants!$C$28*1000000000)*IF(ISBLANK(Design!$B$26),Design!$B$25,Design!$B$26)*1000000/2+$B37/(Constants!$C$29*1000000000)*IF(ISBLANK(Design!$B$26),Design!$B$25,Design!$B$26)*1000000/2)</f>
        <v>1.3686912000000001E-2</v>
      </c>
      <c r="AL37" s="217">
        <f t="shared" ca="1" si="7"/>
        <v>2.7099604610759991E-2</v>
      </c>
      <c r="AM37" s="217">
        <f t="shared" ca="1" si="8"/>
        <v>1.0469888848558904E-2</v>
      </c>
      <c r="AN37" s="217">
        <f>2*AG37*Constants!$C$20/1000000000*Constants!$C$25*IF(ISBLANK(Design!$B$26),Design!$B$25,Design!$B$26)*1000000</f>
        <v>2.4E-2</v>
      </c>
      <c r="AO37" s="217">
        <f>(Constants!$D$26+Constants!$D$27)/1000000000*$B37*IF(ISBLANK(Design!$B$26),Design!$B$25,Design!$B$26)*1000000</f>
        <v>2.4590399999999995E-2</v>
      </c>
      <c r="AP37" s="217">
        <f t="shared" ca="1" si="9"/>
        <v>0.12966920545931887</v>
      </c>
      <c r="AQ37" s="218">
        <f ca="1">AP37*Design!$C$12+$A37</f>
        <v>31.224121862047305</v>
      </c>
      <c r="AR37" s="218">
        <f ca="1">Constants!$D$22+Constants!$D$22*Constants!$C$24/100*(AQ37-25)</f>
        <v>83.186750393368214</v>
      </c>
      <c r="AS37" s="218">
        <f ca="1">Constants!$D$23+Constants!$D$23*Constants!$C$24/100*(AQ37-25)</f>
        <v>67.589234694611676</v>
      </c>
      <c r="AT37" s="217">
        <f ca="1">(1-Constants!$C$19/1000000000*Design!$B$26*1000000) * ($B37+AG37*AS37/1000-AG37*AR37/1000) - (AG37*AS37/1000+AG37*(1+($A37-25)*Constants!$C$36/100)*IF(ISBLANK(Design!$B$35),Constants!$C$6/1000,Design!$B$35/1000))</f>
        <v>2.2955153341176717</v>
      </c>
      <c r="AU37" s="311">
        <f ca="1">IF(AT37&gt;Design!$C$22,Design!$C$22,AT37)</f>
        <v>1.7973333333333334</v>
      </c>
    </row>
    <row r="38" spans="1:47" s="144" customFormat="1" ht="12.75" customHeight="1">
      <c r="A38" s="136">
        <v>25</v>
      </c>
      <c r="B38" s="137">
        <f t="shared" si="0"/>
        <v>2.5415000000000001</v>
      </c>
      <c r="C38" s="138">
        <f>Design!$D$6</f>
        <v>2</v>
      </c>
      <c r="D38" s="193">
        <f ca="1">IF( 100*(Design!$C$22+C38*(IF(ISBLANK(Design!$B$35),Constants!$C$6,Design!$B$35)/1000*(1+Constants!$C$36/100*(M38-25))+O38/1000))/($B38-C38*N38/1000) &gt; Design!$C$29, Design!$C$29, 100*(Design!$C$22+C38*(IF(ISBLANK(Design!$B$35),Constants!$C$6,Design!$B$35)/1000*(1+Constants!$C$36/100*(M38-25))+O38/1000))/($B38-C38*N38/1000) )</f>
        <v>83.374105035701078</v>
      </c>
      <c r="E38" s="139">
        <f ca="1">IF(($B38-C38*IF(ISBLANK(Design!$B$35),Constants!$C$6,Design!$B$35)/1000*(1+Constants!$C$36/100*(M38-25))-Design!$C$22)/(IF(ISBLANK(Design!$B$34),Design!$B$33,Design!$B$34)/1000000)*D38/100/(IF(ISBLANK(Design!$B$26),Design!$B$25,Design!$B$26)*1000000)&lt;0, 0, ($B38-C38*IF(ISBLANK(Design!$B$35),Constants!$C$6,Design!$B$35)/1000*(1+Constants!$C$36/100*(M38-25))-Design!$C$22)/(IF(ISBLANK(Design!$B$34),Design!$B$33,Design!$B$34)/1000000)*D38/100/(IF(ISBLANK(Design!$B$26),Design!$B$25,Design!$B$26)*1000000))</f>
        <v>0.30406907041020981</v>
      </c>
      <c r="F38" s="186">
        <f>$B38*Constants!$C$21/1000+IF(ISBLANK(Design!$B$26),Design!$B$25,Design!$B$26)*1000000*(Constants!$D$26+Constants!$D$27)/1000000000*$B38</f>
        <v>2.8973099999999998E-2</v>
      </c>
      <c r="G38" s="186">
        <f>$B38*C38*($B38/(Constants!$C$28*1000000000)*IF(ISBLANK(Design!$B$26),Design!$B$25,Design!$B$26)*1000000/2+$B38/(Constants!$C$29*1000000000)*IF(ISBLANK(Design!$B$26),Design!$B$25,Design!$B$26)*1000000/2)</f>
        <v>3.8755333499999996E-2</v>
      </c>
      <c r="H38" s="186">
        <f t="shared" ca="1" si="1"/>
        <v>0.31141984716967686</v>
      </c>
      <c r="I38" s="186">
        <f t="shared" ca="1" si="2"/>
        <v>6.2101220356416326E-2</v>
      </c>
      <c r="J38" s="186">
        <f>2*C38*Constants!$C$20/1000000000*Constants!$C$25*IF(ISBLANK(Design!$B$26),Design!$B$25,Design!$B$26)*1000000</f>
        <v>7.1999999999999995E-2</v>
      </c>
      <c r="K38" s="186">
        <f>(Constants!$D$26+Constants!$D$27)/1000000000*$B38*IF(ISBLANK(Design!$B$26),Design!$B$25,Design!$B$26)*1000000</f>
        <v>2.3890099999999997E-2</v>
      </c>
      <c r="L38" s="186">
        <f t="shared" ca="1" si="3"/>
        <v>0.53713960102609315</v>
      </c>
      <c r="M38" s="187">
        <f ca="1">L38*Design!$C$12+$A38</f>
        <v>50.782700849252471</v>
      </c>
      <c r="N38" s="187">
        <f ca="1">Constants!$D$22+Constants!$D$22*Constants!$C$24/100*(M38-25)</f>
        <v>93.200742834817262</v>
      </c>
      <c r="O38" s="187">
        <f ca="1">Constants!$D$23+Constants!$D$23*Constants!$C$24/100*(M38-25)</f>
        <v>75.725603553289034</v>
      </c>
      <c r="P38" s="186">
        <f ca="1">(1-Constants!$C$19/1000000000*Design!$B$26*1000000) * ($B38+C38*O38/1000-C38*N38/1000) - (C38*O38/1000+C38*(1+($A38-25)*Constants!$C$36/100)*IF(ISBLANK(Design!$B$35),Constants!$C$6/1000,Design!$B$35/1000))</f>
        <v>2.0910435421866711</v>
      </c>
      <c r="Q38" s="191">
        <f ca="1">IF(P38&gt;Design!$C$22,Design!$C$22,P38)</f>
        <v>1.7973333333333334</v>
      </c>
      <c r="R38" s="201">
        <f>2*Design!$D$6/3</f>
        <v>1.3333333333333333</v>
      </c>
      <c r="S38" s="202">
        <f ca="1">IF( 100*(Design!$C$22+R38*(IF(ISBLANK(Design!$B$35),Constants!$C$6,Design!$B$35)/1000*(1+Constants!$C$36/100*(AB38-25))+AD38/1000))/($B38-R38*AC38/1000) &gt; Design!$C$29, Design!$C$29, 100*(Design!$C$22+R38*(IF(ISBLANK(Design!$B$35),Constants!$C$6,Design!$B$35)/1000*(1+Constants!$C$36/100*(AB38-25))+AD38/1000))/($B38-R38*AC38/1000) )</f>
        <v>78.368789835823435</v>
      </c>
      <c r="T38" s="141">
        <f ca="1">IF(($B38-R38*IF(ISBLANK(Design!$B$35),Constants!$C$6,Design!$B$35)/1000*(1+Constants!$C$36/100*(AB38-25))-Design!$C$22)/(IF(ISBLANK(Design!$B$34),Design!$B$33,Design!$B$34)/1000000)*S38/100/(IF(ISBLANK(Design!$B$26),Design!$B$25,Design!$B$26)*1000000)&lt;0, 0, ($B38-R38*IF(ISBLANK(Design!$B$35),Constants!$C$6,Design!$B$35)/1000*(1+Constants!$C$36/100*(AB38-25))-Design!$C$22)/(IF(ISBLANK(Design!$B$34),Design!$B$33,Design!$B$34)/1000000)*S38/100/(IF(ISBLANK(Design!$B$26),Design!$B$25,Design!$B$26)*1000000))</f>
        <v>0.28791062811416329</v>
      </c>
      <c r="U38" s="203">
        <f>$B38*Constants!$C$21/1000+IF(ISBLANK(Design!$B$26),Design!$B$25,Design!$B$26)*1000000*(Constants!$D$26+Constants!$D$27)/1000000000*$B38</f>
        <v>2.8973099999999998E-2</v>
      </c>
      <c r="V38" s="203">
        <f>$B38*R38*($B38/(Constants!$C$28*1000000000)*IF(ISBLANK(Design!$B$26),Design!$B$25,Design!$B$26)*1000000/2+$B38/(Constants!$C$29*1000000000)*IF(ISBLANK(Design!$B$26),Design!$B$25,Design!$B$26)*1000000/2)</f>
        <v>2.5836888999999995E-2</v>
      </c>
      <c r="W38" s="203">
        <f t="shared" ca="1" si="4"/>
        <v>0.12157844456051145</v>
      </c>
      <c r="X38" s="203">
        <f t="shared" ca="1" si="5"/>
        <v>3.3557860102618992E-2</v>
      </c>
      <c r="Y38" s="203">
        <f>2*R38*Constants!$C$20/1000000000*Constants!$C$25*IF(ISBLANK(Design!$B$26),Design!$B$25,Design!$B$26)*1000000</f>
        <v>4.8000000000000001E-2</v>
      </c>
      <c r="Z38" s="203">
        <f>(Constants!$D$26+Constants!$D$27)/1000000000*$B38*IF(ISBLANK(Design!$B$26),Design!$B$25,Design!$B$26)*1000000</f>
        <v>2.3890099999999997E-2</v>
      </c>
      <c r="AA38" s="203">
        <f t="shared" ca="1" si="6"/>
        <v>0.2818363936631304</v>
      </c>
      <c r="AB38" s="204">
        <f ca="1">AA38*Design!$C$12+$A38</f>
        <v>38.528146895830261</v>
      </c>
      <c r="AC38" s="204">
        <f ca="1">Constants!$D$22+Constants!$D$22*Constants!$C$24/100*(AB38-25)</f>
        <v>86.926411210665094</v>
      </c>
      <c r="AD38" s="204">
        <f ca="1">Constants!$D$23+Constants!$D$23*Constants!$C$24/100*(AB38-25)</f>
        <v>70.627709108665385</v>
      </c>
      <c r="AE38" s="203">
        <f ca="1">(1-Constants!$C$19/1000000000*Design!$B$26*1000000) * ($B38+R38*AD38/1000-R38*AC38/1000) - (R38*AD38/1000+R38*(1+($A38-25)*Constants!$C$36/100)*IF(ISBLANK(Design!$B$35),Constants!$C$6/1000,Design!$B$35/1000))</f>
        <v>2.1646879453327132</v>
      </c>
      <c r="AF38" s="308">
        <f ca="1">IF(AE38&gt;Design!$C$22,Design!$C$22,AE38)</f>
        <v>1.7973333333333334</v>
      </c>
      <c r="AG38" s="142">
        <f>Design!$D$6/3</f>
        <v>0.66666666666666663</v>
      </c>
      <c r="AH38" s="216">
        <f ca="1">IF( 100*(Design!$C$22+AG38*(IF(ISBLANK(Design!$B$35),Constants!$C$6,Design!$B$35)/1000*(1+Constants!$C$36/100*(AQ38-25))+AS38/1000))/($B38-AG38*AR38/1000) &gt; Design!$C$29, Design!$C$29, 100*(Design!$C$22+AG38*(IF(ISBLANK(Design!$B$35),Constants!$C$6,Design!$B$35)/1000*(1+Constants!$C$36/100*(AQ38-25))+AS38/1000))/($B38-AG38*AR38/1000) )</f>
        <v>74.29097874219417</v>
      </c>
      <c r="AI38" s="143">
        <f ca="1">IF(($B38-AG38*IF(ISBLANK(Design!$B$35),Constants!$C$6,Design!$B$35)/1000*(1+Constants!$C$36/100*(AQ38-25))-Design!$C$22)/(IF(ISBLANK(Design!$B$34),Design!$B$33,Design!$B$34)/1000000)*AH38/100/(IF(ISBLANK(Design!$B$26),Design!$B$25,Design!$B$26)*1000000)&lt;0, 0, ($B38-AG38*IF(ISBLANK(Design!$B$35),Constants!$C$6,Design!$B$35)/1000*(1+Constants!$C$36/100*(AQ38-25))-Design!$C$22)/(IF(ISBLANK(Design!$B$34),Design!$B$33,Design!$B$34)/1000000)*AH38/100/(IF(ISBLANK(Design!$B$26),Design!$B$25,Design!$B$26)*1000000))</f>
        <v>0.27472535756611632</v>
      </c>
      <c r="AJ38" s="217">
        <f>$B38*Constants!$C$21/1000+IF(ISBLANK(Design!$B$26),Design!$B$25,Design!$B$26)*1000000*(Constants!$D$26+Constants!$D$27)/1000000000*$B38</f>
        <v>2.8973099999999998E-2</v>
      </c>
      <c r="AK38" s="217">
        <f>$B38*AG38*($B38/(Constants!$C$28*1000000000)*IF(ISBLANK(Design!$B$26),Design!$B$25,Design!$B$26)*1000000/2+$B38/(Constants!$C$29*1000000000)*IF(ISBLANK(Design!$B$26),Design!$B$25,Design!$B$26)*1000000/2)</f>
        <v>1.2918444499999997E-2</v>
      </c>
      <c r="AL38" s="217">
        <f t="shared" ca="1" si="7"/>
        <v>2.7835561946613241E-2</v>
      </c>
      <c r="AM38" s="217">
        <f t="shared" ca="1" si="8"/>
        <v>9.6327315365143489E-3</v>
      </c>
      <c r="AN38" s="217">
        <f>2*AG38*Constants!$C$20/1000000000*Constants!$C$25*IF(ISBLANK(Design!$B$26),Design!$B$25,Design!$B$26)*1000000</f>
        <v>2.4E-2</v>
      </c>
      <c r="AO38" s="217">
        <f>(Constants!$D$26+Constants!$D$27)/1000000000*$B38*IF(ISBLANK(Design!$B$26),Design!$B$25,Design!$B$26)*1000000</f>
        <v>2.3890099999999997E-2</v>
      </c>
      <c r="AP38" s="217">
        <f t="shared" ca="1" si="9"/>
        <v>0.12724993798312759</v>
      </c>
      <c r="AQ38" s="218">
        <f ca="1">AP38*Design!$C$12+$A38</f>
        <v>31.107997023190123</v>
      </c>
      <c r="AR38" s="218">
        <f ca="1">Constants!$D$22+Constants!$D$22*Constants!$C$24/100*(AQ38-25)</f>
        <v>83.127294475873342</v>
      </c>
      <c r="AS38" s="218">
        <f ca="1">Constants!$D$23+Constants!$D$23*Constants!$C$24/100*(AQ38-25)</f>
        <v>67.540926761647086</v>
      </c>
      <c r="AT38" s="217">
        <f ca="1">(1-Constants!$C$19/1000000000*Design!$B$26*1000000) * ($B38+AG38*AS38/1000-AG38*AR38/1000) - (AG38*AS38/1000+AG38*(1+($A38-25)*Constants!$C$36/100)*IF(ISBLANK(Design!$B$35),Constants!$C$6/1000,Design!$B$35/1000))</f>
        <v>2.2285042281970329</v>
      </c>
      <c r="AU38" s="311">
        <f ca="1">IF(AT38&gt;Design!$C$22,Design!$C$22,AT38)</f>
        <v>1.7973333333333334</v>
      </c>
    </row>
    <row r="39" spans="1:47" s="144" customFormat="1" ht="12.75" customHeight="1">
      <c r="A39" s="136">
        <v>25</v>
      </c>
      <c r="B39" s="137">
        <f t="shared" si="0"/>
        <v>2.4670000000000001</v>
      </c>
      <c r="C39" s="138">
        <f>Design!$D$6</f>
        <v>2</v>
      </c>
      <c r="D39" s="193">
        <f ca="1">IF( 100*(Design!$C$22+C39*(IF(ISBLANK(Design!$B$35),Constants!$C$6,Design!$B$35)/1000*(1+Constants!$C$36/100*(M39-25))+O39/1000))/($B39-C39*N39/1000) &gt; Design!$C$29, Design!$C$29, 100*(Design!$C$22+C39*(IF(ISBLANK(Design!$B$35),Constants!$C$6,Design!$B$35)/1000*(1+Constants!$C$36/100*(M39-25))+O39/1000))/($B39-C39*N39/1000) )</f>
        <v>84</v>
      </c>
      <c r="E39" s="139">
        <f ca="1">IF(($B39-C39*IF(ISBLANK(Design!$B$35),Constants!$C$6,Design!$B$35)/1000*(1+Constants!$C$36/100*(M39-25))-Design!$C$22)/(IF(ISBLANK(Design!$B$34),Design!$B$33,Design!$B$34)/1000000)*D39/100/(IF(ISBLANK(Design!$B$26),Design!$B$25,Design!$B$26)*1000000)&lt;0, 0, ($B39-C39*IF(ISBLANK(Design!$B$35),Constants!$C$6,Design!$B$35)/1000*(1+Constants!$C$36/100*(M39-25))-Design!$C$22)/(IF(ISBLANK(Design!$B$34),Design!$B$33,Design!$B$34)/1000000)*D39/100/(IF(ISBLANK(Design!$B$26),Design!$B$25,Design!$B$26)*1000000))</f>
        <v>0.27506635208165464</v>
      </c>
      <c r="F39" s="186">
        <f>$B39*Constants!$C$21/1000+IF(ISBLANK(Design!$B$26),Design!$B$25,Design!$B$26)*1000000*(Constants!$D$26+Constants!$D$27)/1000000000*$B39</f>
        <v>2.8123799999999997E-2</v>
      </c>
      <c r="G39" s="186">
        <f>$B39*C39*($B39/(Constants!$C$28*1000000000)*IF(ISBLANK(Design!$B$26),Design!$B$25,Design!$B$26)*1000000/2+$B39/(Constants!$C$29*1000000000)*IF(ISBLANK(Design!$B$26),Design!$B$25,Design!$B$26)*1000000/2)</f>
        <v>3.651653400000001E-2</v>
      </c>
      <c r="H39" s="186">
        <f t="shared" ca="1" si="1"/>
        <v>0.31328860792139646</v>
      </c>
      <c r="I39" s="186">
        <f t="shared" ca="1" si="2"/>
        <v>5.9674020556456486E-2</v>
      </c>
      <c r="J39" s="186">
        <f>2*C39*Constants!$C$20/1000000000*Constants!$C$25*IF(ISBLANK(Design!$B$26),Design!$B$25,Design!$B$26)*1000000</f>
        <v>7.1999999999999995E-2</v>
      </c>
      <c r="K39" s="186">
        <f>(Constants!$D$26+Constants!$D$27)/1000000000*$B39*IF(ISBLANK(Design!$B$26),Design!$B$25,Design!$B$26)*1000000</f>
        <v>2.3189799999999997E-2</v>
      </c>
      <c r="L39" s="186">
        <f t="shared" ca="1" si="3"/>
        <v>0.53279276247785301</v>
      </c>
      <c r="M39" s="187">
        <f ca="1">L39*Design!$C$12+$A39</f>
        <v>50.574052598936944</v>
      </c>
      <c r="N39" s="187">
        <f ca="1">Constants!$D$22+Constants!$D$22*Constants!$C$24/100*(M39-25)</f>
        <v>93.093914930655714</v>
      </c>
      <c r="O39" s="187">
        <f ca="1">Constants!$D$23+Constants!$D$23*Constants!$C$24/100*(M39-25)</f>
        <v>75.638805881157765</v>
      </c>
      <c r="P39" s="186">
        <f ca="1">(1-Constants!$C$19/1000000000*Design!$B$26*1000000) * ($B39+C39*O39/1000-C39*N39/1000) - (C39*O39/1000+C39*(1+($A39-25)*Constants!$C$36/100)*IF(ISBLANK(Design!$B$35),Constants!$C$6/1000,Design!$B$35/1000))</f>
        <v>2.0242031919485881</v>
      </c>
      <c r="Q39" s="191">
        <f ca="1">IF(P39&gt;Design!$C$22,Design!$C$22,P39)</f>
        <v>1.7973333333333334</v>
      </c>
      <c r="R39" s="201">
        <f>2*Design!$D$6/3</f>
        <v>1.3333333333333333</v>
      </c>
      <c r="S39" s="202">
        <f ca="1">IF( 100*(Design!$C$22+R39*(IF(ISBLANK(Design!$B$35),Constants!$C$6,Design!$B$35)/1000*(1+Constants!$C$36/100*(AB39-25))+AD39/1000))/($B39-R39*AC39/1000) &gt; Design!$C$29, Design!$C$29, 100*(Design!$C$22+R39*(IF(ISBLANK(Design!$B$35),Constants!$C$6,Design!$B$35)/1000*(1+Constants!$C$36/100*(AB39-25))+AD39/1000))/($B39-R39*AC39/1000) )</f>
        <v>80.844465101702383</v>
      </c>
      <c r="T39" s="141">
        <f ca="1">IF(($B39-R39*IF(ISBLANK(Design!$B$35),Constants!$C$6,Design!$B$35)/1000*(1+Constants!$C$36/100*(AB39-25))-Design!$C$22)/(IF(ISBLANK(Design!$B$34),Design!$B$33,Design!$B$34)/1000000)*S39/100/(IF(ISBLANK(Design!$B$26),Design!$B$25,Design!$B$26)*1000000)&lt;0, 0, ($B39-R39*IF(ISBLANK(Design!$B$35),Constants!$C$6,Design!$B$35)/1000*(1+Constants!$C$36/100*(AB39-25))-Design!$C$22)/(IF(ISBLANK(Design!$B$34),Design!$B$33,Design!$B$34)/1000000)*S39/100/(IF(ISBLANK(Design!$B$26),Design!$B$25,Design!$B$26)*1000000))</f>
        <v>0.26689340814009499</v>
      </c>
      <c r="U39" s="203">
        <f>$B39*Constants!$C$21/1000+IF(ISBLANK(Design!$B$26),Design!$B$25,Design!$B$26)*1000000*(Constants!$D$26+Constants!$D$27)/1000000000*$B39</f>
        <v>2.8123799999999997E-2</v>
      </c>
      <c r="V39" s="203">
        <f>$B39*R39*($B39/(Constants!$C$28*1000000000)*IF(ISBLANK(Design!$B$26),Design!$B$25,Design!$B$26)*1000000/2+$B39/(Constants!$C$29*1000000000)*IF(ISBLANK(Design!$B$26),Design!$B$25,Design!$B$26)*1000000/2)</f>
        <v>2.4344356000000004E-2</v>
      </c>
      <c r="W39" s="203">
        <f t="shared" ca="1" si="4"/>
        <v>0.12523494416771602</v>
      </c>
      <c r="X39" s="203">
        <f t="shared" ca="1" si="5"/>
        <v>2.9673550817278186E-2</v>
      </c>
      <c r="Y39" s="203">
        <f>2*R39*Constants!$C$20/1000000000*Constants!$C$25*IF(ISBLANK(Design!$B$26),Design!$B$25,Design!$B$26)*1000000</f>
        <v>4.8000000000000001E-2</v>
      </c>
      <c r="Z39" s="203">
        <f>(Constants!$D$26+Constants!$D$27)/1000000000*$B39*IF(ISBLANK(Design!$B$26),Design!$B$25,Design!$B$26)*1000000</f>
        <v>2.3189799999999997E-2</v>
      </c>
      <c r="AA39" s="203">
        <f t="shared" ca="1" si="6"/>
        <v>0.27856645098499416</v>
      </c>
      <c r="AB39" s="204">
        <f ca="1">AA39*Design!$C$12+$A39</f>
        <v>38.371189647279721</v>
      </c>
      <c r="AC39" s="204">
        <f ca="1">Constants!$D$22+Constants!$D$22*Constants!$C$24/100*(AB39-25)</f>
        <v>86.846049099407225</v>
      </c>
      <c r="AD39" s="204">
        <f ca="1">Constants!$D$23+Constants!$D$23*Constants!$C$24/100*(AB39-25)</f>
        <v>70.562414893268368</v>
      </c>
      <c r="AE39" s="203">
        <f ca="1">(1-Constants!$C$19/1000000000*Design!$B$26*1000000) * ($B39+R39*AD39/1000-R39*AC39/1000) - (R39*AD39/1000+R39*(1+($A39-25)*Constants!$C$36/100)*IF(ISBLANK(Design!$B$35),Constants!$C$6/1000,Design!$B$35/1000))</f>
        <v>2.0977430857616093</v>
      </c>
      <c r="AF39" s="308">
        <f ca="1">IF(AE39&gt;Design!$C$22,Design!$C$22,AE39)</f>
        <v>1.7973333333333334</v>
      </c>
      <c r="AG39" s="142">
        <f>Design!$D$6/3</f>
        <v>0.66666666666666663</v>
      </c>
      <c r="AH39" s="216">
        <f ca="1">IF( 100*(Design!$C$22+AG39*(IF(ISBLANK(Design!$B$35),Constants!$C$6,Design!$B$35)/1000*(1+Constants!$C$36/100*(AQ39-25))+AS39/1000))/($B39-AG39*AR39/1000) &gt; Design!$C$29, Design!$C$29, 100*(Design!$C$22+AG39*(IF(ISBLANK(Design!$B$35),Constants!$C$6,Design!$B$35)/1000*(1+Constants!$C$36/100*(AQ39-25))+AS39/1000))/($B39-AG39*AR39/1000) )</f>
        <v>76.583366428501506</v>
      </c>
      <c r="AI39" s="143">
        <f ca="1">IF(($B39-AG39*IF(ISBLANK(Design!$B$35),Constants!$C$6,Design!$B$35)/1000*(1+Constants!$C$36/100*(AQ39-25))-Design!$C$22)/(IF(ISBLANK(Design!$B$34),Design!$B$33,Design!$B$34)/1000000)*AH39/100/(IF(ISBLANK(Design!$B$26),Design!$B$25,Design!$B$26)*1000000)&lt;0, 0, ($B39-AG39*IF(ISBLANK(Design!$B$35),Constants!$C$6,Design!$B$35)/1000*(1+Constants!$C$36/100*(AQ39-25))-Design!$C$22)/(IF(ISBLANK(Design!$B$34),Design!$B$33,Design!$B$34)/1000000)*AH39/100/(IF(ISBLANK(Design!$B$26),Design!$B$25,Design!$B$26)*1000000))</f>
        <v>0.25467599349632963</v>
      </c>
      <c r="AJ39" s="217">
        <f>$B39*Constants!$C$21/1000+IF(ISBLANK(Design!$B$26),Design!$B$25,Design!$B$26)*1000000*(Constants!$D$26+Constants!$D$27)/1000000000*$B39</f>
        <v>2.8123799999999997E-2</v>
      </c>
      <c r="AK39" s="217">
        <f>$B39*AG39*($B39/(Constants!$C$28*1000000000)*IF(ISBLANK(Design!$B$26),Design!$B$25,Design!$B$26)*1000000/2+$B39/(Constants!$C$29*1000000000)*IF(ISBLANK(Design!$B$26),Design!$B$25,Design!$B$26)*1000000/2)</f>
        <v>1.2172178000000002E-2</v>
      </c>
      <c r="AL39" s="217">
        <f t="shared" ca="1" si="7"/>
        <v>2.8617885739118911E-2</v>
      </c>
      <c r="AM39" s="217">
        <f t="shared" ca="1" si="8"/>
        <v>8.7503928750585769E-3</v>
      </c>
      <c r="AN39" s="217">
        <f>2*AG39*Constants!$C$20/1000000000*Constants!$C$25*IF(ISBLANK(Design!$B$26),Design!$B$25,Design!$B$26)*1000000</f>
        <v>2.4E-2</v>
      </c>
      <c r="AO39" s="217">
        <f>(Constants!$D$26+Constants!$D$27)/1000000000*$B39*IF(ISBLANK(Design!$B$26),Design!$B$25,Design!$B$26)*1000000</f>
        <v>2.3189799999999997E-2</v>
      </c>
      <c r="AP39" s="217">
        <f t="shared" ca="1" si="9"/>
        <v>0.12485405661417749</v>
      </c>
      <c r="AQ39" s="218">
        <f ca="1">AP39*Design!$C$12+$A39</f>
        <v>30.992994717480521</v>
      </c>
      <c r="AR39" s="218">
        <f ca="1">Constants!$D$22+Constants!$D$22*Constants!$C$24/100*(AQ39-25)</f>
        <v>83.068413295350027</v>
      </c>
      <c r="AS39" s="218">
        <f ca="1">Constants!$D$23+Constants!$D$23*Constants!$C$24/100*(AQ39-25)</f>
        <v>67.493085802471896</v>
      </c>
      <c r="AT39" s="217">
        <f ca="1">(1-Constants!$C$19/1000000000*Design!$B$26*1000000) * ($B39+AG39*AS39/1000-AG39*AR39/1000) - (AG39*AS39/1000+AG39*(1+($A39-25)*Constants!$C$36/100)*IF(ISBLANK(Design!$B$35),Constants!$C$6/1000,Design!$B$35/1000))</f>
        <v>2.161492746302625</v>
      </c>
      <c r="AU39" s="311">
        <f ca="1">IF(AT39&gt;Design!$C$22,Design!$C$22,AT39)</f>
        <v>1.7973333333333334</v>
      </c>
    </row>
    <row r="40" spans="1:47" s="144" customFormat="1" ht="12.75" customHeight="1">
      <c r="A40" s="136">
        <v>25</v>
      </c>
      <c r="B40" s="137">
        <f t="shared" si="0"/>
        <v>2.3925000000000001</v>
      </c>
      <c r="C40" s="138">
        <f>Design!$D$6</f>
        <v>2</v>
      </c>
      <c r="D40" s="193">
        <f ca="1">IF( 100*(Design!$C$22+C40*(IF(ISBLANK(Design!$B$35),Constants!$C$6,Design!$B$35)/1000*(1+Constants!$C$36/100*(M40-25))+O40/1000))/($B40-C40*N40/1000) &gt; Design!$C$29, Design!$C$29, 100*(Design!$C$22+C40*(IF(ISBLANK(Design!$B$35),Constants!$C$6,Design!$B$35)/1000*(1+Constants!$C$36/100*(M40-25))+O40/1000))/($B40-C40*N40/1000) )</f>
        <v>84</v>
      </c>
      <c r="E40" s="139">
        <f ca="1">IF(($B40-C40*IF(ISBLANK(Design!$B$35),Constants!$C$6,Design!$B$35)/1000*(1+Constants!$C$36/100*(M40-25))-Design!$C$22)/(IF(ISBLANK(Design!$B$34),Design!$B$33,Design!$B$34)/1000000)*D40/100/(IF(ISBLANK(Design!$B$26),Design!$B$25,Design!$B$26)*1000000)&lt;0, 0, ($B40-C40*IF(ISBLANK(Design!$B$35),Constants!$C$6,Design!$B$35)/1000*(1+Constants!$C$36/100*(M40-25))-Design!$C$22)/(IF(ISBLANK(Design!$B$34),Design!$B$33,Design!$B$34)/1000000)*D40/100/(IF(ISBLANK(Design!$B$26),Design!$B$25,Design!$B$26)*1000000))</f>
        <v>0.24378088304265869</v>
      </c>
      <c r="F40" s="186">
        <f>$B40*Constants!$C$21/1000+IF(ISBLANK(Design!$B$26),Design!$B$25,Design!$B$26)*1000000*(Constants!$D$26+Constants!$D$27)/1000000000*$B40</f>
        <v>2.72745E-2</v>
      </c>
      <c r="G40" s="186">
        <f>$B40*C40*($B40/(Constants!$C$28*1000000000)*IF(ISBLANK(Design!$B$26),Design!$B$25,Design!$B$26)*1000000/2+$B40/(Constants!$C$29*1000000000)*IF(ISBLANK(Design!$B$26),Design!$B$25,Design!$B$26)*1000000/2)</f>
        <v>3.4344337500000002E-2</v>
      </c>
      <c r="H40" s="186">
        <f t="shared" ca="1" si="1"/>
        <v>0.3128299782811173</v>
      </c>
      <c r="I40" s="186">
        <f t="shared" ca="1" si="2"/>
        <v>5.9586662529736642E-2</v>
      </c>
      <c r="J40" s="186">
        <f>2*C40*Constants!$C$20/1000000000*Constants!$C$25*IF(ISBLANK(Design!$B$26),Design!$B$25,Design!$B$26)*1000000</f>
        <v>7.1999999999999995E-2</v>
      </c>
      <c r="K40" s="186">
        <f>(Constants!$D$26+Constants!$D$27)/1000000000*$B40*IF(ISBLANK(Design!$B$26),Design!$B$25,Design!$B$26)*1000000</f>
        <v>2.2489499999999999E-2</v>
      </c>
      <c r="L40" s="186">
        <f t="shared" ca="1" si="3"/>
        <v>0.52852497831085399</v>
      </c>
      <c r="M40" s="187">
        <f ca="1">L40*Design!$C$12+$A40</f>
        <v>50.36919895892099</v>
      </c>
      <c r="N40" s="187">
        <f ca="1">Constants!$D$22+Constants!$D$22*Constants!$C$24/100*(M40-25)</f>
        <v>92.989029866967542</v>
      </c>
      <c r="O40" s="187">
        <f ca="1">Constants!$D$23+Constants!$D$23*Constants!$C$24/100*(M40-25)</f>
        <v>75.553586766911138</v>
      </c>
      <c r="P40" s="186">
        <f ca="1">(1-Constants!$C$19/1000000000*Design!$B$26*1000000) * ($B40+C40*O40/1000-C40*N40/1000) - (C40*O40/1000+C40*(1+($A40-25)*Constants!$C$36/100)*IF(ISBLANK(Design!$B$35),Constants!$C$6/1000,Design!$B$35/1000))</f>
        <v>1.957359028886076</v>
      </c>
      <c r="Q40" s="191">
        <f ca="1">IF(P40&gt;Design!$C$22,Design!$C$22,P40)</f>
        <v>1.7973333333333334</v>
      </c>
      <c r="R40" s="201">
        <f>2*Design!$D$6/3</f>
        <v>1.3333333333333333</v>
      </c>
      <c r="S40" s="202">
        <f ca="1">IF( 100*(Design!$C$22+R40*(IF(ISBLANK(Design!$B$35),Constants!$C$6,Design!$B$35)/1000*(1+Constants!$C$36/100*(AB40-25))+AD40/1000))/($B40-R40*AC40/1000) &gt; Design!$C$29, Design!$C$29, 100*(Design!$C$22+R40*(IF(ISBLANK(Design!$B$35),Constants!$C$6,Design!$B$35)/1000*(1+Constants!$C$36/100*(AB40-25))+AD40/1000))/($B40-R40*AC40/1000) )</f>
        <v>83.482039248231587</v>
      </c>
      <c r="T40" s="141">
        <f ca="1">IF(($B40-R40*IF(ISBLANK(Design!$B$35),Constants!$C$6,Design!$B$35)/1000*(1+Constants!$C$36/100*(AB40-25))-Design!$C$22)/(IF(ISBLANK(Design!$B$34),Design!$B$33,Design!$B$34)/1000000)*S40/100/(IF(ISBLANK(Design!$B$26),Design!$B$25,Design!$B$26)*1000000)&lt;0, 0, ($B40-R40*IF(ISBLANK(Design!$B$35),Constants!$C$6,Design!$B$35)/1000*(1+Constants!$C$36/100*(AB40-25))-Design!$C$22)/(IF(ISBLANK(Design!$B$34),Design!$B$33,Design!$B$34)/1000000)*S40/100/(IF(ISBLANK(Design!$B$26),Design!$B$25,Design!$B$26)*1000000))</f>
        <v>0.24450608966701667</v>
      </c>
      <c r="U40" s="203">
        <f>$B40*Constants!$C$21/1000+IF(ISBLANK(Design!$B$26),Design!$B$25,Design!$B$26)*1000000*(Constants!$D$26+Constants!$D$27)/1000000000*$B40</f>
        <v>2.72745E-2</v>
      </c>
      <c r="V40" s="203">
        <f>$B40*R40*($B40/(Constants!$C$28*1000000000)*IF(ISBLANK(Design!$B$26),Design!$B$25,Design!$B$26)*1000000/2+$B40/(Constants!$C$29*1000000000)*IF(ISBLANK(Design!$B$26),Design!$B$25,Design!$B$26)*1000000/2)</f>
        <v>2.2896224999999999E-2</v>
      </c>
      <c r="W40" s="203">
        <f t="shared" ca="1" si="4"/>
        <v>0.12913376085182854</v>
      </c>
      <c r="X40" s="203">
        <f t="shared" ca="1" si="5"/>
        <v>2.5550722199493184E-2</v>
      </c>
      <c r="Y40" s="203">
        <f>2*R40*Constants!$C$20/1000000000*Constants!$C$25*IF(ISBLANK(Design!$B$26),Design!$B$25,Design!$B$26)*1000000</f>
        <v>4.8000000000000001E-2</v>
      </c>
      <c r="Z40" s="203">
        <f>(Constants!$D$26+Constants!$D$27)/1000000000*$B40*IF(ISBLANK(Design!$B$26),Design!$B$25,Design!$B$26)*1000000</f>
        <v>2.2489499999999999E-2</v>
      </c>
      <c r="AA40" s="203">
        <f t="shared" ca="1" si="6"/>
        <v>0.27534470805132172</v>
      </c>
      <c r="AB40" s="204">
        <f ca="1">AA40*Design!$C$12+$A40</f>
        <v>38.216545986463444</v>
      </c>
      <c r="AC40" s="204">
        <f ca="1">Constants!$D$22+Constants!$D$22*Constants!$C$24/100*(AB40-25)</f>
        <v>86.766871545069279</v>
      </c>
      <c r="AD40" s="204">
        <f ca="1">Constants!$D$23+Constants!$D$23*Constants!$C$24/100*(AB40-25)</f>
        <v>70.498083130368798</v>
      </c>
      <c r="AE40" s="203">
        <f ca="1">(1-Constants!$C$19/1000000000*Design!$B$26*1000000) * ($B40+R40*AD40/1000-R40*AC40/1000) - (R40*AD40/1000+R40*(1+($A40-25)*Constants!$C$36/100)*IF(ISBLANK(Design!$B$35),Constants!$C$6/1000,Design!$B$35/1000))</f>
        <v>2.0307966763952012</v>
      </c>
      <c r="AF40" s="308">
        <f ca="1">IF(AE40&gt;Design!$C$22,Design!$C$22,AE40)</f>
        <v>1.7973333333333334</v>
      </c>
      <c r="AG40" s="142">
        <f>Design!$D$6/3</f>
        <v>0.66666666666666663</v>
      </c>
      <c r="AH40" s="216">
        <f ca="1">IF( 100*(Design!$C$22+AG40*(IF(ISBLANK(Design!$B$35),Constants!$C$6,Design!$B$35)/1000*(1+Constants!$C$36/100*(AQ40-25))+AS40/1000))/($B40-AG40*AR40/1000) &gt; Design!$C$29, Design!$C$29, 100*(Design!$C$22+AG40*(IF(ISBLANK(Design!$B$35),Constants!$C$6,Design!$B$35)/1000*(1+Constants!$C$36/100*(AQ40-25))+AS40/1000))/($B40-AG40*AR40/1000) )</f>
        <v>79.021850569677255</v>
      </c>
      <c r="AI40" s="143">
        <f ca="1">IF(($B40-AG40*IF(ISBLANK(Design!$B$35),Constants!$C$6,Design!$B$35)/1000*(1+Constants!$C$36/100*(AQ40-25))-Design!$C$22)/(IF(ISBLANK(Design!$B$34),Design!$B$33,Design!$B$34)/1000000)*AH40/100/(IF(ISBLANK(Design!$B$26),Design!$B$25,Design!$B$26)*1000000)&lt;0, 0, ($B40-AG40*IF(ISBLANK(Design!$B$35),Constants!$C$6,Design!$B$35)/1000*(1+Constants!$C$36/100*(AQ40-25))-Design!$C$22)/(IF(ISBLANK(Design!$B$34),Design!$B$33,Design!$B$34)/1000000)*AH40/100/(IF(ISBLANK(Design!$B$26),Design!$B$25,Design!$B$26)*1000000))</f>
        <v>0.23335025939467222</v>
      </c>
      <c r="AJ40" s="217">
        <f>$B40*Constants!$C$21/1000+IF(ISBLANK(Design!$B$26),Design!$B$25,Design!$B$26)*1000000*(Constants!$D$26+Constants!$D$27)/1000000000*$B40</f>
        <v>2.72745E-2</v>
      </c>
      <c r="AK40" s="217">
        <f>$B40*AG40*($B40/(Constants!$C$28*1000000000)*IF(ISBLANK(Design!$B$26),Design!$B$25,Design!$B$26)*1000000/2+$B40/(Constants!$C$29*1000000000)*IF(ISBLANK(Design!$B$26),Design!$B$25,Design!$B$26)*1000000/2)</f>
        <v>1.14481125E-2</v>
      </c>
      <c r="AL40" s="217">
        <f t="shared" ca="1" si="7"/>
        <v>2.9451492828742817E-2</v>
      </c>
      <c r="AM40" s="217">
        <f t="shared" ca="1" si="8"/>
        <v>7.8185693330817298E-3</v>
      </c>
      <c r="AN40" s="217">
        <f>2*AG40*Constants!$C$20/1000000000*Constants!$C$25*IF(ISBLANK(Design!$B$26),Design!$B$25,Design!$B$26)*1000000</f>
        <v>2.4E-2</v>
      </c>
      <c r="AO40" s="217">
        <f>(Constants!$D$26+Constants!$D$27)/1000000000*$B40*IF(ISBLANK(Design!$B$26),Design!$B$25,Design!$B$26)*1000000</f>
        <v>2.2489499999999999E-2</v>
      </c>
      <c r="AP40" s="217">
        <f t="shared" ca="1" si="9"/>
        <v>0.12248217466182454</v>
      </c>
      <c r="AQ40" s="218">
        <f ca="1">AP40*Design!$C$12+$A40</f>
        <v>30.879144383767578</v>
      </c>
      <c r="AR40" s="218">
        <f ca="1">Constants!$D$22+Constants!$D$22*Constants!$C$24/100*(AQ40-25)</f>
        <v>83.010121924488999</v>
      </c>
      <c r="AS40" s="218">
        <f ca="1">Constants!$D$23+Constants!$D$23*Constants!$C$24/100*(AQ40-25)</f>
        <v>67.445724063647319</v>
      </c>
      <c r="AT40" s="217">
        <f ca="1">(1-Constants!$C$19/1000000000*Design!$B$26*1000000) * ($B40+AG40*AS40/1000-AG40*AR40/1000) - (AG40*AS40/1000+AG40*(1+($A40-25)*Constants!$C$36/100)*IF(ISBLANK(Design!$B$35),Constants!$C$6/1000,Design!$B$35/1000))</f>
        <v>2.0944808785743971</v>
      </c>
      <c r="AU40" s="311">
        <f ca="1">IF(AT40&gt;Design!$C$22,Design!$C$22,AT40)</f>
        <v>1.7973333333333334</v>
      </c>
    </row>
    <row r="41" spans="1:47" s="144" customFormat="1" ht="12.75" customHeight="1">
      <c r="A41" s="136">
        <v>25</v>
      </c>
      <c r="B41" s="137">
        <f t="shared" si="0"/>
        <v>2.3180000000000001</v>
      </c>
      <c r="C41" s="138">
        <f>Design!$D$6</f>
        <v>2</v>
      </c>
      <c r="D41" s="193">
        <f ca="1">IF( 100*(Design!$C$22+C41*(IF(ISBLANK(Design!$B$35),Constants!$C$6,Design!$B$35)/1000*(1+Constants!$C$36/100*(M41-25))+O41/1000))/($B41-C41*N41/1000) &gt; Design!$C$29, Design!$C$29, 100*(Design!$C$22+C41*(IF(ISBLANK(Design!$B$35),Constants!$C$6,Design!$B$35)/1000*(1+Constants!$C$36/100*(M41-25))+O41/1000))/($B41-C41*N41/1000) )</f>
        <v>84</v>
      </c>
      <c r="E41" s="139">
        <f ca="1">IF(($B41-C41*IF(ISBLANK(Design!$B$35),Constants!$C$6,Design!$B$35)/1000*(1+Constants!$C$36/100*(M41-25))-Design!$C$22)/(IF(ISBLANK(Design!$B$34),Design!$B$33,Design!$B$34)/1000000)*D41/100/(IF(ISBLANK(Design!$B$26),Design!$B$25,Design!$B$26)*1000000)&lt;0, 0, ($B41-C41*IF(ISBLANK(Design!$B$35),Constants!$C$6,Design!$B$35)/1000*(1+Constants!$C$36/100*(M41-25))-Design!$C$22)/(IF(ISBLANK(Design!$B$34),Design!$B$33,Design!$B$34)/1000000)*D41/100/(IF(ISBLANK(Design!$B$26),Design!$B$25,Design!$B$26)*1000000))</f>
        <v>0.21249531740064037</v>
      </c>
      <c r="F41" s="186">
        <f>$B41*Constants!$C$21/1000+IF(ISBLANK(Design!$B$26),Design!$B$25,Design!$B$26)*1000000*(Constants!$D$26+Constants!$D$27)/1000000000*$B41</f>
        <v>2.6425199999999999E-2</v>
      </c>
      <c r="G41" s="186">
        <f>$B41*C41*($B41/(Constants!$C$28*1000000000)*IF(ISBLANK(Design!$B$26),Design!$B$25,Design!$B$26)*1000000/2+$B41/(Constants!$C$29*1000000000)*IF(ISBLANK(Design!$B$26),Design!$B$25,Design!$B$26)*1000000/2)</f>
        <v>3.2238744E-2</v>
      </c>
      <c r="H41" s="186">
        <f t="shared" ca="1" si="1"/>
        <v>0.31239183533511106</v>
      </c>
      <c r="I41" s="186">
        <f t="shared" ca="1" si="2"/>
        <v>5.950320673049736E-2</v>
      </c>
      <c r="J41" s="186">
        <f>2*C41*Constants!$C$20/1000000000*Constants!$C$25*IF(ISBLANK(Design!$B$26),Design!$B$25,Design!$B$26)*1000000</f>
        <v>7.1999999999999995E-2</v>
      </c>
      <c r="K41" s="186">
        <f>(Constants!$D$26+Constants!$D$27)/1000000000*$B41*IF(ISBLANK(Design!$B$26),Design!$B$25,Design!$B$26)*1000000</f>
        <v>2.1789199999999995E-2</v>
      </c>
      <c r="L41" s="186">
        <f t="shared" ca="1" si="3"/>
        <v>0.52434818606560829</v>
      </c>
      <c r="M41" s="187">
        <f ca="1">L41*Design!$C$12+$A41</f>
        <v>50.168712931149201</v>
      </c>
      <c r="N41" s="187">
        <f ca="1">Constants!$D$22+Constants!$D$22*Constants!$C$24/100*(M41-25)</f>
        <v>92.886381020748388</v>
      </c>
      <c r="O41" s="187">
        <f ca="1">Constants!$D$23+Constants!$D$23*Constants!$C$24/100*(M41-25)</f>
        <v>75.470184579358062</v>
      </c>
      <c r="P41" s="186">
        <f ca="1">(1-Constants!$C$19/1000000000*Design!$B$26*1000000) * ($B41+C41*O41/1000-C41*N41/1000) - (C41*O41/1000+C41*(1+($A41-25)*Constants!$C$36/100)*IF(ISBLANK(Design!$B$35),Constants!$C$6/1000,Design!$B$35/1000))</f>
        <v>1.8905104772467811</v>
      </c>
      <c r="Q41" s="191">
        <f ca="1">IF(P41&gt;Design!$C$22,Design!$C$22,P41)</f>
        <v>1.7973333333333334</v>
      </c>
      <c r="R41" s="201">
        <f>2*Design!$D$6/3</f>
        <v>1.3333333333333333</v>
      </c>
      <c r="S41" s="202">
        <f ca="1">IF( 100*(Design!$C$22+R41*(IF(ISBLANK(Design!$B$35),Constants!$C$6,Design!$B$35)/1000*(1+Constants!$C$36/100*(AB41-25))+AD41/1000))/($B41-R41*AC41/1000) &gt; Design!$C$29, Design!$C$29, 100*(Design!$C$22+R41*(IF(ISBLANK(Design!$B$35),Constants!$C$6,Design!$B$35)/1000*(1+Constants!$C$36/100*(AB41-25))+AD41/1000))/($B41-R41*AC41/1000) )</f>
        <v>84</v>
      </c>
      <c r="T41" s="141">
        <f ca="1">IF(($B41-R41*IF(ISBLANK(Design!$B$35),Constants!$C$6,Design!$B$35)/1000*(1+Constants!$C$36/100*(AB41-25))-Design!$C$22)/(IF(ISBLANK(Design!$B$34),Design!$B$33,Design!$B$34)/1000000)*S41/100/(IF(ISBLANK(Design!$B$26),Design!$B$25,Design!$B$26)*1000000)&lt;0, 0, ($B41-R41*IF(ISBLANK(Design!$B$35),Constants!$C$6,Design!$B$35)/1000*(1+Constants!$C$36/100*(AB41-25))-Design!$C$22)/(IF(ISBLANK(Design!$B$34),Design!$B$33,Design!$B$34)/1000000)*S41/100/(IF(ISBLANK(Design!$B$26),Design!$B$25,Design!$B$26)*1000000))</f>
        <v>0.21473537645735474</v>
      </c>
      <c r="U41" s="203">
        <f>$B41*Constants!$C$21/1000+IF(ISBLANK(Design!$B$26),Design!$B$25,Design!$B$26)*1000000*(Constants!$D$26+Constants!$D$27)/1000000000*$B41</f>
        <v>2.6425199999999999E-2</v>
      </c>
      <c r="V41" s="203">
        <f>$B41*R41*($B41/(Constants!$C$28*1000000000)*IF(ISBLANK(Design!$B$26),Design!$B$25,Design!$B$26)*1000000/2+$B41/(Constants!$C$29*1000000000)*IF(ISBLANK(Design!$B$26),Design!$B$25,Design!$B$26)*1000000/2)</f>
        <v>2.1492496E-2</v>
      </c>
      <c r="W41" s="203">
        <f t="shared" ca="1" si="4"/>
        <v>0.12973452864144064</v>
      </c>
      <c r="X41" s="203">
        <f t="shared" ca="1" si="5"/>
        <v>2.4711338788845839E-2</v>
      </c>
      <c r="Y41" s="203">
        <f>2*R41*Constants!$C$20/1000000000*Constants!$C$25*IF(ISBLANK(Design!$B$26),Design!$B$25,Design!$B$26)*1000000</f>
        <v>4.8000000000000001E-2</v>
      </c>
      <c r="Z41" s="203">
        <f>(Constants!$D$26+Constants!$D$27)/1000000000*$B41*IF(ISBLANK(Design!$B$26),Design!$B$25,Design!$B$26)*1000000</f>
        <v>2.1789199999999995E-2</v>
      </c>
      <c r="AA41" s="203">
        <f t="shared" ca="1" si="6"/>
        <v>0.27215276343028649</v>
      </c>
      <c r="AB41" s="204">
        <f ca="1">AA41*Design!$C$12+$A41</f>
        <v>38.063332644653755</v>
      </c>
      <c r="AC41" s="204">
        <f ca="1">Constants!$D$22+Constants!$D$22*Constants!$C$24/100*(AB41-25)</f>
        <v>86.688426314062724</v>
      </c>
      <c r="AD41" s="204">
        <f ca="1">Constants!$D$23+Constants!$D$23*Constants!$C$24/100*(AB41-25)</f>
        <v>70.434346380175967</v>
      </c>
      <c r="AE41" s="203">
        <f ca="1">(1-Constants!$C$19/1000000000*Design!$B$26*1000000) * ($B41+R41*AD41/1000-R41*AC41/1000) - (R41*AD41/1000+R41*(1+($A41-25)*Constants!$C$36/100)*IF(ISBLANK(Design!$B$35),Constants!$C$6/1000,Design!$B$35/1000))</f>
        <v>1.963849308905768</v>
      </c>
      <c r="AF41" s="308">
        <f ca="1">IF(AE41&gt;Design!$C$22,Design!$C$22,AE41)</f>
        <v>1.7973333333333334</v>
      </c>
      <c r="AG41" s="142">
        <f>Design!$D$6/3</f>
        <v>0.66666666666666663</v>
      </c>
      <c r="AH41" s="216">
        <f ca="1">IF( 100*(Design!$C$22+AG41*(IF(ISBLANK(Design!$B$35),Constants!$C$6,Design!$B$35)/1000*(1+Constants!$C$36/100*(AQ41-25))+AS41/1000))/($B41-AG41*AR41/1000) &gt; Design!$C$29, Design!$C$29, 100*(Design!$C$22+AG41*(IF(ISBLANK(Design!$B$35),Constants!$C$6,Design!$B$35)/1000*(1+Constants!$C$36/100*(AQ41-25))+AS41/1000))/($B41-AG41*AR41/1000) )</f>
        <v>81.620856645443055</v>
      </c>
      <c r="AI41" s="143">
        <f ca="1">IF(($B41-AG41*IF(ISBLANK(Design!$B$35),Constants!$C$6,Design!$B$35)/1000*(1+Constants!$C$36/100*(AQ41-25))-Design!$C$22)/(IF(ISBLANK(Design!$B$34),Design!$B$33,Design!$B$34)/1000000)*AH41/100/(IF(ISBLANK(Design!$B$26),Design!$B$25,Design!$B$26)*1000000)&lt;0, 0, ($B41-AG41*IF(ISBLANK(Design!$B$35),Constants!$C$6,Design!$B$35)/1000*(1+Constants!$C$36/100*(AQ41-25))-Design!$C$22)/(IF(ISBLANK(Design!$B$34),Design!$B$33,Design!$B$34)/1000000)*AH41/100/(IF(ISBLANK(Design!$B$26),Design!$B$25,Design!$B$26)*1000000))</f>
        <v>0.21062212071165659</v>
      </c>
      <c r="AJ41" s="217">
        <f>$B41*Constants!$C$21/1000+IF(ISBLANK(Design!$B$26),Design!$B$25,Design!$B$26)*1000000*(Constants!$D$26+Constants!$D$27)/1000000000*$B41</f>
        <v>2.6425199999999999E-2</v>
      </c>
      <c r="AK41" s="217">
        <f>$B41*AG41*($B41/(Constants!$C$28*1000000000)*IF(ISBLANK(Design!$B$26),Design!$B$25,Design!$B$26)*1000000/2+$B41/(Constants!$C$29*1000000000)*IF(ISBLANK(Design!$B$26),Design!$B$25,Design!$B$26)*1000000/2)</f>
        <v>1.0746248E-2</v>
      </c>
      <c r="AL41" s="217">
        <f t="shared" ca="1" si="7"/>
        <v>3.0342071782315728E-2</v>
      </c>
      <c r="AM41" s="217">
        <f t="shared" ca="1" si="8"/>
        <v>6.8323380797617817E-3</v>
      </c>
      <c r="AN41" s="217">
        <f>2*AG41*Constants!$C$20/1000000000*Constants!$C$25*IF(ISBLANK(Design!$B$26),Design!$B$25,Design!$B$26)*1000000</f>
        <v>2.4E-2</v>
      </c>
      <c r="AO41" s="217">
        <f>(Constants!$D$26+Constants!$D$27)/1000000000*$B41*IF(ISBLANK(Design!$B$26),Design!$B$25,Design!$B$26)*1000000</f>
        <v>2.1789199999999995E-2</v>
      </c>
      <c r="AP41" s="217">
        <f t="shared" ca="1" si="9"/>
        <v>0.1201350578620775</v>
      </c>
      <c r="AQ41" s="218">
        <f ca="1">AP41*Design!$C$12+$A41</f>
        <v>30.766482777379721</v>
      </c>
      <c r="AR41" s="218">
        <f ca="1">Constants!$D$22+Constants!$D$22*Constants!$C$24/100*(AQ41-25)</f>
        <v>82.952439182018423</v>
      </c>
      <c r="AS41" s="218">
        <f ca="1">Constants!$D$23+Constants!$D$23*Constants!$C$24/100*(AQ41-25)</f>
        <v>67.398856835389964</v>
      </c>
      <c r="AT41" s="217">
        <f ca="1">(1-Constants!$C$19/1000000000*Design!$B$26*1000000) * ($B41+AG41*AS41/1000-AG41*AR41/1000) - (AG41*AS41/1000+AG41*(1+($A41-25)*Constants!$C$36/100)*IF(ISBLANK(Design!$B$35),Constants!$C$6/1000,Design!$B$35/1000))</f>
        <v>2.0274686127017634</v>
      </c>
      <c r="AU41" s="311">
        <f ca="1">IF(AT41&gt;Design!$C$22,Design!$C$22,AT41)</f>
        <v>1.7973333333333334</v>
      </c>
    </row>
    <row r="42" spans="1:47" s="144" customFormat="1" ht="12.75" customHeight="1">
      <c r="A42" s="136">
        <v>25</v>
      </c>
      <c r="B42" s="137">
        <f t="shared" si="0"/>
        <v>2.2435</v>
      </c>
      <c r="C42" s="138">
        <f>Design!$D$6</f>
        <v>2</v>
      </c>
      <c r="D42" s="193">
        <f ca="1">IF( 100*(Design!$C$22+C42*(IF(ISBLANK(Design!$B$35),Constants!$C$6,Design!$B$35)/1000*(1+Constants!$C$36/100*(M42-25))+O42/1000))/($B42-C42*N42/1000) &gt; Design!$C$29, Design!$C$29, 100*(Design!$C$22+C42*(IF(ISBLANK(Design!$B$35),Constants!$C$6,Design!$B$35)/1000*(1+Constants!$C$36/100*(M42-25))+O42/1000))/($B42-C42*N42/1000) )</f>
        <v>84</v>
      </c>
      <c r="E42" s="139">
        <f ca="1">IF(($B42-C42*IF(ISBLANK(Design!$B$35),Constants!$C$6,Design!$B$35)/1000*(1+Constants!$C$36/100*(M42-25))-Design!$C$22)/(IF(ISBLANK(Design!$B$34),Design!$B$33,Design!$B$34)/1000000)*D42/100/(IF(ISBLANK(Design!$B$26),Design!$B$25,Design!$B$26)*1000000)&lt;0, 0, ($B42-C42*IF(ISBLANK(Design!$B$35),Constants!$C$6,Design!$B$35)/1000*(1+Constants!$C$36/100*(M42-25))-Design!$C$22)/(IF(ISBLANK(Design!$B$34),Design!$B$33,Design!$B$34)/1000000)*D42/100/(IF(ISBLANK(Design!$B$26),Design!$B$25,Design!$B$26)*1000000))</f>
        <v>0.18120965522398214</v>
      </c>
      <c r="F42" s="186">
        <f>$B42*Constants!$C$21/1000+IF(ISBLANK(Design!$B$26),Design!$B$25,Design!$B$26)*1000000*(Constants!$D$26+Constants!$D$27)/1000000000*$B42</f>
        <v>2.5575899999999999E-2</v>
      </c>
      <c r="G42" s="186">
        <f>$B42*C42*($B42/(Constants!$C$28*1000000000)*IF(ISBLANK(Design!$B$26),Design!$B$25,Design!$B$26)*1000000/2+$B42/(Constants!$C$29*1000000000)*IF(ISBLANK(Design!$B$26),Design!$B$25,Design!$B$26)*1000000/2)</f>
        <v>3.0199753499999999E-2</v>
      </c>
      <c r="H42" s="186">
        <f t="shared" ca="1" si="1"/>
        <v>0.3119741249786005</v>
      </c>
      <c r="I42" s="186">
        <f t="shared" ca="1" si="2"/>
        <v>5.9423642853066769E-2</v>
      </c>
      <c r="J42" s="186">
        <f>2*C42*Constants!$C$20/1000000000*Constants!$C$25*IF(ISBLANK(Design!$B$26),Design!$B$25,Design!$B$26)*1000000</f>
        <v>7.1999999999999995E-2</v>
      </c>
      <c r="K42" s="186">
        <f>(Constants!$D$26+Constants!$D$27)/1000000000*$B42*IF(ISBLANK(Design!$B$26),Design!$B$25,Design!$B$26)*1000000</f>
        <v>2.1088899999999997E-2</v>
      </c>
      <c r="L42" s="186">
        <f t="shared" ca="1" si="3"/>
        <v>0.52026232133166728</v>
      </c>
      <c r="M42" s="187">
        <f ca="1">L42*Design!$C$12+$A42</f>
        <v>49.972591423920029</v>
      </c>
      <c r="N42" s="187">
        <f ca="1">Constants!$D$22+Constants!$D$22*Constants!$C$24/100*(M42-25)</f>
        <v>92.785966809047054</v>
      </c>
      <c r="O42" s="187">
        <f ca="1">Constants!$D$23+Constants!$D$23*Constants!$C$24/100*(M42-25)</f>
        <v>75.388598032350728</v>
      </c>
      <c r="P42" s="186">
        <f ca="1">(1-Constants!$C$19/1000000000*Design!$B$26*1000000) * ($B42+C42*O42/1000-C42*N42/1000) - (C42*O42/1000+C42*(1+($A42-25)*Constants!$C$36/100)*IF(ISBLANK(Design!$B$35),Constants!$C$6/1000,Design!$B$35/1000))</f>
        <v>1.8236575401372457</v>
      </c>
      <c r="Q42" s="191">
        <f ca="1">IF(P42&gt;Design!$C$22,Design!$C$22,P42)</f>
        <v>1.7973333333333334</v>
      </c>
      <c r="R42" s="201">
        <f>2*Design!$D$6/3</f>
        <v>1.3333333333333333</v>
      </c>
      <c r="S42" s="202">
        <f ca="1">IF( 100*(Design!$C$22+R42*(IF(ISBLANK(Design!$B$35),Constants!$C$6,Design!$B$35)/1000*(1+Constants!$C$36/100*(AB42-25))+AD42/1000))/($B42-R42*AC42/1000) &gt; Design!$C$29, Design!$C$29, 100*(Design!$C$22+R42*(IF(ISBLANK(Design!$B$35),Constants!$C$6,Design!$B$35)/1000*(1+Constants!$C$36/100*(AB42-25))+AD42/1000))/($B42-R42*AC42/1000) )</f>
        <v>84</v>
      </c>
      <c r="T42" s="141">
        <f ca="1">IF(($B42-R42*IF(ISBLANK(Design!$B$35),Constants!$C$6,Design!$B$35)/1000*(1+Constants!$C$36/100*(AB42-25))-Design!$C$22)/(IF(ISBLANK(Design!$B$34),Design!$B$33,Design!$B$34)/1000000)*S42/100/(IF(ISBLANK(Design!$B$26),Design!$B$25,Design!$B$26)*1000000)&lt;0, 0, ($B42-R42*IF(ISBLANK(Design!$B$35),Constants!$C$6,Design!$B$35)/1000*(1+Constants!$C$36/100*(AB42-25))-Design!$C$22)/(IF(ISBLANK(Design!$B$34),Design!$B$33,Design!$B$34)/1000000)*S42/100/(IF(ISBLANK(Design!$B$26),Design!$B$25,Design!$B$26)*1000000))</f>
        <v>0.18344759616236417</v>
      </c>
      <c r="U42" s="203">
        <f>$B42*Constants!$C$21/1000+IF(ISBLANK(Design!$B$26),Design!$B$25,Design!$B$26)*1000000*(Constants!$D$26+Constants!$D$27)/1000000000*$B42</f>
        <v>2.5575899999999999E-2</v>
      </c>
      <c r="V42" s="203">
        <f>$B42*R42*($B42/(Constants!$C$28*1000000000)*IF(ISBLANK(Design!$B$26),Design!$B$25,Design!$B$26)*1000000/2+$B42/(Constants!$C$29*1000000000)*IF(ISBLANK(Design!$B$26),Design!$B$25,Design!$B$26)*1000000/2)</f>
        <v>2.0133168999999999E-2</v>
      </c>
      <c r="W42" s="203">
        <f t="shared" ca="1" si="4"/>
        <v>0.1295436502928321</v>
      </c>
      <c r="X42" s="203">
        <f t="shared" ca="1" si="5"/>
        <v>2.46749810081585E-2</v>
      </c>
      <c r="Y42" s="203">
        <f>2*R42*Constants!$C$20/1000000000*Constants!$C$25*IF(ISBLANK(Design!$B$26),Design!$B$25,Design!$B$26)*1000000</f>
        <v>4.8000000000000001E-2</v>
      </c>
      <c r="Z42" s="203">
        <f>(Constants!$D$26+Constants!$D$27)/1000000000*$B42*IF(ISBLANK(Design!$B$26),Design!$B$25,Design!$B$26)*1000000</f>
        <v>2.1088899999999997E-2</v>
      </c>
      <c r="AA42" s="203">
        <f t="shared" ca="1" si="6"/>
        <v>0.26901660030099062</v>
      </c>
      <c r="AB42" s="204">
        <f ca="1">AA42*Design!$C$12+$A42</f>
        <v>37.912796814447546</v>
      </c>
      <c r="AC42" s="204">
        <f ca="1">Constants!$D$22+Constants!$D$22*Constants!$C$24/100*(AB42-25)</f>
        <v>86.611351968997141</v>
      </c>
      <c r="AD42" s="204">
        <f ca="1">Constants!$D$23+Constants!$D$23*Constants!$C$24/100*(AB42-25)</f>
        <v>70.371723474810182</v>
      </c>
      <c r="AE42" s="203">
        <f ca="1">(1-Constants!$C$19/1000000000*Design!$B$26*1000000) * ($B42+R42*AD42/1000-R42*AC42/1000) - (R42*AD42/1000+R42*(1+($A42-25)*Constants!$C$36/100)*IF(ISBLANK(Design!$B$35),Constants!$C$6/1000,Design!$B$35/1000))</f>
        <v>1.896900147840562</v>
      </c>
      <c r="AF42" s="308">
        <f ca="1">IF(AE42&gt;Design!$C$22,Design!$C$22,AE42)</f>
        <v>1.7973333333333334</v>
      </c>
      <c r="AG42" s="142">
        <f>Design!$D$6/3</f>
        <v>0.66666666666666663</v>
      </c>
      <c r="AH42" s="216">
        <f ca="1">IF( 100*(Design!$C$22+AG42*(IF(ISBLANK(Design!$B$35),Constants!$C$6,Design!$B$35)/1000*(1+Constants!$C$36/100*(AQ42-25))+AS42/1000))/($B42-AG42*AR42/1000) &gt; Design!$C$29, Design!$C$29, 100*(Design!$C$22+AG42*(IF(ISBLANK(Design!$B$35),Constants!$C$6,Design!$B$35)/1000*(1+Constants!$C$36/100*(AQ42-25))+AS42/1000))/($B42-AG42*AR42/1000) )</f>
        <v>84</v>
      </c>
      <c r="AI42" s="143">
        <f ca="1">IF(($B42-AG42*IF(ISBLANK(Design!$B$35),Constants!$C$6,Design!$B$35)/1000*(1+Constants!$C$36/100*(AQ42-25))-Design!$C$22)/(IF(ISBLANK(Design!$B$34),Design!$B$33,Design!$B$34)/1000000)*AH42/100/(IF(ISBLANK(Design!$B$26),Design!$B$25,Design!$B$26)*1000000)&lt;0, 0, ($B42-AG42*IF(ISBLANK(Design!$B$35),Constants!$C$6,Design!$B$35)/1000*(1+Constants!$C$36/100*(AQ42-25))-Design!$C$22)/(IF(ISBLANK(Design!$B$34),Design!$B$33,Design!$B$34)/1000000)*AH42/100/(IF(ISBLANK(Design!$B$26),Design!$B$25,Design!$B$26)*1000000))</f>
        <v>0.18547230788822996</v>
      </c>
      <c r="AJ42" s="217">
        <f>$B42*Constants!$C$21/1000+IF(ISBLANK(Design!$B$26),Design!$B$25,Design!$B$26)*1000000*(Constants!$D$26+Constants!$D$27)/1000000000*$B42</f>
        <v>2.5575899999999999E-2</v>
      </c>
      <c r="AK42" s="217">
        <f>$B42*AG42*($B42/(Constants!$C$28*1000000000)*IF(ISBLANK(Design!$B$26),Design!$B$25,Design!$B$26)*1000000/2+$B42/(Constants!$C$29*1000000000)*IF(ISBLANK(Design!$B$26),Design!$B$25,Design!$B$26)*1000000/2)</f>
        <v>1.00665845E-2</v>
      </c>
      <c r="AL42" s="217">
        <f t="shared" ca="1" si="7"/>
        <v>3.1147202688834166E-2</v>
      </c>
      <c r="AM42" s="217">
        <f t="shared" ca="1" si="8"/>
        <v>5.932800512158891E-3</v>
      </c>
      <c r="AN42" s="217">
        <f>2*AG42*Constants!$C$20/1000000000*Constants!$C$25*IF(ISBLANK(Design!$B$26),Design!$B$25,Design!$B$26)*1000000</f>
        <v>2.4E-2</v>
      </c>
      <c r="AO42" s="217">
        <f>(Constants!$D$26+Constants!$D$27)/1000000000*$B42*IF(ISBLANK(Design!$B$26),Design!$B$25,Design!$B$26)*1000000</f>
        <v>2.1088899999999997E-2</v>
      </c>
      <c r="AP42" s="217">
        <f t="shared" ca="1" si="9"/>
        <v>0.11781138770099306</v>
      </c>
      <c r="AQ42" s="218">
        <f ca="1">AP42*Design!$C$12+$A42</f>
        <v>30.654946609647666</v>
      </c>
      <c r="AR42" s="218">
        <f ca="1">Constants!$D$22+Constants!$D$22*Constants!$C$24/100*(AQ42-25)</f>
        <v>82.895332664139602</v>
      </c>
      <c r="AS42" s="218">
        <f ca="1">Constants!$D$23+Constants!$D$23*Constants!$C$24/100*(AQ42-25)</f>
        <v>67.352457789613425</v>
      </c>
      <c r="AT42" s="217">
        <f ca="1">(1-Constants!$C$19/1000000000*Design!$B$26*1000000) * ($B42+AG42*AS42/1000-AG42*AR42/1000) - (AG42*AS42/1000+AG42*(1+($A42-25)*Constants!$C$36/100)*IF(ISBLANK(Design!$B$35),Constants!$C$6/1000,Design!$B$35/1000))</f>
        <v>1.9604559698822088</v>
      </c>
      <c r="AU42" s="311">
        <f ca="1">IF(AT42&gt;Design!$C$22,Design!$C$22,AT42)</f>
        <v>1.7973333333333334</v>
      </c>
    </row>
    <row r="43" spans="1:47" s="144" customFormat="1" ht="12.75" customHeight="1">
      <c r="A43" s="136">
        <v>25</v>
      </c>
      <c r="B43" s="137">
        <f t="shared" si="0"/>
        <v>2.169</v>
      </c>
      <c r="C43" s="138">
        <f>Design!$D$6</f>
        <v>2</v>
      </c>
      <c r="D43" s="193">
        <f ca="1">IF( 100*(Design!$C$22+C43*(IF(ISBLANK(Design!$B$35),Constants!$C$6,Design!$B$35)/1000*(1+Constants!$C$36/100*(M43-25))+O43/1000))/($B43-C43*N43/1000) &gt; Design!$C$29, Design!$C$29, 100*(Design!$C$22+C43*(IF(ISBLANK(Design!$B$35),Constants!$C$6,Design!$B$35)/1000*(1+Constants!$C$36/100*(M43-25))+O43/1000))/($B43-C43*N43/1000) )</f>
        <v>84</v>
      </c>
      <c r="E43" s="139">
        <f ca="1">IF(($B43-C43*IF(ISBLANK(Design!$B$35),Constants!$C$6,Design!$B$35)/1000*(1+Constants!$C$36/100*(M43-25))-Design!$C$22)/(IF(ISBLANK(Design!$B$34),Design!$B$33,Design!$B$34)/1000000)*D43/100/(IF(ISBLANK(Design!$B$26),Design!$B$25,Design!$B$26)*1000000)&lt;0, 0, ($B43-C43*IF(ISBLANK(Design!$B$35),Constants!$C$6,Design!$B$35)/1000*(1+Constants!$C$36/100*(M43-25))-Design!$C$22)/(IF(ISBLANK(Design!$B$34),Design!$B$33,Design!$B$34)/1000000)*D43/100/(IF(ISBLANK(Design!$B$26),Design!$B$25,Design!$B$26)*1000000))</f>
        <v>0.14992389657848354</v>
      </c>
      <c r="F43" s="186">
        <f>$B43*Constants!$C$21/1000+IF(ISBLANK(Design!$B$26),Design!$B$25,Design!$B$26)*1000000*(Constants!$D$26+Constants!$D$27)/1000000000*$B43</f>
        <v>2.4726599999999994E-2</v>
      </c>
      <c r="G43" s="186">
        <f>$B43*C43*($B43/(Constants!$C$28*1000000000)*IF(ISBLANK(Design!$B$26),Design!$B$25,Design!$B$26)*1000000/2+$B43/(Constants!$C$29*1000000000)*IF(ISBLANK(Design!$B$26),Design!$B$25,Design!$B$26)*1000000/2)</f>
        <v>2.8227366E-2</v>
      </c>
      <c r="H43" s="186">
        <f t="shared" ca="1" si="1"/>
        <v>0.31157679515028608</v>
      </c>
      <c r="I43" s="186">
        <f t="shared" ca="1" si="2"/>
        <v>5.9347960981006899E-2</v>
      </c>
      <c r="J43" s="186">
        <f>2*C43*Constants!$C$20/1000000000*Constants!$C$25*IF(ISBLANK(Design!$B$26),Design!$B$25,Design!$B$26)*1000000</f>
        <v>7.1999999999999995E-2</v>
      </c>
      <c r="K43" s="186">
        <f>(Constants!$D$26+Constants!$D$27)/1000000000*$B43*IF(ISBLANK(Design!$B$26),Design!$B$25,Design!$B$26)*1000000</f>
        <v>2.0388599999999996E-2</v>
      </c>
      <c r="L43" s="186">
        <f t="shared" ca="1" si="3"/>
        <v>0.516267322131293</v>
      </c>
      <c r="M43" s="187">
        <f ca="1">L43*Design!$C$12+$A43</f>
        <v>49.780831462302061</v>
      </c>
      <c r="N43" s="187">
        <f ca="1">Constants!$D$22+Constants!$D$22*Constants!$C$24/100*(M43-25)</f>
        <v>92.687785708698655</v>
      </c>
      <c r="O43" s="187">
        <f ca="1">Constants!$D$23+Constants!$D$23*Constants!$C$24/100*(M43-25)</f>
        <v>75.308825888317656</v>
      </c>
      <c r="P43" s="186">
        <f ca="1">(1-Constants!$C$19/1000000000*Design!$B$26*1000000) * ($B43+C43*O43/1000-C43*N43/1000) - (C43*O43/1000+C43*(1+($A43-25)*Constants!$C$36/100)*IF(ISBLANK(Design!$B$35),Constants!$C$6/1000,Design!$B$35/1000))</f>
        <v>1.7568002205466788</v>
      </c>
      <c r="Q43" s="191">
        <f ca="1">IF(P43&gt;Design!$C$22,Design!$C$22,P43)</f>
        <v>1.7568002205466788</v>
      </c>
      <c r="R43" s="201">
        <f>2*Design!$D$6/3</f>
        <v>1.3333333333333333</v>
      </c>
      <c r="S43" s="202">
        <f ca="1">IF( 100*(Design!$C$22+R43*(IF(ISBLANK(Design!$B$35),Constants!$C$6,Design!$B$35)/1000*(1+Constants!$C$36/100*(AB43-25))+AD43/1000))/($B43-R43*AC43/1000) &gt; Design!$C$29, Design!$C$29, 100*(Design!$C$22+R43*(IF(ISBLANK(Design!$B$35),Constants!$C$6,Design!$B$35)/1000*(1+Constants!$C$36/100*(AB43-25))+AD43/1000))/($B43-R43*AC43/1000) )</f>
        <v>84</v>
      </c>
      <c r="T43" s="141">
        <f ca="1">IF(($B43-R43*IF(ISBLANK(Design!$B$35),Constants!$C$6,Design!$B$35)/1000*(1+Constants!$C$36/100*(AB43-25))-Design!$C$22)/(IF(ISBLANK(Design!$B$34),Design!$B$33,Design!$B$34)/1000000)*S43/100/(IF(ISBLANK(Design!$B$26),Design!$B$25,Design!$B$26)*1000000)&lt;0, 0, ($B43-R43*IF(ISBLANK(Design!$B$35),Constants!$C$6,Design!$B$35)/1000*(1+Constants!$C$36/100*(AB43-25))-Design!$C$22)/(IF(ISBLANK(Design!$B$34),Design!$B$33,Design!$B$34)/1000000)*S43/100/(IF(ISBLANK(Design!$B$26),Design!$B$25,Design!$B$26)*1000000))</f>
        <v>0.1521597724350956</v>
      </c>
      <c r="U43" s="203">
        <f>$B43*Constants!$C$21/1000+IF(ISBLANK(Design!$B$26),Design!$B$25,Design!$B$26)*1000000*(Constants!$D$26+Constants!$D$27)/1000000000*$B43</f>
        <v>2.4726599999999994E-2</v>
      </c>
      <c r="V43" s="203">
        <f>$B43*R43*($B43/(Constants!$C$28*1000000000)*IF(ISBLANK(Design!$B$26),Design!$B$25,Design!$B$26)*1000000/2+$B43/(Constants!$C$29*1000000000)*IF(ISBLANK(Design!$B$26),Design!$B$25,Design!$B$26)*1000000/2)</f>
        <v>1.8818243999999998E-2</v>
      </c>
      <c r="W43" s="203">
        <f t="shared" ca="1" si="4"/>
        <v>0.12936702030056665</v>
      </c>
      <c r="X43" s="203">
        <f t="shared" ca="1" si="5"/>
        <v>2.4641337200107936E-2</v>
      </c>
      <c r="Y43" s="203">
        <f>2*R43*Constants!$C$20/1000000000*Constants!$C$25*IF(ISBLANK(Design!$B$26),Design!$B$25,Design!$B$26)*1000000</f>
        <v>4.8000000000000001E-2</v>
      </c>
      <c r="Z43" s="203">
        <f>(Constants!$D$26+Constants!$D$27)/1000000000*$B43*IF(ISBLANK(Design!$B$26),Design!$B$25,Design!$B$26)*1000000</f>
        <v>2.0388599999999996E-2</v>
      </c>
      <c r="AA43" s="203">
        <f t="shared" ca="1" si="6"/>
        <v>0.26594180150067459</v>
      </c>
      <c r="AB43" s="204">
        <f ca="1">AA43*Design!$C$12+$A43</f>
        <v>37.765206472032382</v>
      </c>
      <c r="AC43" s="204">
        <f ca="1">Constants!$D$22+Constants!$D$22*Constants!$C$24/100*(AB43-25)</f>
        <v>86.535785713680582</v>
      </c>
      <c r="AD43" s="204">
        <f ca="1">Constants!$D$23+Constants!$D$23*Constants!$C$24/100*(AB43-25)</f>
        <v>70.310325892365469</v>
      </c>
      <c r="AE43" s="203">
        <f ca="1">(1-Constants!$C$19/1000000000*Design!$B$26*1000000) * ($B43+R43*AD43/1000-R43*AC43/1000) - (R43*AD43/1000+R43*(1+($A43-25)*Constants!$C$36/100)*IF(ISBLANK(Design!$B$35),Constants!$C$6/1000,Design!$B$35/1000))</f>
        <v>1.8299490136912679</v>
      </c>
      <c r="AF43" s="308">
        <f ca="1">IF(AE43&gt;Design!$C$22,Design!$C$22,AE43)</f>
        <v>1.7973333333333334</v>
      </c>
      <c r="AG43" s="142">
        <f>Design!$D$6/3</f>
        <v>0.66666666666666663</v>
      </c>
      <c r="AH43" s="216">
        <f ca="1">IF( 100*(Design!$C$22+AG43*(IF(ISBLANK(Design!$B$35),Constants!$C$6,Design!$B$35)/1000*(1+Constants!$C$36/100*(AQ43-25))+AS43/1000))/($B43-AG43*AR43/1000) &gt; Design!$C$29, Design!$C$29, 100*(Design!$C$22+AG43*(IF(ISBLANK(Design!$B$35),Constants!$C$6,Design!$B$35)/1000*(1+Constants!$C$36/100*(AQ43-25))+AS43/1000))/($B43-AG43*AR43/1000) )</f>
        <v>84</v>
      </c>
      <c r="AI43" s="143">
        <f ca="1">IF(($B43-AG43*IF(ISBLANK(Design!$B$35),Constants!$C$6,Design!$B$35)/1000*(1+Constants!$C$36/100*(AQ43-25))-Design!$C$22)/(IF(ISBLANK(Design!$B$34),Design!$B$33,Design!$B$34)/1000000)*AH43/100/(IF(ISBLANK(Design!$B$26),Design!$B$25,Design!$B$26)*1000000)&lt;0, 0, ($B43-AG43*IF(ISBLANK(Design!$B$35),Constants!$C$6,Design!$B$35)/1000*(1+Constants!$C$36/100*(AQ43-25))-Design!$C$22)/(IF(ISBLANK(Design!$B$34),Design!$B$33,Design!$B$34)/1000000)*AH43/100/(IF(ISBLANK(Design!$B$26),Design!$B$25,Design!$B$26)*1000000))</f>
        <v>0.15418312387560662</v>
      </c>
      <c r="AJ43" s="217">
        <f>$B43*Constants!$C$21/1000+IF(ISBLANK(Design!$B$26),Design!$B$25,Design!$B$26)*1000000*(Constants!$D$26+Constants!$D$27)/1000000000*$B43</f>
        <v>2.4726599999999994E-2</v>
      </c>
      <c r="AK43" s="217">
        <f>$B43*AG43*($B43/(Constants!$C$28*1000000000)*IF(ISBLANK(Design!$B$26),Design!$B$25,Design!$B$26)*1000000/2+$B43/(Constants!$C$29*1000000000)*IF(ISBLANK(Design!$B$26),Design!$B$25,Design!$B$26)*1000000/2)</f>
        <v>9.4091219999999989E-3</v>
      </c>
      <c r="AL43" s="217">
        <f t="shared" ca="1" si="7"/>
        <v>3.1064284668782628E-2</v>
      </c>
      <c r="AM43" s="217">
        <f t="shared" ca="1" si="8"/>
        <v>5.9170066035776443E-3</v>
      </c>
      <c r="AN43" s="217">
        <f>2*AG43*Constants!$C$20/1000000000*Constants!$C$25*IF(ISBLANK(Design!$B$26),Design!$B$25,Design!$B$26)*1000000</f>
        <v>2.4E-2</v>
      </c>
      <c r="AO43" s="217">
        <f>(Constants!$D$26+Constants!$D$27)/1000000000*$B43*IF(ISBLANK(Design!$B$26),Design!$B$25,Design!$B$26)*1000000</f>
        <v>2.0388599999999996E-2</v>
      </c>
      <c r="AP43" s="217">
        <f t="shared" ca="1" si="9"/>
        <v>0.11550561327236027</v>
      </c>
      <c r="AQ43" s="218">
        <f ca="1">AP43*Design!$C$12+$A43</f>
        <v>30.544269437073293</v>
      </c>
      <c r="AR43" s="218">
        <f ca="1">Constants!$D$22+Constants!$D$22*Constants!$C$24/100*(AQ43-25)</f>
        <v>82.838665951781522</v>
      </c>
      <c r="AS43" s="218">
        <f ca="1">Constants!$D$23+Constants!$D$23*Constants!$C$24/100*(AQ43-25)</f>
        <v>67.306416085822491</v>
      </c>
      <c r="AT43" s="217">
        <f ca="1">(1-Constants!$C$19/1000000000*Design!$B$26*1000000) * ($B43+AG43*AS43/1000-AG43*AR43/1000) - (AG43*AS43/1000+AG43*(1+($A43-25)*Constants!$C$36/100)*IF(ISBLANK(Design!$B$35),Constants!$C$6/1000,Design!$B$35/1000))</f>
        <v>1.8934430393565431</v>
      </c>
      <c r="AU43" s="311">
        <f ca="1">IF(AT43&gt;Design!$C$22,Design!$C$22,AT43)</f>
        <v>1.7973333333333334</v>
      </c>
    </row>
    <row r="44" spans="1:47" s="144" customFormat="1" ht="12.75" customHeight="1">
      <c r="A44" s="136">
        <v>25</v>
      </c>
      <c r="B44" s="137">
        <f t="shared" si="0"/>
        <v>2.0945</v>
      </c>
      <c r="C44" s="138">
        <f>Design!$D$6</f>
        <v>2</v>
      </c>
      <c r="D44" s="193">
        <f ca="1">IF( 100*(Design!$C$22+C44*(IF(ISBLANK(Design!$B$35),Constants!$C$6,Design!$B$35)/1000*(1+Constants!$C$36/100*(M44-25))+O44/1000))/($B44-C44*N44/1000) &gt; Design!$C$29, Design!$C$29, 100*(Design!$C$22+C44*(IF(ISBLANK(Design!$B$35),Constants!$C$6,Design!$B$35)/1000*(1+Constants!$C$36/100*(M44-25))+O44/1000))/($B44-C44*N44/1000) )</f>
        <v>84</v>
      </c>
      <c r="E44" s="139">
        <f ca="1">IF(($B44-C44*IF(ISBLANK(Design!$B$35),Constants!$C$6,Design!$B$35)/1000*(1+Constants!$C$36/100*(M44-25))-Design!$C$22)/(IF(ISBLANK(Design!$B$34),Design!$B$33,Design!$B$34)/1000000)*D44/100/(IF(ISBLANK(Design!$B$26),Design!$B$25,Design!$B$26)*1000000)&lt;0, 0, ($B44-C44*IF(ISBLANK(Design!$B$35),Constants!$C$6,Design!$B$35)/1000*(1+Constants!$C$36/100*(M44-25))-Design!$C$22)/(IF(ISBLANK(Design!$B$34),Design!$B$33,Design!$B$34)/1000000)*D44/100/(IF(ISBLANK(Design!$B$26),Design!$B$25,Design!$B$26)*1000000))</f>
        <v>0.11863804152736493</v>
      </c>
      <c r="F44" s="186">
        <f>$B44*Constants!$C$21/1000+IF(ISBLANK(Design!$B$26),Design!$B$25,Design!$B$26)*1000000*(Constants!$D$26+Constants!$D$27)/1000000000*$B44</f>
        <v>2.3877299999999997E-2</v>
      </c>
      <c r="G44" s="186">
        <f>$B44*C44*($B44/(Constants!$C$28*1000000000)*IF(ISBLANK(Design!$B$26),Design!$B$25,Design!$B$26)*1000000/2+$B44/(Constants!$C$29*1000000000)*IF(ISBLANK(Design!$B$26),Design!$B$25,Design!$B$26)*1000000/2)</f>
        <v>2.63215815E-2</v>
      </c>
      <c r="H44" s="186">
        <f t="shared" ca="1" si="1"/>
        <v>0.3111997958297843</v>
      </c>
      <c r="I44" s="186">
        <f t="shared" ca="1" si="2"/>
        <v>5.9276151586625588E-2</v>
      </c>
      <c r="J44" s="186">
        <f>2*C44*Constants!$C$20/1000000000*Constants!$C$25*IF(ISBLANK(Design!$B$26),Design!$B$25,Design!$B$26)*1000000</f>
        <v>7.1999999999999995E-2</v>
      </c>
      <c r="K44" s="186">
        <f>(Constants!$D$26+Constants!$D$27)/1000000000*$B44*IF(ISBLANK(Design!$B$26),Design!$B$25,Design!$B$26)*1000000</f>
        <v>1.9688299999999995E-2</v>
      </c>
      <c r="L44" s="186">
        <f t="shared" ca="1" si="3"/>
        <v>0.51236312891640989</v>
      </c>
      <c r="M44" s="187">
        <f ca="1">L44*Design!$C$12+$A44</f>
        <v>49.593430187987678</v>
      </c>
      <c r="N44" s="187">
        <f ca="1">Constants!$D$22+Constants!$D$22*Constants!$C$24/100*(M44-25)</f>
        <v>92.591836256249692</v>
      </c>
      <c r="O44" s="187">
        <f ca="1">Constants!$D$23+Constants!$D$23*Constants!$C$24/100*(M44-25)</f>
        <v>75.230866958202881</v>
      </c>
      <c r="P44" s="186">
        <f ca="1">(1-Constants!$C$19/1000000000*Design!$B$26*1000000) * ($B44+C44*O44/1000-C44*N44/1000) - (C44*O44/1000+C44*(1+($A44-25)*Constants!$C$36/100)*IF(ISBLANK(Design!$B$35),Constants!$C$6/1000,Design!$B$35/1000))</f>
        <v>1.6899385213471103</v>
      </c>
      <c r="Q44" s="191">
        <f ca="1">IF(P44&gt;Design!$C$22,Design!$C$22,P44)</f>
        <v>1.6899385213471103</v>
      </c>
      <c r="R44" s="201">
        <f>2*Design!$D$6/3</f>
        <v>1.3333333333333333</v>
      </c>
      <c r="S44" s="202">
        <f ca="1">IF( 100*(Design!$C$22+R44*(IF(ISBLANK(Design!$B$35),Constants!$C$6,Design!$B$35)/1000*(1+Constants!$C$36/100*(AB44-25))+AD44/1000))/($B44-R44*AC44/1000) &gt; Design!$C$29, Design!$C$29, 100*(Design!$C$22+R44*(IF(ISBLANK(Design!$B$35),Constants!$C$6,Design!$B$35)/1000*(1+Constants!$C$36/100*(AB44-25))+AD44/1000))/($B44-R44*AC44/1000) )</f>
        <v>84</v>
      </c>
      <c r="T44" s="141">
        <f ca="1">IF(($B44-R44*IF(ISBLANK(Design!$B$35),Constants!$C$6,Design!$B$35)/1000*(1+Constants!$C$36/100*(AB44-25))-Design!$C$22)/(IF(ISBLANK(Design!$B$34),Design!$B$33,Design!$B$34)/1000000)*S44/100/(IF(ISBLANK(Design!$B$26),Design!$B$25,Design!$B$26)*1000000)&lt;0, 0, ($B44-R44*IF(ISBLANK(Design!$B$35),Constants!$C$6,Design!$B$35)/1000*(1+Constants!$C$36/100*(AB44-25))-Design!$C$22)/(IF(ISBLANK(Design!$B$34),Design!$B$33,Design!$B$34)/1000000)*S44/100/(IF(ISBLANK(Design!$B$26),Design!$B$25,Design!$B$26)*1000000))</f>
        <v>0.12087190530581088</v>
      </c>
      <c r="U44" s="203">
        <f>$B44*Constants!$C$21/1000+IF(ISBLANK(Design!$B$26),Design!$B$25,Design!$B$26)*1000000*(Constants!$D$26+Constants!$D$27)/1000000000*$B44</f>
        <v>2.3877299999999997E-2</v>
      </c>
      <c r="V44" s="203">
        <f>$B44*R44*($B44/(Constants!$C$28*1000000000)*IF(ISBLANK(Design!$B$26),Design!$B$25,Design!$B$26)*1000000/2+$B44/(Constants!$C$29*1000000000)*IF(ISBLANK(Design!$B$26),Design!$B$25,Design!$B$26)*1000000/2)</f>
        <v>1.7547720999999999E-2</v>
      </c>
      <c r="W44" s="203">
        <f t="shared" ca="1" si="4"/>
        <v>0.12920460274958689</v>
      </c>
      <c r="X44" s="203">
        <f t="shared" ca="1" si="5"/>
        <v>2.4610400523730841E-2</v>
      </c>
      <c r="Y44" s="203">
        <f>2*R44*Constants!$C$20/1000000000*Constants!$C$25*IF(ISBLANK(Design!$B$26),Design!$B$25,Design!$B$26)*1000000</f>
        <v>4.8000000000000001E-2</v>
      </c>
      <c r="Z44" s="203">
        <f>(Constants!$D$26+Constants!$D$27)/1000000000*$B44*IF(ISBLANK(Design!$B$26),Design!$B$25,Design!$B$26)*1000000</f>
        <v>1.9688299999999995E-2</v>
      </c>
      <c r="AA44" s="203">
        <f t="shared" ca="1" si="6"/>
        <v>0.26292832427331775</v>
      </c>
      <c r="AB44" s="204">
        <f ca="1">AA44*Design!$C$12+$A44</f>
        <v>37.620559565119251</v>
      </c>
      <c r="AC44" s="204">
        <f ca="1">Constants!$D$22+Constants!$D$22*Constants!$C$24/100*(AB44-25)</f>
        <v>86.461726497341061</v>
      </c>
      <c r="AD44" s="204">
        <f ca="1">Constants!$D$23+Constants!$D$23*Constants!$C$24/100*(AB44-25)</f>
        <v>70.250152779089603</v>
      </c>
      <c r="AE44" s="203">
        <f ca="1">(1-Constants!$C$19/1000000000*Design!$B$26*1000000) * ($B44+R44*AD44/1000-R44*AC44/1000) - (R44*AD44/1000+R44*(1+($A44-25)*Constants!$C$36/100)*IF(ISBLANK(Design!$B$35),Constants!$C$6/1000,Design!$B$35/1000))</f>
        <v>1.7629959078326458</v>
      </c>
      <c r="AF44" s="308">
        <f ca="1">IF(AE44&gt;Design!$C$22,Design!$C$22,AE44)</f>
        <v>1.7629959078326458</v>
      </c>
      <c r="AG44" s="142">
        <f>Design!$D$6/3</f>
        <v>0.66666666666666663</v>
      </c>
      <c r="AH44" s="216">
        <f ca="1">IF( 100*(Design!$C$22+AG44*(IF(ISBLANK(Design!$B$35),Constants!$C$6,Design!$B$35)/1000*(1+Constants!$C$36/100*(AQ44-25))+AS44/1000))/($B44-AG44*AR44/1000) &gt; Design!$C$29, Design!$C$29, 100*(Design!$C$22+AG44*(IF(ISBLANK(Design!$B$35),Constants!$C$6,Design!$B$35)/1000*(1+Constants!$C$36/100*(AQ44-25))+AS44/1000))/($B44-AG44*AR44/1000) )</f>
        <v>84</v>
      </c>
      <c r="AI44" s="143">
        <f ca="1">IF(($B44-AG44*IF(ISBLANK(Design!$B$35),Constants!$C$6,Design!$B$35)/1000*(1+Constants!$C$36/100*(AQ44-25))-Design!$C$22)/(IF(ISBLANK(Design!$B$34),Design!$B$33,Design!$B$34)/1000000)*AH44/100/(IF(ISBLANK(Design!$B$26),Design!$B$25,Design!$B$26)*1000000)&lt;0, 0, ($B44-AG44*IF(ISBLANK(Design!$B$35),Constants!$C$6,Design!$B$35)/1000*(1+Constants!$C$36/100*(AQ44-25))-Design!$C$22)/(IF(ISBLANK(Design!$B$34),Design!$B$33,Design!$B$34)/1000000)*AH44/100/(IF(ISBLANK(Design!$B$26),Design!$B$25,Design!$B$26)*1000000))</f>
        <v>0.12289392705031367</v>
      </c>
      <c r="AJ44" s="217">
        <f>$B44*Constants!$C$21/1000+IF(ISBLANK(Design!$B$26),Design!$B$25,Design!$B$26)*1000000*(Constants!$D$26+Constants!$D$27)/1000000000*$B44</f>
        <v>2.3877299999999997E-2</v>
      </c>
      <c r="AK44" s="217">
        <f>$B44*AG44*($B44/(Constants!$C$28*1000000000)*IF(ISBLANK(Design!$B$26),Design!$B$25,Design!$B$26)*1000000/2+$B44/(Constants!$C$29*1000000000)*IF(ISBLANK(Design!$B$26),Design!$B$25,Design!$B$26)*1000000/2)</f>
        <v>8.7738604999999994E-3</v>
      </c>
      <c r="AL44" s="217">
        <f t="shared" ca="1" si="7"/>
        <v>3.0993130320689392E-2</v>
      </c>
      <c r="AM44" s="217">
        <f t="shared" ca="1" si="8"/>
        <v>5.9034533944170289E-3</v>
      </c>
      <c r="AN44" s="217">
        <f>2*AG44*Constants!$C$20/1000000000*Constants!$C$25*IF(ISBLANK(Design!$B$26),Design!$B$25,Design!$B$26)*1000000</f>
        <v>2.4E-2</v>
      </c>
      <c r="AO44" s="217">
        <f>(Constants!$D$26+Constants!$D$27)/1000000000*$B44*IF(ISBLANK(Design!$B$26),Design!$B$25,Design!$B$26)*1000000</f>
        <v>1.9688299999999995E-2</v>
      </c>
      <c r="AP44" s="217">
        <f t="shared" ca="1" si="9"/>
        <v>0.11323604421510641</v>
      </c>
      <c r="AQ44" s="218">
        <f ca="1">AP44*Design!$C$12+$A44</f>
        <v>30.435330122325109</v>
      </c>
      <c r="AR44" s="218">
        <f ca="1">Constants!$D$22+Constants!$D$22*Constants!$C$24/100*(AQ44-25)</f>
        <v>82.782889022630457</v>
      </c>
      <c r="AS44" s="218">
        <f ca="1">Constants!$D$23+Constants!$D$23*Constants!$C$24/100*(AQ44-25)</f>
        <v>67.261097330887239</v>
      </c>
      <c r="AT44" s="217">
        <f ca="1">(1-Constants!$C$19/1000000000*Design!$B$26*1000000) * ($B44+AG44*AS44/1000-AG44*AR44/1000) - (AG44*AS44/1000+AG44*(1+($A44-25)*Constants!$C$36/100)*IF(ISBLANK(Design!$B$35),Constants!$C$6/1000,Design!$B$35/1000))</f>
        <v>1.8264295267643624</v>
      </c>
      <c r="AU44" s="311">
        <f ca="1">IF(AT44&gt;Design!$C$22,Design!$C$22,AT44)</f>
        <v>1.7973333333333334</v>
      </c>
    </row>
    <row r="45" spans="1:47" s="144" customFormat="1" ht="12.75" customHeight="1" thickBot="1">
      <c r="A45" s="145">
        <v>25</v>
      </c>
      <c r="B45" s="146">
        <f>Constants!$C$7</f>
        <v>2.02</v>
      </c>
      <c r="C45" s="147">
        <f>Design!$D$6</f>
        <v>2</v>
      </c>
      <c r="D45" s="194">
        <f ca="1">IF( 100*(Design!$C$22+C45*(IF(ISBLANK(Design!$B$35),Constants!$C$6,Design!$B$35)/1000*(1+Constants!$C$36/100*(M45-25))+O45/1000))/($B45-C45*N45/1000) &gt; Design!$C$29, Design!$C$29, 100*(Design!$C$22+C45*(IF(ISBLANK(Design!$B$35),Constants!$C$6,Design!$B$35)/1000*(1+Constants!$C$36/100*(M45-25))+O45/1000))/($B45-C45*N45/1000) )</f>
        <v>84</v>
      </c>
      <c r="E45" s="148">
        <f ca="1">IF(($B45-C45*IF(ISBLANK(Design!$B$35),Constants!$C$6,Design!$B$35)/1000*(1+Constants!$C$36/100*(M45-25))-Design!$C$22)/(IF(ISBLANK(Design!$B$34),Design!$B$33,Design!$B$34)/1000000)*D45/100/(IF(ISBLANK(Design!$B$26),Design!$B$25,Design!$B$26)*1000000)&lt;0, 0, ($B45-C45*IF(ISBLANK(Design!$B$35),Constants!$C$6,Design!$B$35)/1000*(1+Constants!$C$36/100*(M45-25))-Design!$C$22)/(IF(ISBLANK(Design!$B$34),Design!$B$33,Design!$B$34)/1000000)*D45/100/(IF(ISBLANK(Design!$B$26),Design!$B$25,Design!$B$26)*1000000))</f>
        <v>8.735209013126978E-2</v>
      </c>
      <c r="F45" s="188">
        <f>$B45*Constants!$C$21/1000+IF(ISBLANK(Design!$B$26),Design!$B$25,Design!$B$26)*1000000*(Constants!$D$26+Constants!$D$27)/1000000000*$B45</f>
        <v>2.3028E-2</v>
      </c>
      <c r="G45" s="188">
        <f>$B45*C45*($B45/(Constants!$C$28*1000000000)*IF(ISBLANK(Design!$B$26),Design!$B$25,Design!$B$26)*1000000/2+$B45/(Constants!$C$29*1000000000)*IF(ISBLANK(Design!$B$26),Design!$B$25,Design!$B$26)*1000000/2)</f>
        <v>2.4482400000000001E-2</v>
      </c>
      <c r="H45" s="188">
        <f t="shared" ca="1" si="1"/>
        <v>0.31084307903520014</v>
      </c>
      <c r="I45" s="188">
        <f t="shared" ca="1" si="2"/>
        <v>5.9208205530514327E-2</v>
      </c>
      <c r="J45" s="188">
        <f>2*C45*Constants!$C$20/1000000000*Constants!$C$25*IF(ISBLANK(Design!$B$26),Design!$B$25,Design!$B$26)*1000000</f>
        <v>7.1999999999999995E-2</v>
      </c>
      <c r="K45" s="188">
        <f>(Constants!$D$26+Constants!$D$27)/1000000000*$B45*IF(ISBLANK(Design!$B$26),Design!$B$25,Design!$B$26)*1000000</f>
        <v>1.8987999999999998E-2</v>
      </c>
      <c r="L45" s="188">
        <f t="shared" ca="1" si="3"/>
        <v>0.50854968456571448</v>
      </c>
      <c r="M45" s="189">
        <f ca="1">L45*Design!$C$12+$A45</f>
        <v>49.410384859154291</v>
      </c>
      <c r="N45" s="189">
        <f ca="1">Constants!$D$22+Constants!$D$22*Constants!$C$24/100*(M45-25)</f>
        <v>92.498117047886993</v>
      </c>
      <c r="O45" s="189">
        <f ca="1">Constants!$D$23+Constants!$D$23*Constants!$C$24/100*(M45-25)</f>
        <v>75.154720101408188</v>
      </c>
      <c r="P45" s="188">
        <f ca="1">(1-Constants!$C$19/1000000000*Design!$B$26*1000000) * ($B45+C45*O45/1000-C45*N45/1000) - (C45*O45/1000+C45*(1+($A45-25)*Constants!$C$36/100)*IF(ISBLANK(Design!$B$35),Constants!$C$6/1000,Design!$B$35/1000))</f>
        <v>1.6230724452935219</v>
      </c>
      <c r="Q45" s="306">
        <f ca="1">IF(P45&gt;Design!$C$22,Design!$C$22,P45)</f>
        <v>1.6230724452935219</v>
      </c>
      <c r="R45" s="205">
        <f>2*Design!$D$6/3</f>
        <v>1.3333333333333333</v>
      </c>
      <c r="S45" s="206">
        <f ca="1">IF( 100*(Design!$C$22+R45*(IF(ISBLANK(Design!$B$35),Constants!$C$6,Design!$B$35)/1000*(1+Constants!$C$36/100*(AB45-25))+AD45/1000))/($B45-R45*AC45/1000) &gt; Design!$C$29, Design!$C$29, 100*(Design!$C$22+R45*(IF(ISBLANK(Design!$B$35),Constants!$C$6,Design!$B$35)/1000*(1+Constants!$C$36/100*(AB45-25))+AD45/1000))/($B45-R45*AC45/1000) )</f>
        <v>84</v>
      </c>
      <c r="T45" s="150">
        <f ca="1">IF(($B45-R45*IF(ISBLANK(Design!$B$35),Constants!$C$6,Design!$B$35)/1000*(1+Constants!$C$36/100*(AB45-25))-Design!$C$22)/(IF(ISBLANK(Design!$B$34),Design!$B$33,Design!$B$34)/1000000)*S45/100/(IF(ISBLANK(Design!$B$26),Design!$B$25,Design!$B$26)*1000000)&lt;0, 0, ($B45-R45*IF(ISBLANK(Design!$B$35),Constants!$C$6,Design!$B$35)/1000*(1+Constants!$C$36/100*(AB45-25))-Design!$C$22)/(IF(ISBLANK(Design!$B$34),Design!$B$33,Design!$B$34)/1000000)*S45/100/(IF(ISBLANK(Design!$B$26),Design!$B$25,Design!$B$26)*1000000))</f>
        <v>8.9583994803677666E-2</v>
      </c>
      <c r="U45" s="207">
        <f>$B45*Constants!$C$21/1000+IF(ISBLANK(Design!$B$26),Design!$B$25,Design!$B$26)*1000000*(Constants!$D$26+Constants!$D$27)/1000000000*$B45</f>
        <v>2.3028E-2</v>
      </c>
      <c r="V45" s="207">
        <f>$B45*R45*($B45/(Constants!$C$28*1000000000)*IF(ISBLANK(Design!$B$26),Design!$B$25,Design!$B$26)*1000000/2+$B45/(Constants!$C$29*1000000000)*IF(ISBLANK(Design!$B$26),Design!$B$25,Design!$B$26)*1000000/2)</f>
        <v>1.6321600000000002E-2</v>
      </c>
      <c r="W45" s="207">
        <f t="shared" ca="1" si="4"/>
        <v>0.12905636302340648</v>
      </c>
      <c r="X45" s="207">
        <f t="shared" ca="1" si="5"/>
        <v>2.4582164385410759E-2</v>
      </c>
      <c r="Y45" s="207">
        <f>2*R45*Constants!$C$20/1000000000*Constants!$C$25*IF(ISBLANK(Design!$B$26),Design!$B$25,Design!$B$26)*1000000</f>
        <v>4.8000000000000001E-2</v>
      </c>
      <c r="Z45" s="207">
        <f>(Constants!$D$26+Constants!$D$27)/1000000000*$B45*IF(ISBLANK(Design!$B$26),Design!$B$25,Design!$B$26)*1000000</f>
        <v>1.8987999999999998E-2</v>
      </c>
      <c r="AA45" s="207">
        <f t="shared" ca="1" si="6"/>
        <v>0.25997612740881726</v>
      </c>
      <c r="AB45" s="208">
        <f ca="1">AA45*Design!$C$12+$A45</f>
        <v>37.478854115623228</v>
      </c>
      <c r="AC45" s="208">
        <f ca="1">Constants!$D$22+Constants!$D$22*Constants!$C$24/100*(AB45-25)</f>
        <v>86.389173307199087</v>
      </c>
      <c r="AD45" s="208">
        <f ca="1">Constants!$D$23+Constants!$D$23*Constants!$C$24/100*(AB45-25)</f>
        <v>70.191203312099262</v>
      </c>
      <c r="AE45" s="207">
        <f ca="1">(1-Constants!$C$19/1000000000*Design!$B$26*1000000) * ($B45+R45*AD45/1000-R45*AC45/1000) - (R45*AD45/1000+R45*(1+($A45-25)*Constants!$C$36/100)*IF(ISBLANK(Design!$B$35),Constants!$C$6/1000,Design!$B$35/1000))</f>
        <v>1.6960408315897479</v>
      </c>
      <c r="AF45" s="309">
        <f ca="1">IF(AE45&gt;Design!$C$22,Design!$C$22,AE45)</f>
        <v>1.6960408315897479</v>
      </c>
      <c r="AG45" s="151">
        <f>Design!$D$6/3</f>
        <v>0.66666666666666663</v>
      </c>
      <c r="AH45" s="220">
        <f ca="1">IF( 100*(Design!$C$22+AG45*(IF(ISBLANK(Design!$B$35),Constants!$C$6,Design!$B$35)/1000*(1+Constants!$C$36/100*(AQ45-25))+AS45/1000))/($B45-AG45*AR45/1000) &gt; Design!$C$29, Design!$C$29, 100*(Design!$C$22+AG45*(IF(ISBLANK(Design!$B$35),Constants!$C$6,Design!$B$35)/1000*(1+Constants!$C$36/100*(AQ45-25))+AS45/1000))/($B45-AG45*AR45/1000) )</f>
        <v>84</v>
      </c>
      <c r="AI45" s="152">
        <f ca="1">IF(($B45-AG45*IF(ISBLANK(Design!$B$35),Constants!$C$6,Design!$B$35)/1000*(1+Constants!$C$36/100*(AQ45-25))-Design!$C$22)/(IF(ISBLANK(Design!$B$34),Design!$B$33,Design!$B$34)/1000000)*AH45/100/(IF(ISBLANK(Design!$B$26),Design!$B$25,Design!$B$26)*1000000)&lt;0, 0, ($B45-AG45*IF(ISBLANK(Design!$B$35),Constants!$C$6,Design!$B$35)/1000*(1+Constants!$C$36/100*(AQ45-25))-Design!$C$22)/(IF(ISBLANK(Design!$B$34),Design!$B$33,Design!$B$34)/1000000)*AH45/100/(IF(ISBLANK(Design!$B$26),Design!$B$25,Design!$B$26)*1000000))</f>
        <v>9.1604717422804349E-2</v>
      </c>
      <c r="AJ45" s="221">
        <f>$B45*Constants!$C$21/1000+IF(ISBLANK(Design!$B$26),Design!$B$25,Design!$B$26)*1000000*(Constants!$D$26+Constants!$D$27)/1000000000*$B45</f>
        <v>2.3028E-2</v>
      </c>
      <c r="AK45" s="221">
        <f>$B45*AG45*($B45/(Constants!$C$28*1000000000)*IF(ISBLANK(Design!$B$26),Design!$B$25,Design!$B$26)*1000000/2+$B45/(Constants!$C$29*1000000000)*IF(ISBLANK(Design!$B$26),Design!$B$25,Design!$B$26)*1000000/2)</f>
        <v>8.160800000000001E-3</v>
      </c>
      <c r="AL45" s="221">
        <f t="shared" ca="1" si="7"/>
        <v>3.093371483249022E-2</v>
      </c>
      <c r="AM45" s="221">
        <f t="shared" ca="1" si="8"/>
        <v>5.8921361585695681E-3</v>
      </c>
      <c r="AN45" s="221">
        <f>2*AG45*Constants!$C$20/1000000000*Constants!$C$25*IF(ISBLANK(Design!$B$26),Design!$B$25,Design!$B$26)*1000000</f>
        <v>2.4E-2</v>
      </c>
      <c r="AO45" s="221">
        <f>(Constants!$D$26+Constants!$D$27)/1000000000*$B45*IF(ISBLANK(Design!$B$26),Design!$B$25,Design!$B$26)*1000000</f>
        <v>1.8987999999999998E-2</v>
      </c>
      <c r="AP45" s="221">
        <f t="shared" ca="1" si="9"/>
        <v>0.1110026509910598</v>
      </c>
      <c r="AQ45" s="222">
        <f ca="1">AP45*Design!$C$12+$A45</f>
        <v>30.328127247570869</v>
      </c>
      <c r="AR45" s="222">
        <f ca="1">Constants!$D$22+Constants!$D$22*Constants!$C$24/100*(AQ45-25)</f>
        <v>82.728001150756285</v>
      </c>
      <c r="AS45" s="222">
        <f ca="1">Constants!$D$23+Constants!$D$23*Constants!$C$24/100*(AQ45-25)</f>
        <v>67.216500934989483</v>
      </c>
      <c r="AT45" s="221">
        <f ca="1">(1-Constants!$C$19/1000000000*Design!$B$26*1000000) * ($B45+AG45*AS45/1000-AG45*AR45/1000) - (AG45*AS45/1000+AG45*(1+($A45-25)*Constants!$C$36/100)*IF(ISBLANK(Design!$B$35),Constants!$C$6/1000,Design!$B$35/1000))</f>
        <v>1.7594154325805471</v>
      </c>
      <c r="AU45" s="312">
        <f ca="1">IF(AT45&gt;Design!$C$22,Design!$C$22,AT45)</f>
        <v>1.7594154325805471</v>
      </c>
    </row>
    <row r="46" spans="1:47" s="246" customFormat="1" ht="18" customHeight="1">
      <c r="A46" s="254" t="s">
        <v>285</v>
      </c>
      <c r="B46" s="247"/>
      <c r="C46" s="248"/>
      <c r="D46" s="249"/>
      <c r="E46" s="250"/>
      <c r="F46" s="250"/>
      <c r="G46" s="250"/>
      <c r="H46" s="250"/>
      <c r="I46" s="250"/>
      <c r="J46" s="250"/>
      <c r="K46" s="250"/>
      <c r="L46" s="250"/>
      <c r="M46" s="249"/>
      <c r="N46" s="249"/>
      <c r="O46" s="249"/>
      <c r="P46" s="250"/>
      <c r="Q46" s="250"/>
      <c r="R46" s="248"/>
      <c r="S46" s="248"/>
      <c r="T46" s="249"/>
      <c r="U46" s="250"/>
      <c r="V46" s="250"/>
      <c r="W46" s="250"/>
      <c r="X46" s="250"/>
      <c r="Y46" s="250"/>
      <c r="Z46" s="250"/>
      <c r="AA46" s="250"/>
      <c r="AB46" s="250"/>
      <c r="AC46" s="249"/>
      <c r="AD46" s="249"/>
      <c r="AE46" s="250"/>
      <c r="AF46" s="250"/>
      <c r="AG46" s="248"/>
      <c r="AH46" s="248"/>
      <c r="AI46" s="249"/>
      <c r="AJ46" s="250"/>
      <c r="AK46" s="250"/>
      <c r="AL46" s="250"/>
      <c r="AM46" s="250"/>
      <c r="AN46" s="250"/>
      <c r="AO46" s="250"/>
      <c r="AP46" s="250"/>
      <c r="AQ46" s="250"/>
      <c r="AR46" s="249"/>
      <c r="AS46" s="249"/>
      <c r="AT46" s="250"/>
      <c r="AU46" s="251"/>
    </row>
    <row r="47" spans="1:47" s="246" customFormat="1" ht="18" customHeight="1">
      <c r="A47" s="284"/>
      <c r="B47" s="281"/>
      <c r="C47" s="298"/>
      <c r="D47" s="298"/>
      <c r="E47" s="298"/>
      <c r="F47" s="298"/>
      <c r="G47" s="298" t="s">
        <v>275</v>
      </c>
      <c r="H47" s="298" t="s">
        <v>275</v>
      </c>
      <c r="I47" s="298" t="s">
        <v>276</v>
      </c>
      <c r="J47" s="298"/>
      <c r="K47" s="298"/>
      <c r="L47" s="298"/>
      <c r="M47" s="298"/>
      <c r="N47" s="298" t="s">
        <v>275</v>
      </c>
      <c r="O47" s="298" t="s">
        <v>276</v>
      </c>
      <c r="P47" s="298"/>
      <c r="Q47" s="298"/>
      <c r="R47" s="314"/>
      <c r="S47" s="298"/>
      <c r="T47" s="298"/>
      <c r="U47" s="298"/>
      <c r="V47" s="298" t="s">
        <v>275</v>
      </c>
      <c r="W47" s="298" t="s">
        <v>275</v>
      </c>
      <c r="X47" s="298" t="s">
        <v>276</v>
      </c>
      <c r="Y47" s="298"/>
      <c r="Z47" s="298"/>
      <c r="AA47" s="298"/>
      <c r="AB47" s="298"/>
      <c r="AC47" s="298" t="s">
        <v>275</v>
      </c>
      <c r="AD47" s="298" t="s">
        <v>276</v>
      </c>
      <c r="AE47" s="298"/>
      <c r="AF47" s="298"/>
      <c r="AG47" s="313"/>
      <c r="AH47" s="298"/>
      <c r="AI47" s="298"/>
      <c r="AJ47" s="298"/>
      <c r="AK47" s="298" t="s">
        <v>275</v>
      </c>
      <c r="AL47" s="298" t="s">
        <v>275</v>
      </c>
      <c r="AM47" s="298" t="s">
        <v>276</v>
      </c>
      <c r="AN47" s="298"/>
      <c r="AO47" s="298"/>
      <c r="AP47" s="298"/>
      <c r="AQ47" s="298"/>
      <c r="AR47" s="298" t="s">
        <v>275</v>
      </c>
      <c r="AS47" s="298" t="s">
        <v>276</v>
      </c>
      <c r="AT47" s="298"/>
      <c r="AU47" s="298"/>
    </row>
    <row r="48" spans="1:47" ht="15.75" thickBot="1">
      <c r="A48" s="233" t="s">
        <v>207</v>
      </c>
      <c r="B48" s="252" t="s">
        <v>105</v>
      </c>
      <c r="C48" s="232" t="s">
        <v>95</v>
      </c>
      <c r="D48" s="223" t="s">
        <v>230</v>
      </c>
      <c r="E48" s="223" t="s">
        <v>231</v>
      </c>
      <c r="F48" s="223" t="s">
        <v>96</v>
      </c>
      <c r="G48" s="223" t="s">
        <v>282</v>
      </c>
      <c r="H48" s="223" t="s">
        <v>283</v>
      </c>
      <c r="I48" s="223" t="s">
        <v>283</v>
      </c>
      <c r="J48" s="223" t="s">
        <v>280</v>
      </c>
      <c r="K48" s="223" t="s">
        <v>274</v>
      </c>
      <c r="L48" s="223" t="s">
        <v>242</v>
      </c>
      <c r="M48" s="223" t="s">
        <v>265</v>
      </c>
      <c r="N48" s="223" t="s">
        <v>281</v>
      </c>
      <c r="O48" s="223" t="s">
        <v>281</v>
      </c>
      <c r="P48" s="223" t="s">
        <v>238</v>
      </c>
      <c r="Q48" s="234" t="s">
        <v>237</v>
      </c>
      <c r="R48" s="232" t="s">
        <v>95</v>
      </c>
      <c r="S48" s="223" t="s">
        <v>230</v>
      </c>
      <c r="T48" s="223" t="s">
        <v>231</v>
      </c>
      <c r="U48" s="223" t="s">
        <v>96</v>
      </c>
      <c r="V48" s="223" t="s">
        <v>282</v>
      </c>
      <c r="W48" s="223" t="s">
        <v>283</v>
      </c>
      <c r="X48" s="223" t="s">
        <v>283</v>
      </c>
      <c r="Y48" s="223" t="s">
        <v>280</v>
      </c>
      <c r="Z48" s="223" t="s">
        <v>274</v>
      </c>
      <c r="AA48" s="223" t="s">
        <v>242</v>
      </c>
      <c r="AB48" s="223" t="s">
        <v>265</v>
      </c>
      <c r="AC48" s="223" t="s">
        <v>281</v>
      </c>
      <c r="AD48" s="223" t="s">
        <v>281</v>
      </c>
      <c r="AE48" s="223" t="s">
        <v>238</v>
      </c>
      <c r="AF48" s="234" t="s">
        <v>237</v>
      </c>
      <c r="AG48" s="232" t="s">
        <v>95</v>
      </c>
      <c r="AH48" s="223" t="s">
        <v>230</v>
      </c>
      <c r="AI48" s="223" t="s">
        <v>231</v>
      </c>
      <c r="AJ48" s="223" t="s">
        <v>96</v>
      </c>
      <c r="AK48" s="223" t="s">
        <v>282</v>
      </c>
      <c r="AL48" s="223" t="s">
        <v>283</v>
      </c>
      <c r="AM48" s="223" t="s">
        <v>283</v>
      </c>
      <c r="AN48" s="223" t="s">
        <v>280</v>
      </c>
      <c r="AO48" s="223" t="s">
        <v>274</v>
      </c>
      <c r="AP48" s="223" t="s">
        <v>242</v>
      </c>
      <c r="AQ48" s="223" t="s">
        <v>265</v>
      </c>
      <c r="AR48" s="223" t="s">
        <v>281</v>
      </c>
      <c r="AS48" s="223" t="s">
        <v>281</v>
      </c>
      <c r="AT48" s="223" t="s">
        <v>238</v>
      </c>
      <c r="AU48" s="234" t="s">
        <v>237</v>
      </c>
    </row>
    <row r="49" spans="1:47" ht="12.75" customHeight="1">
      <c r="A49" s="180">
        <f>Design!$D$13</f>
        <v>105</v>
      </c>
      <c r="B49" s="181">
        <f t="shared" ref="B49:B88" si="10">$B50+$AU$90</f>
        <v>4.9999999999999947</v>
      </c>
      <c r="C49" s="182">
        <f>Design!$D$6</f>
        <v>2</v>
      </c>
      <c r="D49" s="192">
        <f ca="1">IF( 100*(Design!$C$22+C49*(IF(ISBLANK(Design!$B$35),Constants!$C$6,Design!$B$35)/1000*(1+Constants!$C$36/100*(M49-25))+O49/1000))/($B49-C49*N49/1000) &gt; Design!$C$29, Design!$C$29, 100*(Design!$C$22+C49*(IF(ISBLANK(Design!$B$35),Constants!$C$6,Design!$B$35)/1000*(1+Constants!$C$36/100*(M49-25))+O49/1000))/($B49-C49*N49/1000) )</f>
        <v>43.489120165487563</v>
      </c>
      <c r="E49" s="183">
        <f ca="1">IF(($B49-C49*IF(ISBLANK(Design!$B$35),Constants!$C$6,Design!$B$35)/1000*(1+Constants!$C$36/100*(M49-25))-Design!$C$22)/(IF(ISBLANK(Design!$B$34),Design!$B$33,Design!$B$34)/1000000)*D49/100/(IF(ISBLANK(Design!$B$26),Design!$B$25,Design!$B$26)*1000000)&lt;0, 0, ($B49-C49*IF(ISBLANK(Design!$B$35),Constants!$C$6,Design!$B$35)/1000*(1+Constants!$C$36/100*(M49-25))-Design!$C$22)/(IF(ISBLANK(Design!$B$34),Design!$B$33,Design!$B$34)/1000000)*D49/100/(IF(ISBLANK(Design!$B$26),Design!$B$25,Design!$B$26)*1000000))</f>
        <v>0.69207877260800588</v>
      </c>
      <c r="F49" s="184">
        <f>$B49*Constants!$C$21/1000+IF(ISBLANK(Design!$B$26),Design!$B$25,Design!$B$26)*1000000*(Constants!$D$26+Constants!$D$27)/1000000000*$B49</f>
        <v>5.6999999999999933E-2</v>
      </c>
      <c r="G49" s="184">
        <f>$B49*C49*($B49/(Constants!$C$28*1000000000)*IF(ISBLANK(Design!$B$26),Design!$B$25,Design!$B$26)*1000000/2+$B49/(Constants!$C$29*1000000000)*IF(ISBLANK(Design!$B$26),Design!$B$25,Design!$B$26)*1000000/2)</f>
        <v>0.14999999999999966</v>
      </c>
      <c r="H49" s="184">
        <f t="shared" ref="H49:H89" ca="1" si="11">IF($D$117,1,D49/100*(C49^2+E49^2/12)*N49/1000)</f>
        <v>0.25157069013476285</v>
      </c>
      <c r="I49" s="184">
        <f t="shared" ref="I49:I89" ca="1" si="12">IF($D$117,1,(1-D49/100)*(C49^2+E49^2/12)*N49/1000)</f>
        <v>0.32689741677903555</v>
      </c>
      <c r="J49" s="184">
        <f>2*C49*Constants!$C$20/1000000000*Constants!$C$25*IF(ISBLANK(Design!$B$26),Design!$B$25,Design!$B$26)*1000000</f>
        <v>7.1999999999999995E-2</v>
      </c>
      <c r="K49" s="184">
        <f>(Constants!$D$26+Constants!$D$27)/1000000000*$B49*IF(ISBLANK(Design!$B$26),Design!$B$25,Design!$B$26)*1000000</f>
        <v>4.6999999999999938E-2</v>
      </c>
      <c r="L49" s="184">
        <f ca="1">SUM(F49:K49)</f>
        <v>0.90446810691379798</v>
      </c>
      <c r="M49" s="185">
        <f ca="1">L49*Design!$C$12+$A49</f>
        <v>148.41446913186229</v>
      </c>
      <c r="N49" s="185">
        <f ca="1">Constants!$D$22+Constants!$D$22*Constants!$C$24/100*(M49-25)</f>
        <v>143.18820819551348</v>
      </c>
      <c r="O49" s="185">
        <f ca="1">Constants!$D$23+Constants!$D$23*Constants!$C$24/100*(M49-25)</f>
        <v>116.34041915885471</v>
      </c>
      <c r="P49" s="184">
        <f ca="1">(1-Constants!$C$19/1000000000*Design!$B$26*1000000) * ($B49+C49*O49/1000-C49*N49/1000) - (C49*O49/1000+C49*(1+($A49-25)*Constants!$C$36/100)*IF(ISBLANK(Design!$B$35),Constants!$C$6/1000,Design!$B$35/1000))</f>
        <v>4.2013801814163001</v>
      </c>
      <c r="Q49" s="190">
        <f ca="1">IF(P49&gt;Design!$C$22,Design!$C$22,P49)</f>
        <v>1.7973333333333334</v>
      </c>
      <c r="R49" s="196">
        <f>2*Design!$D$6/3</f>
        <v>1.3333333333333333</v>
      </c>
      <c r="S49" s="197">
        <f ca="1">IF( 100*(Design!$C$22+R49*(IF(ISBLANK(Design!$B$35),Constants!$C$6,Design!$B$35)/1000*(1+Constants!$C$36/100*(AB49-25))+AD49/1000))/($B49-R49*AC49/1000) &gt; Design!$C$29, Design!$C$29, 100*(Design!$C$22+R49*(IF(ISBLANK(Design!$B$35),Constants!$C$6,Design!$B$35)/1000*(1+Constants!$C$36/100*(AB49-25))+AD49/1000))/($B49-R49*AC49/1000) )</f>
        <v>40.519532644291004</v>
      </c>
      <c r="T49" s="198">
        <f ca="1">IF(($B49-R49*IF(ISBLANK(Design!$B$35),Constants!$C$6,Design!$B$35)/1000*(1+Constants!$C$36/100*(AB49-25))-Design!$C$22)/(IF(ISBLANK(Design!$B$34),Design!$B$33,Design!$B$34)/1000000)*S49/100/(IF(ISBLANK(Design!$B$26),Design!$B$25,Design!$B$26)*1000000)&lt;0, 0, ($B49-R49*IF(ISBLANK(Design!$B$35),Constants!$C$6,Design!$B$35)/1000*(1+Constants!$C$36/100*(AB49-25))-Design!$C$22)/(IF(ISBLANK(Design!$B$34),Design!$B$33,Design!$B$34)/1000000)*S49/100/(IF(ISBLANK(Design!$B$26),Design!$B$25,Design!$B$26)*1000000))</f>
        <v>0.64630549344253208</v>
      </c>
      <c r="U49" s="199">
        <f>$B49*Constants!$C$21/1000+IF(ISBLANK(Design!$B$26),Design!$B$25,Design!$B$26)*1000000*(Constants!$D$26+Constants!$D$27)/1000000000*$B49</f>
        <v>5.6999999999999933E-2</v>
      </c>
      <c r="V49" s="199">
        <f>$B49*R49*($B49/(Constants!$C$28*1000000000)*IF(ISBLANK(Design!$B$26),Design!$B$25,Design!$B$26)*1000000/2+$B49/(Constants!$C$29*1000000000)*IF(ISBLANK(Design!$B$26),Design!$B$25,Design!$B$26)*1000000/2)</f>
        <v>9.999999999999977E-2</v>
      </c>
      <c r="W49" s="199">
        <f ca="1">IF($D$117,1,S49/100*(R49^2+T49^2/12)*AC49/1000)</f>
        <v>9.7741882942885994E-2</v>
      </c>
      <c r="X49" s="199">
        <f ca="1">IF($D$117,1,(1-S49/100)*(R49^2+T49^2/12)*AC49/1000)</f>
        <v>0.14347976144510111</v>
      </c>
      <c r="Y49" s="199">
        <f>2*R49*Constants!$C$20/1000000000*Constants!$C$25*IF(ISBLANK(Design!$B$26),Design!$B$25,Design!$B$26)*1000000</f>
        <v>4.8000000000000001E-2</v>
      </c>
      <c r="Z49" s="199">
        <f>(Constants!$D$26+Constants!$D$27)/1000000000*$B49*IF(ISBLANK(Design!$B$26),Design!$B$25,Design!$B$26)*1000000</f>
        <v>4.6999999999999938E-2</v>
      </c>
      <c r="AA49" s="199">
        <f ca="1">SUM(U49:Z49)</f>
        <v>0.49322164438798671</v>
      </c>
      <c r="AB49" s="200">
        <f ca="1">AA49*Design!$C$12+$A49</f>
        <v>128.67463893062336</v>
      </c>
      <c r="AC49" s="200">
        <f ca="1">Constants!$D$22+Constants!$D$22*Constants!$C$24/100*(AB49-25)</f>
        <v>133.08141513247915</v>
      </c>
      <c r="AD49" s="200">
        <f ca="1">Constants!$D$23+Constants!$D$23*Constants!$C$24/100*(AB49-25)</f>
        <v>108.12864979513932</v>
      </c>
      <c r="AE49" s="199">
        <f ca="1">(1-Constants!$C$19/1000000000*Design!$B$26*1000000) * ($B49+R49*AD49/1000-R49*AC49/1000) - (R49*AD49/1000+R49*(1+($A49-25)*Constants!$C$36/100)*IF(ISBLANK(Design!$B$35),Constants!$C$6/1000,Design!$B$35/1000))</f>
        <v>4.3141431752016679</v>
      </c>
      <c r="AF49" s="307">
        <f ca="1">IF(AE49&gt;Design!$C$22,Design!$C$22,AE49)</f>
        <v>1.7973333333333334</v>
      </c>
      <c r="AG49" s="209">
        <f>Design!$D$6/3</f>
        <v>0.66666666666666663</v>
      </c>
      <c r="AH49" s="211">
        <f ca="1">IF( 100*(Design!$C$22+AG49*(IF(ISBLANK(Design!$B$35),Constants!$C$6,Design!$B$35)/1000*(1+Constants!$C$36/100*(AQ49-25))+AS49/1000))/($B49-AG49*AR49/1000) &gt; Design!$C$29, Design!$C$29, 100*(Design!$C$22+AG49*(IF(ISBLANK(Design!$B$35),Constants!$C$6,Design!$B$35)/1000*(1+Constants!$C$36/100*(AQ49-25))+AS49/1000))/($B49-AG49*AR49/1000) )</f>
        <v>38.085928132175916</v>
      </c>
      <c r="AI49" s="212">
        <f ca="1">IF(($B49-AG49*IF(ISBLANK(Design!$B$35),Constants!$C$6,Design!$B$35)/1000*(1+Constants!$C$36/100*(AQ49-25))-Design!$C$22)/(IF(ISBLANK(Design!$B$34),Design!$B$33,Design!$B$34)/1000000)*AH49/100/(IF(ISBLANK(Design!$B$26),Design!$B$25,Design!$B$26)*1000000)&lt;0, 0, ($B49-AG49*IF(ISBLANK(Design!$B$35),Constants!$C$6,Design!$B$35)/1000*(1+Constants!$C$36/100*(AQ49-25))-Design!$C$22)/(IF(ISBLANK(Design!$B$34),Design!$B$33,Design!$B$34)/1000000)*AH49/100/(IF(ISBLANK(Design!$B$26),Design!$B$25,Design!$B$26)*1000000))</f>
        <v>0.60872641973935038</v>
      </c>
      <c r="AJ49" s="213">
        <f>$B49*Constants!$C$21/1000+IF(ISBLANK(Design!$B$26),Design!$B$25,Design!$B$26)*1000000*(Constants!$D$26+Constants!$D$27)/1000000000*$B49</f>
        <v>5.6999999999999933E-2</v>
      </c>
      <c r="AK49" s="213">
        <f>$B49*AG49*($B49/(Constants!$C$28*1000000000)*IF(ISBLANK(Design!$B$26),Design!$B$25,Design!$B$26)*1000000/2+$B49/(Constants!$C$29*1000000000)*IF(ISBLANK(Design!$B$26),Design!$B$25,Design!$B$26)*1000000/2)</f>
        <v>4.9999999999999885E-2</v>
      </c>
      <c r="AL49" s="213">
        <f ca="1">IF($D$117,1,AH49/100*(AG49^2+AI49^2/12)*AR49/1000)</f>
        <v>2.2957658661364698E-2</v>
      </c>
      <c r="AM49" s="213">
        <f ca="1">IF($D$117,1,(1-AH49/100)*(AG49^2+AI49^2/12)*AR49/1000)</f>
        <v>3.7320926599025771E-2</v>
      </c>
      <c r="AN49" s="213">
        <f>2*AG49*Constants!$C$20/1000000000*Constants!$C$25*IF(ISBLANK(Design!$B$26),Design!$B$25,Design!$B$26)*1000000</f>
        <v>2.4E-2</v>
      </c>
      <c r="AO49" s="213">
        <f>(Constants!$D$26+Constants!$D$27)/1000000000*$B49*IF(ISBLANK(Design!$B$26),Design!$B$25,Design!$B$26)*1000000</f>
        <v>4.6999999999999938E-2</v>
      </c>
      <c r="AP49" s="213">
        <f ca="1">SUM(AJ49:AO49)</f>
        <v>0.23827858526039022</v>
      </c>
      <c r="AQ49" s="214">
        <f ca="1">AP49*Design!$C$12+$A49</f>
        <v>116.43737209249873</v>
      </c>
      <c r="AR49" s="214">
        <f ca="1">Constants!$D$22+Constants!$D$22*Constants!$C$24/100*(AQ49-25)</f>
        <v>126.81593451135936</v>
      </c>
      <c r="AS49" s="214">
        <f ca="1">Constants!$D$23+Constants!$D$23*Constants!$C$24/100*(AQ49-25)</f>
        <v>103.03794679047948</v>
      </c>
      <c r="AT49" s="213">
        <f ca="1">(1-Constants!$C$19/1000000000*Design!$B$26*1000000) * ($B49+AG49*AS49/1000-AG49*AR49/1000) - (AG49*AS49/1000+AG49*(1+($A49-25)*Constants!$C$36/100)*IF(ISBLANK(Design!$B$35),Constants!$C$6/1000,Design!$B$35/1000))</f>
        <v>4.4111702561738149</v>
      </c>
      <c r="AU49" s="310">
        <f ca="1">IF(AT49&gt;Design!$C$22,Design!$C$22,AT49)</f>
        <v>1.7973333333333334</v>
      </c>
    </row>
    <row r="50" spans="1:47" ht="12.75" customHeight="1">
      <c r="A50" s="136">
        <f>Design!$D$13</f>
        <v>105</v>
      </c>
      <c r="B50" s="137">
        <f t="shared" si="10"/>
        <v>4.9254999999999951</v>
      </c>
      <c r="C50" s="138">
        <f>Design!$D$6</f>
        <v>2</v>
      </c>
      <c r="D50" s="193">
        <f ca="1">IF( 100*(Design!$C$22+C50*(IF(ISBLANK(Design!$B$35),Constants!$C$6,Design!$B$35)/1000*(1+Constants!$C$36/100*(M50-25))+O50/1000))/($B50-C50*N50/1000) &gt; Design!$C$29, Design!$C$29, 100*(Design!$C$22+C50*(IF(ISBLANK(Design!$B$35),Constants!$C$6,Design!$B$35)/1000*(1+Constants!$C$36/100*(M50-25))+O50/1000))/($B50-C50*N50/1000) )</f>
        <v>44.178182028019272</v>
      </c>
      <c r="E50" s="139">
        <f ca="1">IF(($B50-C50*IF(ISBLANK(Design!$B$35),Constants!$C$6,Design!$B$35)/1000*(1+Constants!$C$36/100*(M50-25))-Design!$C$22)/(IF(ISBLANK(Design!$B$34),Design!$B$33,Design!$B$34)/1000000)*D50/100/(IF(ISBLANK(Design!$B$26),Design!$B$25,Design!$B$26)*1000000)&lt;0, 0, ($B50-C50*IF(ISBLANK(Design!$B$35),Constants!$C$6,Design!$B$35)/1000*(1+Constants!$C$36/100*(M50-25))-Design!$C$22)/(IF(ISBLANK(Design!$B$34),Design!$B$33,Design!$B$34)/1000000)*D50/100/(IF(ISBLANK(Design!$B$26),Design!$B$25,Design!$B$26)*1000000))</f>
        <v>0.68659178487465933</v>
      </c>
      <c r="F50" s="186">
        <f>$B50*Constants!$C$21/1000+IF(ISBLANK(Design!$B$26),Design!$B$25,Design!$B$26)*1000000*(Constants!$D$26+Constants!$D$27)/1000000000*$B50</f>
        <v>5.6150699999999942E-2</v>
      </c>
      <c r="G50" s="186">
        <f>$B50*C50*($B50/(Constants!$C$28*1000000000)*IF(ISBLANK(Design!$B$26),Design!$B$25,Design!$B$26)*1000000/2+$B50/(Constants!$C$29*1000000000)*IF(ISBLANK(Design!$B$26),Design!$B$25,Design!$B$26)*1000000/2)</f>
        <v>0.14556330149999969</v>
      </c>
      <c r="H50" s="186">
        <f t="shared" ca="1" si="11"/>
        <v>0.2552209554773921</v>
      </c>
      <c r="I50" s="186">
        <f t="shared" ca="1" si="12"/>
        <v>0.32248718859137587</v>
      </c>
      <c r="J50" s="186">
        <f>2*C50*Constants!$C$20/1000000000*Constants!$C$25*IF(ISBLANK(Design!$B$26),Design!$B$25,Design!$B$26)*1000000</f>
        <v>7.1999999999999995E-2</v>
      </c>
      <c r="K50" s="186">
        <f>(Constants!$D$26+Constants!$D$27)/1000000000*$B50*IF(ISBLANK(Design!$B$26),Design!$B$25,Design!$B$26)*1000000</f>
        <v>4.6299699999999944E-2</v>
      </c>
      <c r="L50" s="186">
        <f t="shared" ref="L50:L88" ca="1" si="13">SUM(F50:K50)</f>
        <v>0.89772184556876744</v>
      </c>
      <c r="M50" s="187">
        <f ca="1">L50*Design!$C$12+$A50</f>
        <v>148.09064858730085</v>
      </c>
      <c r="N50" s="187">
        <f ca="1">Constants!$D$22+Constants!$D$22*Constants!$C$24/100*(M50-25)</f>
        <v>143.02241207669803</v>
      </c>
      <c r="O50" s="187">
        <f ca="1">Constants!$D$23+Constants!$D$23*Constants!$C$24/100*(M50-25)</f>
        <v>116.20570981231717</v>
      </c>
      <c r="P50" s="186">
        <f ca="1">(1-Constants!$C$19/1000000000*Design!$B$26*1000000) * ($B50+C50*O50/1000-C50*N50/1000) - (C50*O50/1000+C50*(1+($A50-25)*Constants!$C$36/100)*IF(ISBLANK(Design!$B$35),Constants!$C$6/1000,Design!$B$35/1000))</f>
        <v>4.1346555562994762</v>
      </c>
      <c r="Q50" s="191">
        <f ca="1">IF(P50&gt;Design!$C$22,Design!$C$22,P50)</f>
        <v>1.7973333333333334</v>
      </c>
      <c r="R50" s="140">
        <f>2*Design!$D$6/3</f>
        <v>1.3333333333333333</v>
      </c>
      <c r="S50" s="202">
        <f ca="1">IF( 100*(Design!$C$22+R50*(IF(ISBLANK(Design!$B$35),Constants!$C$6,Design!$B$35)/1000*(1+Constants!$C$36/100*(AB50-25))+AD50/1000))/($B50-R50*AC50/1000) &gt; Design!$C$29, Design!$C$29, 100*(Design!$C$22+R50*(IF(ISBLANK(Design!$B$35),Constants!$C$6,Design!$B$35)/1000*(1+Constants!$C$36/100*(AB50-25))+AD50/1000))/($B50-R50*AC50/1000) )</f>
        <v>41.151087903433016</v>
      </c>
      <c r="T50" s="141">
        <f ca="1">IF(($B50-R50*IF(ISBLANK(Design!$B$35),Constants!$C$6,Design!$B$35)/1000*(1+Constants!$C$36/100*(AB50-25))-Design!$C$22)/(IF(ISBLANK(Design!$B$34),Design!$B$33,Design!$B$34)/1000000)*S50/100/(IF(ISBLANK(Design!$B$26),Design!$B$25,Design!$B$26)*1000000)&lt;0, 0, ($B50-R50*IF(ISBLANK(Design!$B$35),Constants!$C$6,Design!$B$35)/1000*(1+Constants!$C$36/100*(AB50-25))-Design!$C$22)/(IF(ISBLANK(Design!$B$34),Design!$B$33,Design!$B$34)/1000000)*S50/100/(IF(ISBLANK(Design!$B$26),Design!$B$25,Design!$B$26)*1000000))</f>
        <v>0.64105197784755596</v>
      </c>
      <c r="U50" s="203">
        <f>$B50*Constants!$C$21/1000+IF(ISBLANK(Design!$B$26),Design!$B$25,Design!$B$26)*1000000*(Constants!$D$26+Constants!$D$27)/1000000000*$B50</f>
        <v>5.6150699999999942E-2</v>
      </c>
      <c r="V50" s="203">
        <f>$B50*R50*($B50/(Constants!$C$28*1000000000)*IF(ISBLANK(Design!$B$26),Design!$B$25,Design!$B$26)*1000000/2+$B50/(Constants!$C$29*1000000000)*IF(ISBLANK(Design!$B$26),Design!$B$25,Design!$B$26)*1000000/2)</f>
        <v>9.70422009999998E-2</v>
      </c>
      <c r="W50" s="203">
        <f t="shared" ref="W50:W89" ca="1" si="14">IF($D$117,1,S50/100*(R50^2+T50^2/12)*AC50/1000)</f>
        <v>9.9146577082563914E-2</v>
      </c>
      <c r="X50" s="203">
        <f t="shared" ref="X50:X89" ca="1" si="15">IF($D$117,1,(1-S50/100)*(R50^2+T50^2/12)*AC50/1000)</f>
        <v>0.14178648722724413</v>
      </c>
      <c r="Y50" s="203">
        <f>2*R50*Constants!$C$20/1000000000*Constants!$C$25*IF(ISBLANK(Design!$B$26),Design!$B$25,Design!$B$26)*1000000</f>
        <v>4.8000000000000001E-2</v>
      </c>
      <c r="Z50" s="203">
        <f>(Constants!$D$26+Constants!$D$27)/1000000000*$B50*IF(ISBLANK(Design!$B$26),Design!$B$25,Design!$B$26)*1000000</f>
        <v>4.6299699999999944E-2</v>
      </c>
      <c r="AA50" s="203">
        <f t="shared" ref="AA50:AA89" ca="1" si="16">SUM(U50:Z50)</f>
        <v>0.48842566530980769</v>
      </c>
      <c r="AB50" s="204">
        <f ca="1">AA50*Design!$C$12+$A50</f>
        <v>128.44443193487078</v>
      </c>
      <c r="AC50" s="204">
        <f ca="1">Constants!$D$22+Constants!$D$22*Constants!$C$24/100*(AB50-25)</f>
        <v>132.96354915065385</v>
      </c>
      <c r="AD50" s="204">
        <f ca="1">Constants!$D$23+Constants!$D$23*Constants!$C$24/100*(AB50-25)</f>
        <v>108.03288368490624</v>
      </c>
      <c r="AE50" s="203">
        <f ca="1">(1-Constants!$C$19/1000000000*Design!$B$26*1000000) * ($B50+R50*AD50/1000-R50*AC50/1000) - (R50*AD50/1000+R50*(1+($A50-25)*Constants!$C$36/100)*IF(ISBLANK(Design!$B$35),Constants!$C$6/1000,Design!$B$35/1000))</f>
        <v>4.2472473831945576</v>
      </c>
      <c r="AF50" s="308">
        <f ca="1">IF(AE50&gt;Design!$C$22,Design!$C$22,AE50)</f>
        <v>1.7973333333333334</v>
      </c>
      <c r="AG50" s="215">
        <f>Design!$D$6/3</f>
        <v>0.66666666666666663</v>
      </c>
      <c r="AH50" s="216">
        <f ca="1">IF( 100*(Design!$C$22+AG50*(IF(ISBLANK(Design!$B$35),Constants!$C$6,Design!$B$35)/1000*(1+Constants!$C$36/100*(AQ50-25))+AS50/1000))/($B50-AG50*AR50/1000) &gt; Design!$C$29, Design!$C$29, 100*(Design!$C$22+AG50*(IF(ISBLANK(Design!$B$35),Constants!$C$6,Design!$B$35)/1000*(1+Constants!$C$36/100*(AQ50-25))+AS50/1000))/($B50-AG50*AR50/1000) )</f>
        <v>38.670727599591196</v>
      </c>
      <c r="AI50" s="143">
        <f ca="1">IF(($B50-AG50*IF(ISBLANK(Design!$B$35),Constants!$C$6,Design!$B$35)/1000*(1+Constants!$C$36/100*(AQ50-25))-Design!$C$22)/(IF(ISBLANK(Design!$B$34),Design!$B$33,Design!$B$34)/1000000)*AH50/100/(IF(ISBLANK(Design!$B$26),Design!$B$25,Design!$B$26)*1000000)&lt;0, 0, ($B50-AG50*IF(ISBLANK(Design!$B$35),Constants!$C$6,Design!$B$35)/1000*(1+Constants!$C$36/100*(AQ50-25))-Design!$C$22)/(IF(ISBLANK(Design!$B$34),Design!$B$33,Design!$B$34)/1000000)*AH50/100/(IF(ISBLANK(Design!$B$26),Design!$B$25,Design!$B$26)*1000000))</f>
        <v>0.60366891861318706</v>
      </c>
      <c r="AJ50" s="217">
        <f>$B50*Constants!$C$21/1000+IF(ISBLANK(Design!$B$26),Design!$B$25,Design!$B$26)*1000000*(Constants!$D$26+Constants!$D$27)/1000000000*$B50</f>
        <v>5.6150699999999942E-2</v>
      </c>
      <c r="AK50" s="217">
        <f>$B50*AG50*($B50/(Constants!$C$28*1000000000)*IF(ISBLANK(Design!$B$26),Design!$B$25,Design!$B$26)*1000000/2+$B50/(Constants!$C$29*1000000000)*IF(ISBLANK(Design!$B$26),Design!$B$25,Design!$B$26)*1000000/2)</f>
        <v>4.85211004999999E-2</v>
      </c>
      <c r="AL50" s="217">
        <f t="shared" ref="AL50:AL89" ca="1" si="17">IF($D$117,1,AH50/100*(AG50^2+AI50^2/12)*AR50/1000)</f>
        <v>2.3270985734798612E-2</v>
      </c>
      <c r="AM50" s="217">
        <f t="shared" ref="AM50:AM89" ca="1" si="18">IF($D$117,1,(1-AH50/100)*(AG50^2+AI50^2/12)*AR50/1000)</f>
        <v>3.6906277997484041E-2</v>
      </c>
      <c r="AN50" s="217">
        <f>2*AG50*Constants!$C$20/1000000000*Constants!$C$25*IF(ISBLANK(Design!$B$26),Design!$B$25,Design!$B$26)*1000000</f>
        <v>2.4E-2</v>
      </c>
      <c r="AO50" s="217">
        <f>(Constants!$D$26+Constants!$D$27)/1000000000*$B50*IF(ISBLANK(Design!$B$26),Design!$B$25,Design!$B$26)*1000000</f>
        <v>4.6299699999999944E-2</v>
      </c>
      <c r="AP50" s="217">
        <f t="shared" ref="AP50:AP89" ca="1" si="19">SUM(AJ50:AO50)</f>
        <v>0.23514876423228245</v>
      </c>
      <c r="AQ50" s="218">
        <f ca="1">AP50*Design!$C$12+$A50</f>
        <v>116.28714068314956</v>
      </c>
      <c r="AR50" s="218">
        <f ca="1">Constants!$D$22+Constants!$D$22*Constants!$C$24/100*(AQ50-25)</f>
        <v>126.73901602977259</v>
      </c>
      <c r="AS50" s="218">
        <f ca="1">Constants!$D$23+Constants!$D$23*Constants!$C$24/100*(AQ50-25)</f>
        <v>102.97545052419022</v>
      </c>
      <c r="AT50" s="217">
        <f ca="1">(1-Constants!$C$19/1000000000*Design!$B$26*1000000) * ($B50+AG50*AS50/1000-AG50*AR50/1000) - (AG50*AS50/1000+AG50*(1+($A50-25)*Constants!$C$36/100)*IF(ISBLANK(Design!$B$35),Constants!$C$6/1000,Design!$B$35/1000))</f>
        <v>4.3441705736805192</v>
      </c>
      <c r="AU50" s="311">
        <f ca="1">IF(AT50&gt;Design!$C$22,Design!$C$22,AT50)</f>
        <v>1.7973333333333334</v>
      </c>
    </row>
    <row r="51" spans="1:47" ht="12.75" customHeight="1">
      <c r="A51" s="136">
        <f>Design!$D$13</f>
        <v>105</v>
      </c>
      <c r="B51" s="137">
        <f t="shared" si="10"/>
        <v>4.8509999999999955</v>
      </c>
      <c r="C51" s="138">
        <f>Design!$D$6</f>
        <v>2</v>
      </c>
      <c r="D51" s="193">
        <f ca="1">IF( 100*(Design!$C$22+C51*(IF(ISBLANK(Design!$B$35),Constants!$C$6,Design!$B$35)/1000*(1+Constants!$C$36/100*(M51-25))+O51/1000))/($B51-C51*N51/1000) &gt; Design!$C$29, Design!$C$29, 100*(Design!$C$22+C51*(IF(ISBLANK(Design!$B$35),Constants!$C$6,Design!$B$35)/1000*(1+Constants!$C$36/100*(M51-25))+O51/1000))/($B51-C51*N51/1000) )</f>
        <v>44.889734704581748</v>
      </c>
      <c r="E51" s="139">
        <f ca="1">IF(($B51-C51*IF(ISBLANK(Design!$B$35),Constants!$C$6,Design!$B$35)/1000*(1+Constants!$C$36/100*(M51-25))-Design!$C$22)/(IF(ISBLANK(Design!$B$34),Design!$B$33,Design!$B$34)/1000000)*D51/100/(IF(ISBLANK(Design!$B$26),Design!$B$25,Design!$B$26)*1000000)&lt;0, 0, ($B51-C51*IF(ISBLANK(Design!$B$35),Constants!$C$6,Design!$B$35)/1000*(1+Constants!$C$36/100*(M51-25))-Design!$C$22)/(IF(ISBLANK(Design!$B$34),Design!$B$33,Design!$B$34)/1000000)*D51/100/(IF(ISBLANK(Design!$B$26),Design!$B$25,Design!$B$26)*1000000))</f>
        <v>0.68093268611184665</v>
      </c>
      <c r="F51" s="186">
        <f>$B51*Constants!$C$21/1000+IF(ISBLANK(Design!$B$26),Design!$B$25,Design!$B$26)*1000000*(Constants!$D$26+Constants!$D$27)/1000000000*$B51</f>
        <v>5.5301399999999945E-2</v>
      </c>
      <c r="G51" s="186">
        <f>$B51*C51*($B51/(Constants!$C$28*1000000000)*IF(ISBLANK(Design!$B$26),Design!$B$25,Design!$B$26)*1000000/2+$B51/(Constants!$C$29*1000000000)*IF(ISBLANK(Design!$B$26),Design!$B$25,Design!$B$26)*1000000/2)</f>
        <v>0.14119320599999977</v>
      </c>
      <c r="H51" s="186">
        <f t="shared" ca="1" si="11"/>
        <v>0.25899287302300422</v>
      </c>
      <c r="I51" s="186">
        <f t="shared" ca="1" si="12"/>
        <v>0.31796057686354562</v>
      </c>
      <c r="J51" s="186">
        <f>2*C51*Constants!$C$20/1000000000*Constants!$C$25*IF(ISBLANK(Design!$B$26),Design!$B$25,Design!$B$26)*1000000</f>
        <v>7.1999999999999995E-2</v>
      </c>
      <c r="K51" s="186">
        <f>(Constants!$D$26+Constants!$D$27)/1000000000*$B51*IF(ISBLANK(Design!$B$26),Design!$B$25,Design!$B$26)*1000000</f>
        <v>4.559939999999995E-2</v>
      </c>
      <c r="L51" s="186">
        <f t="shared" ca="1" si="13"/>
        <v>0.89104745588654943</v>
      </c>
      <c r="M51" s="187">
        <f ca="1">L51*Design!$C$12+$A51</f>
        <v>147.77027788255438</v>
      </c>
      <c r="N51" s="187">
        <f ca="1">Constants!$D$22+Constants!$D$22*Constants!$C$24/100*(M51-25)</f>
        <v>142.85838227586785</v>
      </c>
      <c r="O51" s="187">
        <f ca="1">Constants!$D$23+Constants!$D$23*Constants!$C$24/100*(M51-25)</f>
        <v>116.07243559914264</v>
      </c>
      <c r="P51" s="186">
        <f ca="1">(1-Constants!$C$19/1000000000*Design!$B$26*1000000) * ($B51+C51*O51/1000-C51*N51/1000) - (C51*O51/1000+C51*(1+($A51-25)*Constants!$C$36/100)*IF(ISBLANK(Design!$B$35),Constants!$C$6/1000,Design!$B$35/1000))</f>
        <v>4.0679274647836055</v>
      </c>
      <c r="Q51" s="191">
        <f ca="1">IF(P51&gt;Design!$C$22,Design!$C$22,P51)</f>
        <v>1.7973333333333334</v>
      </c>
      <c r="R51" s="140">
        <f>2*Design!$D$6/3</f>
        <v>1.3333333333333333</v>
      </c>
      <c r="S51" s="202">
        <f ca="1">IF( 100*(Design!$C$22+R51*(IF(ISBLANK(Design!$B$35),Constants!$C$6,Design!$B$35)/1000*(1+Constants!$C$36/100*(AB51-25))+AD51/1000))/($B51-R51*AC51/1000) &gt; Design!$C$29, Design!$C$29, 100*(Design!$C$22+R51*(IF(ISBLANK(Design!$B$35),Constants!$C$6,Design!$B$35)/1000*(1+Constants!$C$36/100*(AB51-25))+AD51/1000))/($B51-R51*AC51/1000) )</f>
        <v>41.802774550721693</v>
      </c>
      <c r="T51" s="141">
        <f ca="1">IF(($B51-R51*IF(ISBLANK(Design!$B$35),Constants!$C$6,Design!$B$35)/1000*(1+Constants!$C$36/100*(AB51-25))-Design!$C$22)/(IF(ISBLANK(Design!$B$34),Design!$B$33,Design!$B$34)/1000000)*S51/100/(IF(ISBLANK(Design!$B$26),Design!$B$25,Design!$B$26)*1000000)&lt;0, 0, ($B51-R51*IF(ISBLANK(Design!$B$35),Constants!$C$6,Design!$B$35)/1000*(1+Constants!$C$36/100*(AB51-25))-Design!$C$22)/(IF(ISBLANK(Design!$B$34),Design!$B$33,Design!$B$34)/1000000)*S51/100/(IF(ISBLANK(Design!$B$26),Design!$B$25,Design!$B$26)*1000000))</f>
        <v>0.63563409763549095</v>
      </c>
      <c r="U51" s="203">
        <f>$B51*Constants!$C$21/1000+IF(ISBLANK(Design!$B$26),Design!$B$25,Design!$B$26)*1000000*(Constants!$D$26+Constants!$D$27)/1000000000*$B51</f>
        <v>5.5301399999999945E-2</v>
      </c>
      <c r="V51" s="203">
        <f>$B51*R51*($B51/(Constants!$C$28*1000000000)*IF(ISBLANK(Design!$B$26),Design!$B$25,Design!$B$26)*1000000/2+$B51/(Constants!$C$29*1000000000)*IF(ISBLANK(Design!$B$26),Design!$B$25,Design!$B$26)*1000000/2)</f>
        <v>9.412880399999983E-2</v>
      </c>
      <c r="W51" s="203">
        <f t="shared" ca="1" si="14"/>
        <v>0.10059624933660059</v>
      </c>
      <c r="X51" s="203">
        <f t="shared" ca="1" si="15"/>
        <v>0.14004866100192589</v>
      </c>
      <c r="Y51" s="203">
        <f>2*R51*Constants!$C$20/1000000000*Constants!$C$25*IF(ISBLANK(Design!$B$26),Design!$B$25,Design!$B$26)*1000000</f>
        <v>4.8000000000000001E-2</v>
      </c>
      <c r="Z51" s="203">
        <f>(Constants!$D$26+Constants!$D$27)/1000000000*$B51*IF(ISBLANK(Design!$B$26),Design!$B$25,Design!$B$26)*1000000</f>
        <v>4.559939999999995E-2</v>
      </c>
      <c r="AA51" s="203">
        <f t="shared" ca="1" si="16"/>
        <v>0.48367451433852621</v>
      </c>
      <c r="AB51" s="204">
        <f ca="1">AA51*Design!$C$12+$A51</f>
        <v>128.21637668824926</v>
      </c>
      <c r="AC51" s="204">
        <f ca="1">Constants!$D$22+Constants!$D$22*Constants!$C$24/100*(AB51-25)</f>
        <v>132.84678486438361</v>
      </c>
      <c r="AD51" s="204">
        <f ca="1">Constants!$D$23+Constants!$D$23*Constants!$C$24/100*(AB51-25)</f>
        <v>107.9380127023117</v>
      </c>
      <c r="AE51" s="203">
        <f ca="1">(1-Constants!$C$19/1000000000*Design!$B$26*1000000) * ($B51+R51*AD51/1000-R51*AC51/1000) - (R51*AD51/1000+R51*(1+($A51-25)*Constants!$C$36/100)*IF(ISBLANK(Design!$B$35),Constants!$C$6/1000,Design!$B$35/1000))</f>
        <v>4.180350149802428</v>
      </c>
      <c r="AF51" s="308">
        <f ca="1">IF(AE51&gt;Design!$C$22,Design!$C$22,AE51)</f>
        <v>1.7973333333333334</v>
      </c>
      <c r="AG51" s="215">
        <f>Design!$D$6/3</f>
        <v>0.66666666666666663</v>
      </c>
      <c r="AH51" s="216">
        <f ca="1">IF( 100*(Design!$C$22+AG51*(IF(ISBLANK(Design!$B$35),Constants!$C$6,Design!$B$35)/1000*(1+Constants!$C$36/100*(AQ51-25))+AS51/1000))/($B51-AG51*AR51/1000) &gt; Design!$C$29, Design!$C$29, 100*(Design!$C$22+AG51*(IF(ISBLANK(Design!$B$35),Constants!$C$6,Design!$B$35)/1000*(1+Constants!$C$36/100*(AQ51-25))+AS51/1000))/($B51-AG51*AR51/1000) )</f>
        <v>39.273804099391157</v>
      </c>
      <c r="AI51" s="143">
        <f ca="1">IF(($B51-AG51*IF(ISBLANK(Design!$B$35),Constants!$C$6,Design!$B$35)/1000*(1+Constants!$C$36/100*(AQ51-25))-Design!$C$22)/(IF(ISBLANK(Design!$B$34),Design!$B$33,Design!$B$34)/1000000)*AH51/100/(IF(ISBLANK(Design!$B$26),Design!$B$25,Design!$B$26)*1000000)&lt;0, 0, ($B51-AG51*IF(ISBLANK(Design!$B$35),Constants!$C$6,Design!$B$35)/1000*(1+Constants!$C$36/100*(AQ51-25))-Design!$C$22)/(IF(ISBLANK(Design!$B$34),Design!$B$33,Design!$B$34)/1000000)*AH51/100/(IF(ISBLANK(Design!$B$26),Design!$B$25,Design!$B$26)*1000000))</f>
        <v>0.59845425925428231</v>
      </c>
      <c r="AJ51" s="217">
        <f>$B51*Constants!$C$21/1000+IF(ISBLANK(Design!$B$26),Design!$B$25,Design!$B$26)*1000000*(Constants!$D$26+Constants!$D$27)/1000000000*$B51</f>
        <v>5.5301399999999945E-2</v>
      </c>
      <c r="AK51" s="217">
        <f>$B51*AG51*($B51/(Constants!$C$28*1000000000)*IF(ISBLANK(Design!$B$26),Design!$B$25,Design!$B$26)*1000000/2+$B51/(Constants!$C$29*1000000000)*IF(ISBLANK(Design!$B$26),Design!$B$25,Design!$B$26)*1000000/2)</f>
        <v>4.7064401999999915E-2</v>
      </c>
      <c r="AL51" s="217">
        <f t="shared" ca="1" si="17"/>
        <v>2.3593667415584805E-2</v>
      </c>
      <c r="AM51" s="217">
        <f t="shared" ca="1" si="18"/>
        <v>3.648115333739279E-2</v>
      </c>
      <c r="AN51" s="217">
        <f>2*AG51*Constants!$C$20/1000000000*Constants!$C$25*IF(ISBLANK(Design!$B$26),Design!$B$25,Design!$B$26)*1000000</f>
        <v>2.4E-2</v>
      </c>
      <c r="AO51" s="217">
        <f>(Constants!$D$26+Constants!$D$27)/1000000000*$B51*IF(ISBLANK(Design!$B$26),Design!$B$25,Design!$B$26)*1000000</f>
        <v>4.559939999999995E-2</v>
      </c>
      <c r="AP51" s="217">
        <f t="shared" ca="1" si="19"/>
        <v>0.23204002275297742</v>
      </c>
      <c r="AQ51" s="218">
        <f ca="1">AP51*Design!$C$12+$A51</f>
        <v>116.13792109214292</v>
      </c>
      <c r="AR51" s="218">
        <f ca="1">Constants!$D$22+Constants!$D$22*Constants!$C$24/100*(AQ51-25)</f>
        <v>126.66261559917717</v>
      </c>
      <c r="AS51" s="218">
        <f ca="1">Constants!$D$23+Constants!$D$23*Constants!$C$24/100*(AQ51-25)</f>
        <v>102.91337517433146</v>
      </c>
      <c r="AT51" s="217">
        <f ca="1">(1-Constants!$C$19/1000000000*Design!$B$26*1000000) * ($B51+AG51*AS51/1000-AG51*AR51/1000) - (AG51*AS51/1000+AG51*(1+($A51-25)*Constants!$C$36/100)*IF(ISBLANK(Design!$B$35),Constants!$C$6/1000,Design!$B$35/1000))</f>
        <v>4.2771705522955346</v>
      </c>
      <c r="AU51" s="311">
        <f ca="1">IF(AT51&gt;Design!$C$22,Design!$C$22,AT51)</f>
        <v>1.7973333333333334</v>
      </c>
    </row>
    <row r="52" spans="1:47" ht="12.75" customHeight="1">
      <c r="A52" s="136">
        <f>Design!$D$13</f>
        <v>105</v>
      </c>
      <c r="B52" s="137">
        <f t="shared" si="10"/>
        <v>4.776499999999996</v>
      </c>
      <c r="C52" s="138">
        <f>Design!$D$6</f>
        <v>2</v>
      </c>
      <c r="D52" s="193">
        <f ca="1">IF( 100*(Design!$C$22+C52*(IF(ISBLANK(Design!$B$35),Constants!$C$6,Design!$B$35)/1000*(1+Constants!$C$36/100*(M52-25))+O52/1000))/($B52-C52*N52/1000) &gt; Design!$C$29, Design!$C$29, 100*(Design!$C$22+C52*(IF(ISBLANK(Design!$B$35),Constants!$C$6,Design!$B$35)/1000*(1+Constants!$C$36/100*(M52-25))+O52/1000))/($B52-C52*N52/1000) )</f>
        <v>45.624894096608017</v>
      </c>
      <c r="E52" s="139">
        <f ca="1">IF(($B52-C52*IF(ISBLANK(Design!$B$35),Constants!$C$6,Design!$B$35)/1000*(1+Constants!$C$36/100*(M52-25))-Design!$C$22)/(IF(ISBLANK(Design!$B$34),Design!$B$33,Design!$B$34)/1000000)*D52/100/(IF(ISBLANK(Design!$B$26),Design!$B$25,Design!$B$26)*1000000)&lt;0, 0, ($B52-C52*IF(ISBLANK(Design!$B$35),Constants!$C$6,Design!$B$35)/1000*(1+Constants!$C$36/100*(M52-25))-Design!$C$22)/(IF(ISBLANK(Design!$B$34),Design!$B$33,Design!$B$34)/1000000)*D52/100/(IF(ISBLANK(Design!$B$26),Design!$B$25,Design!$B$26)*1000000))</f>
        <v>0.67509285816542319</v>
      </c>
      <c r="F52" s="186">
        <f>$B52*Constants!$C$21/1000+IF(ISBLANK(Design!$B$26),Design!$B$25,Design!$B$26)*1000000*(Constants!$D$26+Constants!$D$27)/1000000000*$B52</f>
        <v>5.4452099999999948E-2</v>
      </c>
      <c r="G52" s="186">
        <f>$B52*C52*($B52/(Constants!$C$28*1000000000)*IF(ISBLANK(Design!$B$26),Design!$B$25,Design!$B$26)*1000000/2+$B52/(Constants!$C$29*1000000000)*IF(ISBLANK(Design!$B$26),Design!$B$25,Design!$B$26)*1000000/2)</f>
        <v>0.13688971349999976</v>
      </c>
      <c r="H52" s="186">
        <f t="shared" ca="1" si="11"/>
        <v>0.26289244289807223</v>
      </c>
      <c r="I52" s="186">
        <f t="shared" ca="1" si="12"/>
        <v>0.31331150914050782</v>
      </c>
      <c r="J52" s="186">
        <f>2*C52*Constants!$C$20/1000000000*Constants!$C$25*IF(ISBLANK(Design!$B$26),Design!$B$25,Design!$B$26)*1000000</f>
        <v>7.1999999999999995E-2</v>
      </c>
      <c r="K52" s="186">
        <f>(Constants!$D$26+Constants!$D$27)/1000000000*$B52*IF(ISBLANK(Design!$B$26),Design!$B$25,Design!$B$26)*1000000</f>
        <v>4.4899099999999956E-2</v>
      </c>
      <c r="L52" s="186">
        <f t="shared" ca="1" si="13"/>
        <v>0.88444486553857971</v>
      </c>
      <c r="M52" s="187">
        <f ca="1">L52*Design!$C$12+$A52</f>
        <v>147.45335354585183</v>
      </c>
      <c r="N52" s="187">
        <f ca="1">Constants!$D$22+Constants!$D$22*Constants!$C$24/100*(M52-25)</f>
        <v>142.69611701547615</v>
      </c>
      <c r="O52" s="187">
        <f ca="1">Constants!$D$23+Constants!$D$23*Constants!$C$24/100*(M52-25)</f>
        <v>115.94059507507436</v>
      </c>
      <c r="P52" s="186">
        <f ca="1">(1-Constants!$C$19/1000000000*Design!$B$26*1000000) * ($B52+C52*O52/1000-C52*N52/1000) - (C52*O52/1000+C52*(1+($A52-25)*Constants!$C$36/100)*IF(ISBLANK(Design!$B$35),Constants!$C$6/1000,Design!$B$35/1000))</f>
        <v>4.001195910357124</v>
      </c>
      <c r="Q52" s="191">
        <f ca="1">IF(P52&gt;Design!$C$22,Design!$C$22,P52)</f>
        <v>1.7973333333333334</v>
      </c>
      <c r="R52" s="140">
        <f>2*Design!$D$6/3</f>
        <v>1.3333333333333333</v>
      </c>
      <c r="S52" s="202">
        <f ca="1">IF( 100*(Design!$C$22+R52*(IF(ISBLANK(Design!$B$35),Constants!$C$6,Design!$B$35)/1000*(1+Constants!$C$36/100*(AB52-25))+AD52/1000))/($B52-R52*AC52/1000) &gt; Design!$C$29, Design!$C$29, 100*(Design!$C$22+R52*(IF(ISBLANK(Design!$B$35),Constants!$C$6,Design!$B$35)/1000*(1+Constants!$C$36/100*(AB52-25))+AD52/1000))/($B52-R52*AC52/1000) )</f>
        <v>42.475569342196387</v>
      </c>
      <c r="T52" s="141">
        <f ca="1">IF(($B52-R52*IF(ISBLANK(Design!$B$35),Constants!$C$6,Design!$B$35)/1000*(1+Constants!$C$36/100*(AB52-25))-Design!$C$22)/(IF(ISBLANK(Design!$B$34),Design!$B$33,Design!$B$34)/1000000)*S52/100/(IF(ISBLANK(Design!$B$26),Design!$B$25,Design!$B$26)*1000000)&lt;0, 0, ($B52-R52*IF(ISBLANK(Design!$B$35),Constants!$C$6,Design!$B$35)/1000*(1+Constants!$C$36/100*(AB52-25))-Design!$C$22)/(IF(ISBLANK(Design!$B$34),Design!$B$33,Design!$B$34)/1000000)*S52/100/(IF(ISBLANK(Design!$B$26),Design!$B$25,Design!$B$26)*1000000))</f>
        <v>0.63004384598607899</v>
      </c>
      <c r="U52" s="203">
        <f>$B52*Constants!$C$21/1000+IF(ISBLANK(Design!$B$26),Design!$B$25,Design!$B$26)*1000000*(Constants!$D$26+Constants!$D$27)/1000000000*$B52</f>
        <v>5.4452099999999948E-2</v>
      </c>
      <c r="V52" s="203">
        <f>$B52*R52*($B52/(Constants!$C$28*1000000000)*IF(ISBLANK(Design!$B$26),Design!$B$25,Design!$B$26)*1000000/2+$B52/(Constants!$C$29*1000000000)*IF(ISBLANK(Design!$B$26),Design!$B$25,Design!$B$26)*1000000/2)</f>
        <v>9.1259808999999845E-2</v>
      </c>
      <c r="W52" s="203">
        <f t="shared" ca="1" si="14"/>
        <v>0.1020930595217011</v>
      </c>
      <c r="X52" s="203">
        <f t="shared" ca="1" si="15"/>
        <v>0.13826407071287608</v>
      </c>
      <c r="Y52" s="203">
        <f>2*R52*Constants!$C$20/1000000000*Constants!$C$25*IF(ISBLANK(Design!$B$26),Design!$B$25,Design!$B$26)*1000000</f>
        <v>4.8000000000000001E-2</v>
      </c>
      <c r="Z52" s="203">
        <f>(Constants!$D$26+Constants!$D$27)/1000000000*$B52*IF(ISBLANK(Design!$B$26),Design!$B$25,Design!$B$26)*1000000</f>
        <v>4.4899099999999956E-2</v>
      </c>
      <c r="AA52" s="203">
        <f t="shared" ca="1" si="16"/>
        <v>0.47896813923457698</v>
      </c>
      <c r="AB52" s="204">
        <f ca="1">AA52*Design!$C$12+$A52</f>
        <v>127.9904706832597</v>
      </c>
      <c r="AC52" s="204">
        <f ca="1">Constants!$D$22+Constants!$D$22*Constants!$C$24/100*(AB52-25)</f>
        <v>132.73112098982898</v>
      </c>
      <c r="AD52" s="204">
        <f ca="1">Constants!$D$23+Constants!$D$23*Constants!$C$24/100*(AB52-25)</f>
        <v>107.84403580423604</v>
      </c>
      <c r="AE52" s="203">
        <f ca="1">(1-Constants!$C$19/1000000000*Design!$B$26*1000000) * ($B52+R52*AD52/1000-R52*AC52/1000) - (R52*AD52/1000+R52*(1+($A52-25)*Constants!$C$36/100)*IF(ISBLANK(Design!$B$35),Constants!$C$6/1000,Design!$B$35/1000))</f>
        <v>4.1134514767049692</v>
      </c>
      <c r="AF52" s="308">
        <f ca="1">IF(AE52&gt;Design!$C$22,Design!$C$22,AE52)</f>
        <v>1.7973333333333334</v>
      </c>
      <c r="AG52" s="215">
        <f>Design!$D$6/3</f>
        <v>0.66666666666666663</v>
      </c>
      <c r="AH52" s="216">
        <f ca="1">IF( 100*(Design!$C$22+AG52*(IF(ISBLANK(Design!$B$35),Constants!$C$6,Design!$B$35)/1000*(1+Constants!$C$36/100*(AQ52-25))+AS52/1000))/($B52-AG52*AR52/1000) &gt; Design!$C$29, Design!$C$29, 100*(Design!$C$22+AG52*(IF(ISBLANK(Design!$B$35),Constants!$C$6,Design!$B$35)/1000*(1+Constants!$C$36/100*(AQ52-25))+AS52/1000))/($B52-AG52*AR52/1000) )</f>
        <v>39.896027744601604</v>
      </c>
      <c r="AI52" s="143">
        <f ca="1">IF(($B52-AG52*IF(ISBLANK(Design!$B$35),Constants!$C$6,Design!$B$35)/1000*(1+Constants!$C$36/100*(AQ52-25))-Design!$C$22)/(IF(ISBLANK(Design!$B$34),Design!$B$33,Design!$B$34)/1000000)*AH52/100/(IF(ISBLANK(Design!$B$26),Design!$B$25,Design!$B$26)*1000000)&lt;0, 0, ($B52-AG52*IF(ISBLANK(Design!$B$35),Constants!$C$6,Design!$B$35)/1000*(1+Constants!$C$36/100*(AQ52-25))-Design!$C$22)/(IF(ISBLANK(Design!$B$34),Design!$B$33,Design!$B$34)/1000000)*AH52/100/(IF(ISBLANK(Design!$B$26),Design!$B$25,Design!$B$26)*1000000))</f>
        <v>0.59307495232042717</v>
      </c>
      <c r="AJ52" s="217">
        <f>$B52*Constants!$C$21/1000+IF(ISBLANK(Design!$B$26),Design!$B$25,Design!$B$26)*1000000*(Constants!$D$26+Constants!$D$27)/1000000000*$B52</f>
        <v>5.4452099999999948E-2</v>
      </c>
      <c r="AK52" s="217">
        <f>$B52*AG52*($B52/(Constants!$C$28*1000000000)*IF(ISBLANK(Design!$B$26),Design!$B$25,Design!$B$26)*1000000/2+$B52/(Constants!$C$29*1000000000)*IF(ISBLANK(Design!$B$26),Design!$B$25,Design!$B$26)*1000000/2)</f>
        <v>4.5629904499999922E-2</v>
      </c>
      <c r="AL52" s="217">
        <f t="shared" ca="1" si="17"/>
        <v>2.3926132900022542E-2</v>
      </c>
      <c r="AM52" s="217">
        <f t="shared" ca="1" si="18"/>
        <v>3.6045082914213565E-2</v>
      </c>
      <c r="AN52" s="217">
        <f>2*AG52*Constants!$C$20/1000000000*Constants!$C$25*IF(ISBLANK(Design!$B$26),Design!$B$25,Design!$B$26)*1000000</f>
        <v>2.4E-2</v>
      </c>
      <c r="AO52" s="217">
        <f>(Constants!$D$26+Constants!$D$27)/1000000000*$B52*IF(ISBLANK(Design!$B$26),Design!$B$25,Design!$B$26)*1000000</f>
        <v>4.4899099999999956E-2</v>
      </c>
      <c r="AP52" s="217">
        <f t="shared" ca="1" si="19"/>
        <v>0.22895232031423596</v>
      </c>
      <c r="AQ52" s="218">
        <f ca="1">AP52*Design!$C$12+$A52</f>
        <v>115.98971137508333</v>
      </c>
      <c r="AR52" s="218">
        <f ca="1">Constants!$D$22+Constants!$D$22*Constants!$C$24/100*(AQ52-25)</f>
        <v>126.58673222404266</v>
      </c>
      <c r="AS52" s="218">
        <f ca="1">Constants!$D$23+Constants!$D$23*Constants!$C$24/100*(AQ52-25)</f>
        <v>102.85171993203467</v>
      </c>
      <c r="AT52" s="217">
        <f ca="1">(1-Constants!$C$19/1000000000*Design!$B$26*1000000) * ($B52+AG52*AS52/1000-AG52*AR52/1000) - (AG52*AS52/1000+AG52*(1+($A52-25)*Constants!$C$36/100)*IF(ISBLANK(Design!$B$35),Constants!$C$6/1000,Design!$B$35/1000))</f>
        <v>4.2101701926701018</v>
      </c>
      <c r="AU52" s="311">
        <f ca="1">IF(AT52&gt;Design!$C$22,Design!$C$22,AT52)</f>
        <v>1.7973333333333334</v>
      </c>
    </row>
    <row r="53" spans="1:47" ht="12.75" customHeight="1">
      <c r="A53" s="136">
        <f>Design!$D$13</f>
        <v>105</v>
      </c>
      <c r="B53" s="137">
        <f t="shared" si="10"/>
        <v>4.7019999999999964</v>
      </c>
      <c r="C53" s="138">
        <f>Design!$D$6</f>
        <v>2</v>
      </c>
      <c r="D53" s="193">
        <f ca="1">IF( 100*(Design!$C$22+C53*(IF(ISBLANK(Design!$B$35),Constants!$C$6,Design!$B$35)/1000*(1+Constants!$C$36/100*(M53-25))+O53/1000))/($B53-C53*N53/1000) &gt; Design!$C$29, Design!$C$29, 100*(Design!$C$22+C53*(IF(ISBLANK(Design!$B$35),Constants!$C$6,Design!$B$35)/1000*(1+Constants!$C$36/100*(M53-25))+O53/1000))/($B53-C53*N53/1000) )</f>
        <v>46.384851170617935</v>
      </c>
      <c r="E53" s="139">
        <f ca="1">IF(($B53-C53*IF(ISBLANK(Design!$B$35),Constants!$C$6,Design!$B$35)/1000*(1+Constants!$C$36/100*(M53-25))-Design!$C$22)/(IF(ISBLANK(Design!$B$34),Design!$B$33,Design!$B$34)/1000000)*D53/100/(IF(ISBLANK(Design!$B$26),Design!$B$25,Design!$B$26)*1000000)&lt;0, 0, ($B53-C53*IF(ISBLANK(Design!$B$35),Constants!$C$6,Design!$B$35)/1000*(1+Constants!$C$36/100*(M53-25))-Design!$C$22)/(IF(ISBLANK(Design!$B$34),Design!$B$33,Design!$B$34)/1000000)*D53/100/(IF(ISBLANK(Design!$B$26),Design!$B$25,Design!$B$26)*1000000))</f>
        <v>0.66906310318981843</v>
      </c>
      <c r="F53" s="186">
        <f>$B53*Constants!$C$21/1000+IF(ISBLANK(Design!$B$26),Design!$B$25,Design!$B$26)*1000000*(Constants!$D$26+Constants!$D$27)/1000000000*$B53</f>
        <v>5.360279999999995E-2</v>
      </c>
      <c r="G53" s="186">
        <f>$B53*C53*($B53/(Constants!$C$28*1000000000)*IF(ISBLANK(Design!$B$26),Design!$B$25,Design!$B$26)*1000000/2+$B53/(Constants!$C$29*1000000000)*IF(ISBLANK(Design!$B$26),Design!$B$25,Design!$B$26)*1000000/2)</f>
        <v>0.13265282399999978</v>
      </c>
      <c r="H53" s="186">
        <f t="shared" ca="1" si="11"/>
        <v>0.26692606785584744</v>
      </c>
      <c r="I53" s="186">
        <f t="shared" ca="1" si="12"/>
        <v>0.3085335081035756</v>
      </c>
      <c r="J53" s="186">
        <f>2*C53*Constants!$C$20/1000000000*Constants!$C$25*IF(ISBLANK(Design!$B$26),Design!$B$25,Design!$B$26)*1000000</f>
        <v>7.1999999999999995E-2</v>
      </c>
      <c r="K53" s="186">
        <f>(Constants!$D$26+Constants!$D$27)/1000000000*$B53*IF(ISBLANK(Design!$B$26),Design!$B$25,Design!$B$26)*1000000</f>
        <v>4.4198799999999962E-2</v>
      </c>
      <c r="L53" s="186">
        <f t="shared" ca="1" si="13"/>
        <v>0.87791399995942265</v>
      </c>
      <c r="M53" s="187">
        <f ca="1">L53*Design!$C$12+$A53</f>
        <v>147.13987199805229</v>
      </c>
      <c r="N53" s="187">
        <f ca="1">Constants!$D$22+Constants!$D$22*Constants!$C$24/100*(M53-25)</f>
        <v>142.53561446300279</v>
      </c>
      <c r="O53" s="187">
        <f ca="1">Constants!$D$23+Constants!$D$23*Constants!$C$24/100*(M53-25)</f>
        <v>115.81018675118975</v>
      </c>
      <c r="P53" s="186">
        <f ca="1">(1-Constants!$C$19/1000000000*Design!$B$26*1000000) * ($B53+C53*O53/1000-C53*N53/1000) - (C53*O53/1000+C53*(1+($A53-25)*Constants!$C$36/100)*IF(ISBLANK(Design!$B$35),Constants!$C$6/1000,Design!$B$35/1000))</f>
        <v>3.9344608966163546</v>
      </c>
      <c r="Q53" s="191">
        <f ca="1">IF(P53&gt;Design!$C$22,Design!$C$22,P53)</f>
        <v>1.7973333333333334</v>
      </c>
      <c r="R53" s="140">
        <f>2*Design!$D$6/3</f>
        <v>1.3333333333333333</v>
      </c>
      <c r="S53" s="202">
        <f ca="1">IF( 100*(Design!$C$22+R53*(IF(ISBLANK(Design!$B$35),Constants!$C$6,Design!$B$35)/1000*(1+Constants!$C$36/100*(AB53-25))+AD53/1000))/($B53-R53*AC53/1000) &gt; Design!$C$29, Design!$C$29, 100*(Design!$C$22+R53*(IF(ISBLANK(Design!$B$35),Constants!$C$6,Design!$B$35)/1000*(1+Constants!$C$36/100*(AB53-25))+AD53/1000))/($B53-R53*AC53/1000) )</f>
        <v>43.17051326196075</v>
      </c>
      <c r="T53" s="141">
        <f ca="1">IF(($B53-R53*IF(ISBLANK(Design!$B$35),Constants!$C$6,Design!$B$35)/1000*(1+Constants!$C$36/100*(AB53-25))-Design!$C$22)/(IF(ISBLANK(Design!$B$34),Design!$B$33,Design!$B$34)/1000000)*S53/100/(IF(ISBLANK(Design!$B$26),Design!$B$25,Design!$B$26)*1000000)&lt;0, 0, ($B53-R53*IF(ISBLANK(Design!$B$35),Constants!$C$6,Design!$B$35)/1000*(1+Constants!$C$36/100*(AB53-25))-Design!$C$22)/(IF(ISBLANK(Design!$B$34),Design!$B$33,Design!$B$34)/1000000)*S53/100/(IF(ISBLANK(Design!$B$26),Design!$B$25,Design!$B$26)*1000000))</f>
        <v>0.62427268960019378</v>
      </c>
      <c r="U53" s="203">
        <f>$B53*Constants!$C$21/1000+IF(ISBLANK(Design!$B$26),Design!$B$25,Design!$B$26)*1000000*(Constants!$D$26+Constants!$D$27)/1000000000*$B53</f>
        <v>5.360279999999995E-2</v>
      </c>
      <c r="V53" s="203">
        <f>$B53*R53*($B53/(Constants!$C$28*1000000000)*IF(ISBLANK(Design!$B$26),Design!$B$25,Design!$B$26)*1000000/2+$B53/(Constants!$C$29*1000000000)*IF(ISBLANK(Design!$B$26),Design!$B$25,Design!$B$26)*1000000/2)</f>
        <v>8.8435215999999858E-2</v>
      </c>
      <c r="W53" s="203">
        <f t="shared" ca="1" si="14"/>
        <v>0.10363930889843066</v>
      </c>
      <c r="X53" s="203">
        <f t="shared" ca="1" si="15"/>
        <v>0.13643036150261911</v>
      </c>
      <c r="Y53" s="203">
        <f>2*R53*Constants!$C$20/1000000000*Constants!$C$25*IF(ISBLANK(Design!$B$26),Design!$B$25,Design!$B$26)*1000000</f>
        <v>4.8000000000000001E-2</v>
      </c>
      <c r="Z53" s="203">
        <f>(Constants!$D$26+Constants!$D$27)/1000000000*$B53*IF(ISBLANK(Design!$B$26),Design!$B$25,Design!$B$26)*1000000</f>
        <v>4.4198799999999962E-2</v>
      </c>
      <c r="AA53" s="203">
        <f t="shared" ca="1" si="16"/>
        <v>0.47430648640104955</v>
      </c>
      <c r="AB53" s="204">
        <f ca="1">AA53*Design!$C$12+$A53</f>
        <v>127.76671134725038</v>
      </c>
      <c r="AC53" s="204">
        <f ca="1">Constants!$D$22+Constants!$D$22*Constants!$C$24/100*(AB53-25)</f>
        <v>132.61655620979218</v>
      </c>
      <c r="AD53" s="204">
        <f ca="1">Constants!$D$23+Constants!$D$23*Constants!$C$24/100*(AB53-25)</f>
        <v>107.75095192045616</v>
      </c>
      <c r="AE53" s="203">
        <f ca="1">(1-Constants!$C$19/1000000000*Design!$B$26*1000000) * ($B53+R53*AD53/1000-R53*AC53/1000) - (R53*AD53/1000+R53*(1+($A53-25)*Constants!$C$36/100)*IF(ISBLANK(Design!$B$35),Constants!$C$6/1000,Design!$B$35/1000))</f>
        <v>4.0465513656255201</v>
      </c>
      <c r="AF53" s="308">
        <f ca="1">IF(AE53&gt;Design!$C$22,Design!$C$22,AE53)</f>
        <v>1.7973333333333334</v>
      </c>
      <c r="AG53" s="215">
        <f>Design!$D$6/3</f>
        <v>0.66666666666666663</v>
      </c>
      <c r="AH53" s="216">
        <f ca="1">IF( 100*(Design!$C$22+AG53*(IF(ISBLANK(Design!$B$35),Constants!$C$6,Design!$B$35)/1000*(1+Constants!$C$36/100*(AQ53-25))+AS53/1000))/($B53-AG53*AR53/1000) &gt; Design!$C$29, Design!$C$29, 100*(Design!$C$22+AG53*(IF(ISBLANK(Design!$B$35),Constants!$C$6,Design!$B$35)/1000*(1+Constants!$C$36/100*(AQ53-25))+AS53/1000))/($B53-AG53*AR53/1000) )</f>
        <v>40.538324770447204</v>
      </c>
      <c r="AI53" s="143">
        <f ca="1">IF(($B53-AG53*IF(ISBLANK(Design!$B$35),Constants!$C$6,Design!$B$35)/1000*(1+Constants!$C$36/100*(AQ53-25))-Design!$C$22)/(IF(ISBLANK(Design!$B$34),Design!$B$33,Design!$B$34)/1000000)*AH53/100/(IF(ISBLANK(Design!$B$26),Design!$B$25,Design!$B$26)*1000000)&lt;0, 0, ($B53-AG53*IF(ISBLANK(Design!$B$35),Constants!$C$6,Design!$B$35)/1000*(1+Constants!$C$36/100*(AQ53-25))-Design!$C$22)/(IF(ISBLANK(Design!$B$34),Design!$B$33,Design!$B$34)/1000000)*AH53/100/(IF(ISBLANK(Design!$B$26),Design!$B$25,Design!$B$26)*1000000))</f>
        <v>0.58752302541734525</v>
      </c>
      <c r="AJ53" s="217">
        <f>$B53*Constants!$C$21/1000+IF(ISBLANK(Design!$B$26),Design!$B$25,Design!$B$26)*1000000*(Constants!$D$26+Constants!$D$27)/1000000000*$B53</f>
        <v>5.360279999999995E-2</v>
      </c>
      <c r="AK53" s="217">
        <f>$B53*AG53*($B53/(Constants!$C$28*1000000000)*IF(ISBLANK(Design!$B$26),Design!$B$25,Design!$B$26)*1000000/2+$B53/(Constants!$C$29*1000000000)*IF(ISBLANK(Design!$B$26),Design!$B$25,Design!$B$26)*1000000/2)</f>
        <v>4.4217607999999929E-2</v>
      </c>
      <c r="AL53" s="217">
        <f t="shared" ca="1" si="17"/>
        <v>2.4268838717717744E-2</v>
      </c>
      <c r="AM53" s="217">
        <f t="shared" ca="1" si="18"/>
        <v>3.5597568824139884E-2</v>
      </c>
      <c r="AN53" s="217">
        <f>2*AG53*Constants!$C$20/1000000000*Constants!$C$25*IF(ISBLANK(Design!$B$26),Design!$B$25,Design!$B$26)*1000000</f>
        <v>2.4E-2</v>
      </c>
      <c r="AO53" s="217">
        <f>(Constants!$D$26+Constants!$D$27)/1000000000*$B53*IF(ISBLANK(Design!$B$26),Design!$B$25,Design!$B$26)*1000000</f>
        <v>4.4198799999999962E-2</v>
      </c>
      <c r="AP53" s="217">
        <f t="shared" ca="1" si="19"/>
        <v>0.22588561554185746</v>
      </c>
      <c r="AQ53" s="218">
        <f ca="1">AP53*Design!$C$12+$A53</f>
        <v>115.84250954600915</v>
      </c>
      <c r="AR53" s="218">
        <f ca="1">Constants!$D$22+Constants!$D$22*Constants!$C$24/100*(AQ53-25)</f>
        <v>126.51136488755668</v>
      </c>
      <c r="AS53" s="218">
        <f ca="1">Constants!$D$23+Constants!$D$23*Constants!$C$24/100*(AQ53-25)</f>
        <v>102.79048397113982</v>
      </c>
      <c r="AT53" s="217">
        <f ca="1">(1-Constants!$C$19/1000000000*Design!$B$26*1000000) * ($B53+AG53*AS53/1000-AG53*AR53/1000) - (AG53*AS53/1000+AG53*(1+($A53-25)*Constants!$C$36/100)*IF(ISBLANK(Design!$B$35),Constants!$C$6/1000,Design!$B$35/1000))</f>
        <v>4.1431694954693876</v>
      </c>
      <c r="AU53" s="311">
        <f ca="1">IF(AT53&gt;Design!$C$22,Design!$C$22,AT53)</f>
        <v>1.7973333333333334</v>
      </c>
    </row>
    <row r="54" spans="1:47" ht="12.75" customHeight="1">
      <c r="A54" s="136">
        <f>Design!$D$13</f>
        <v>105</v>
      </c>
      <c r="B54" s="137">
        <f t="shared" si="10"/>
        <v>4.6274999999999968</v>
      </c>
      <c r="C54" s="138">
        <f>Design!$D$6</f>
        <v>2</v>
      </c>
      <c r="D54" s="193">
        <f ca="1">IF( 100*(Design!$C$22+C54*(IF(ISBLANK(Design!$B$35),Constants!$C$6,Design!$B$35)/1000*(1+Constants!$C$36/100*(M54-25))+O54/1000))/($B54-C54*N54/1000) &gt; Design!$C$29, Design!$C$29, 100*(Design!$C$22+C54*(IF(ISBLANK(Design!$B$35),Constants!$C$6,Design!$B$35)/1000*(1+Constants!$C$36/100*(M54-25))+O54/1000))/($B54-C54*N54/1000) )</f>
        <v>47.170878378322158</v>
      </c>
      <c r="E54" s="139">
        <f ca="1">IF(($B54-C54*IF(ISBLANK(Design!$B$35),Constants!$C$6,Design!$B$35)/1000*(1+Constants!$C$36/100*(M54-25))-Design!$C$22)/(IF(ISBLANK(Design!$B$34),Design!$B$33,Design!$B$34)/1000000)*D54/100/(IF(ISBLANK(Design!$B$26),Design!$B$25,Design!$B$26)*1000000)&lt;0, 0, ($B54-C54*IF(ISBLANK(Design!$B$35),Constants!$C$6,Design!$B$35)/1000*(1+Constants!$C$36/100*(M54-25))-Design!$C$22)/(IF(ISBLANK(Design!$B$34),Design!$B$33,Design!$B$34)/1000000)*D54/100/(IF(ISBLANK(Design!$B$26),Design!$B$25,Design!$B$26)*1000000))</f>
        <v>0.66283359407386766</v>
      </c>
      <c r="F54" s="186">
        <f>$B54*Constants!$C$21/1000+IF(ISBLANK(Design!$B$26),Design!$B$25,Design!$B$26)*1000000*(Constants!$D$26+Constants!$D$27)/1000000000*$B54</f>
        <v>5.2753499999999953E-2</v>
      </c>
      <c r="G54" s="186">
        <f>$B54*C54*($B54/(Constants!$C$28*1000000000)*IF(ISBLANK(Design!$B$26),Design!$B$25,Design!$B$26)*1000000/2+$B54/(Constants!$C$29*1000000000)*IF(ISBLANK(Design!$B$26),Design!$B$25,Design!$B$26)*1000000/2)</f>
        <v>0.12848253749999983</v>
      </c>
      <c r="H54" s="186">
        <f t="shared" ca="1" si="11"/>
        <v>0.27110058772855822</v>
      </c>
      <c r="I54" s="186">
        <f t="shared" ca="1" si="12"/>
        <v>0.30361965715275224</v>
      </c>
      <c r="J54" s="186">
        <f>2*C54*Constants!$C$20/1000000000*Constants!$C$25*IF(ISBLANK(Design!$B$26),Design!$B$25,Design!$B$26)*1000000</f>
        <v>7.1999999999999995E-2</v>
      </c>
      <c r="K54" s="186">
        <f>(Constants!$D$26+Constants!$D$27)/1000000000*$B54*IF(ISBLANK(Design!$B$26),Design!$B$25,Design!$B$26)*1000000</f>
        <v>4.3498499999999968E-2</v>
      </c>
      <c r="L54" s="186">
        <f t="shared" ca="1" si="13"/>
        <v>0.87145478238131013</v>
      </c>
      <c r="M54" s="187">
        <f ca="1">L54*Design!$C$12+$A54</f>
        <v>146.82982955430288</v>
      </c>
      <c r="N54" s="187">
        <f ca="1">Constants!$D$22+Constants!$D$22*Constants!$C$24/100*(M54-25)</f>
        <v>142.37687273180308</v>
      </c>
      <c r="O54" s="187">
        <f ca="1">Constants!$D$23+Constants!$D$23*Constants!$C$24/100*(M54-25)</f>
        <v>115.68120909459</v>
      </c>
      <c r="P54" s="186">
        <f ca="1">(1-Constants!$C$19/1000000000*Design!$B$26*1000000) * ($B54+C54*O54/1000-C54*N54/1000) - (C54*O54/1000+C54*(1+($A54-25)*Constants!$C$36/100)*IF(ISBLANK(Design!$B$35),Constants!$C$6/1000,Design!$B$35/1000))</f>
        <v>3.8677224272638338</v>
      </c>
      <c r="Q54" s="191">
        <f ca="1">IF(P54&gt;Design!$C$22,Design!$C$22,P54)</f>
        <v>1.7973333333333334</v>
      </c>
      <c r="R54" s="140">
        <f>2*Design!$D$6/3</f>
        <v>1.3333333333333333</v>
      </c>
      <c r="S54" s="202">
        <f ca="1">IF( 100*(Design!$C$22+R54*(IF(ISBLANK(Design!$B$35),Constants!$C$6,Design!$B$35)/1000*(1+Constants!$C$36/100*(AB54-25))+AD54/1000))/($B54-R54*AC54/1000) &gt; Design!$C$29, Design!$C$29, 100*(Design!$C$22+R54*(IF(ISBLANK(Design!$B$35),Constants!$C$6,Design!$B$35)/1000*(1+Constants!$C$36/100*(AB54-25))+AD54/1000))/($B54-R54*AC54/1000) )</f>
        <v>43.888716889818092</v>
      </c>
      <c r="T54" s="141">
        <f ca="1">IF(($B54-R54*IF(ISBLANK(Design!$B$35),Constants!$C$6,Design!$B$35)/1000*(1+Constants!$C$36/100*(AB54-25))-Design!$C$22)/(IF(ISBLANK(Design!$B$34),Design!$B$33,Design!$B$34)/1000000)*S54/100/(IF(ISBLANK(Design!$B$26),Design!$B$25,Design!$B$26)*1000000)&lt;0, 0, ($B54-R54*IF(ISBLANK(Design!$B$35),Constants!$C$6,Design!$B$35)/1000*(1+Constants!$C$36/100*(AB54-25))-Design!$C$22)/(IF(ISBLANK(Design!$B$34),Design!$B$33,Design!$B$34)/1000000)*S54/100/(IF(ISBLANK(Design!$B$26),Design!$B$25,Design!$B$26)*1000000))</f>
        <v>0.61831152470413397</v>
      </c>
      <c r="U54" s="203">
        <f>$B54*Constants!$C$21/1000+IF(ISBLANK(Design!$B$26),Design!$B$25,Design!$B$26)*1000000*(Constants!$D$26+Constants!$D$27)/1000000000*$B54</f>
        <v>5.2753499999999953E-2</v>
      </c>
      <c r="V54" s="203">
        <f>$B54*R54*($B54/(Constants!$C$28*1000000000)*IF(ISBLANK(Design!$B$26),Design!$B$25,Design!$B$26)*1000000/2+$B54/(Constants!$C$29*1000000000)*IF(ISBLANK(Design!$B$26),Design!$B$25,Design!$B$26)*1000000/2)</f>
        <v>8.5655024999999885E-2</v>
      </c>
      <c r="W54" s="203">
        <f t="shared" ca="1" si="14"/>
        <v>0.10523745201931782</v>
      </c>
      <c r="X54" s="203">
        <f t="shared" ca="1" si="15"/>
        <v>0.13454502392664047</v>
      </c>
      <c r="Y54" s="203">
        <f>2*R54*Constants!$C$20/1000000000*Constants!$C$25*IF(ISBLANK(Design!$B$26),Design!$B$25,Design!$B$26)*1000000</f>
        <v>4.8000000000000001E-2</v>
      </c>
      <c r="Z54" s="203">
        <f>(Constants!$D$26+Constants!$D$27)/1000000000*$B54*IF(ISBLANK(Design!$B$26),Design!$B$25,Design!$B$26)*1000000</f>
        <v>4.3498499999999968E-2</v>
      </c>
      <c r="AA54" s="203">
        <f t="shared" ca="1" si="16"/>
        <v>0.46968950094595807</v>
      </c>
      <c r="AB54" s="204">
        <f ca="1">AA54*Design!$C$12+$A54</f>
        <v>127.54509604540598</v>
      </c>
      <c r="AC54" s="204">
        <f ca="1">Constants!$D$22+Constants!$D$22*Constants!$C$24/100*(AB54-25)</f>
        <v>132.50308917524785</v>
      </c>
      <c r="AD54" s="204">
        <f ca="1">Constants!$D$23+Constants!$D$23*Constants!$C$24/100*(AB54-25)</f>
        <v>107.65875995488889</v>
      </c>
      <c r="AE54" s="203">
        <f ca="1">(1-Constants!$C$19/1000000000*Design!$B$26*1000000) * ($B54+R54*AD54/1000-R54*AC54/1000) - (R54*AD54/1000+R54*(1+($A54-25)*Constants!$C$36/100)*IF(ISBLANK(Design!$B$35),Constants!$C$6/1000,Design!$B$35/1000))</f>
        <v>3.9796498183290483</v>
      </c>
      <c r="AF54" s="308">
        <f ca="1">IF(AE54&gt;Design!$C$22,Design!$C$22,AE54)</f>
        <v>1.7973333333333334</v>
      </c>
      <c r="AG54" s="215">
        <f>Design!$D$6/3</f>
        <v>0.66666666666666663</v>
      </c>
      <c r="AH54" s="216">
        <f ca="1">IF( 100*(Design!$C$22+AG54*(IF(ISBLANK(Design!$B$35),Constants!$C$6,Design!$B$35)/1000*(1+Constants!$C$36/100*(AQ54-25))+AS54/1000))/($B54-AG54*AR54/1000) &gt; Design!$C$29, Design!$C$29, 100*(Design!$C$22+AG54*(IF(ISBLANK(Design!$B$35),Constants!$C$6,Design!$B$35)/1000*(1+Constants!$C$36/100*(AQ54-25))+AS54/1000))/($B54-AG54*AR54/1000) )</f>
        <v>41.201682133411481</v>
      </c>
      <c r="AI54" s="143">
        <f ca="1">IF(($B54-AG54*IF(ISBLANK(Design!$B$35),Constants!$C$6,Design!$B$35)/1000*(1+Constants!$C$36/100*(AQ54-25))-Design!$C$22)/(IF(ISBLANK(Design!$B$34),Design!$B$33,Design!$B$34)/1000000)*AH54/100/(IF(ISBLANK(Design!$B$26),Design!$B$25,Design!$B$26)*1000000)&lt;0, 0, ($B54-AG54*IF(ISBLANK(Design!$B$35),Constants!$C$6,Design!$B$35)/1000*(1+Constants!$C$36/100*(AQ54-25))-Design!$C$22)/(IF(ISBLANK(Design!$B$34),Design!$B$33,Design!$B$34)/1000000)*AH54/100/(IF(ISBLANK(Design!$B$26),Design!$B$25,Design!$B$26)*1000000))</f>
        <v>0.58178998351517097</v>
      </c>
      <c r="AJ54" s="217">
        <f>$B54*Constants!$C$21/1000+IF(ISBLANK(Design!$B$26),Design!$B$25,Design!$B$26)*1000000*(Constants!$D$26+Constants!$D$27)/1000000000*$B54</f>
        <v>5.2753499999999953E-2</v>
      </c>
      <c r="AK54" s="217">
        <f>$B54*AG54*($B54/(Constants!$C$28*1000000000)*IF(ISBLANK(Design!$B$26),Design!$B$25,Design!$B$26)*1000000/2+$B54/(Constants!$C$29*1000000000)*IF(ISBLANK(Design!$B$26),Design!$B$25,Design!$B$26)*1000000/2)</f>
        <v>4.2827512499999942E-2</v>
      </c>
      <c r="AL54" s="217">
        <f t="shared" ca="1" si="17"/>
        <v>2.4622271002096283E-2</v>
      </c>
      <c r="AM54" s="217">
        <f t="shared" ca="1" si="18"/>
        <v>3.5138082767852012E-2</v>
      </c>
      <c r="AN54" s="217">
        <f>2*AG54*Constants!$C$20/1000000000*Constants!$C$25*IF(ISBLANK(Design!$B$26),Design!$B$25,Design!$B$26)*1000000</f>
        <v>2.4E-2</v>
      </c>
      <c r="AO54" s="217">
        <f>(Constants!$D$26+Constants!$D$27)/1000000000*$B54*IF(ISBLANK(Design!$B$26),Design!$B$25,Design!$B$26)*1000000</f>
        <v>4.3498499999999968E-2</v>
      </c>
      <c r="AP54" s="217">
        <f t="shared" ca="1" si="19"/>
        <v>0.22283986626994814</v>
      </c>
      <c r="AQ54" s="218">
        <f ca="1">AP54*Design!$C$12+$A54</f>
        <v>115.69631358095751</v>
      </c>
      <c r="AR54" s="218">
        <f ca="1">Constants!$D$22+Constants!$D$22*Constants!$C$24/100*(AQ54-25)</f>
        <v>126.43651255345024</v>
      </c>
      <c r="AS54" s="218">
        <f ca="1">Constants!$D$23+Constants!$D$23*Constants!$C$24/100*(AQ54-25)</f>
        <v>102.72966644967832</v>
      </c>
      <c r="AT54" s="217">
        <f ca="1">(1-Constants!$C$19/1000000000*Design!$B$26*1000000) * ($B54+AG54*AS54/1000-AG54*AR54/1000) - (AG54*AS54/1000+AG54*(1+($A54-25)*Constants!$C$36/100)*IF(ISBLANK(Design!$B$35),Constants!$C$6/1000,Design!$B$35/1000))</f>
        <v>4.0761684613712816</v>
      </c>
      <c r="AU54" s="311">
        <f ca="1">IF(AT54&gt;Design!$C$22,Design!$C$22,AT54)</f>
        <v>1.7973333333333334</v>
      </c>
    </row>
    <row r="55" spans="1:47" ht="12.75" customHeight="1">
      <c r="A55" s="136">
        <f>Design!$D$13</f>
        <v>105</v>
      </c>
      <c r="B55" s="137">
        <f t="shared" si="10"/>
        <v>4.5529999999999973</v>
      </c>
      <c r="C55" s="138">
        <f>Design!$D$6</f>
        <v>2</v>
      </c>
      <c r="D55" s="193">
        <f ca="1">IF( 100*(Design!$C$22+C55*(IF(ISBLANK(Design!$B$35),Constants!$C$6,Design!$B$35)/1000*(1+Constants!$C$36/100*(M55-25))+O55/1000))/($B55-C55*N55/1000) &gt; Design!$C$29, Design!$C$29, 100*(Design!$C$22+C55*(IF(ISBLANK(Design!$B$35),Constants!$C$6,Design!$B$35)/1000*(1+Constants!$C$36/100*(M55-25))+O55/1000))/($B55-C55*N55/1000) )</f>
        <v>47.984336747144091</v>
      </c>
      <c r="E55" s="139">
        <f ca="1">IF(($B55-C55*IF(ISBLANK(Design!$B$35),Constants!$C$6,Design!$B$35)/1000*(1+Constants!$C$36/100*(M55-25))-Design!$C$22)/(IF(ISBLANK(Design!$B$34),Design!$B$33,Design!$B$34)/1000000)*D55/100/(IF(ISBLANK(Design!$B$26),Design!$B$25,Design!$B$26)*1000000)&lt;0, 0, ($B55-C55*IF(ISBLANK(Design!$B$35),Constants!$C$6,Design!$B$35)/1000*(1+Constants!$C$36/100*(M55-25))-Design!$C$22)/(IF(ISBLANK(Design!$B$34),Design!$B$33,Design!$B$34)/1000000)*D55/100/(IF(ISBLANK(Design!$B$26),Design!$B$25,Design!$B$26)*1000000))</f>
        <v>0.656393819690685</v>
      </c>
      <c r="F55" s="186">
        <f>$B55*Constants!$C$21/1000+IF(ISBLANK(Design!$B$26),Design!$B$25,Design!$B$26)*1000000*(Constants!$D$26+Constants!$D$27)/1000000000*$B55</f>
        <v>5.1904199999999963E-2</v>
      </c>
      <c r="G55" s="186">
        <f>$B55*C55*($B55/(Constants!$C$28*1000000000)*IF(ISBLANK(Design!$B$26),Design!$B$25,Design!$B$26)*1000000/2+$B55/(Constants!$C$29*1000000000)*IF(ISBLANK(Design!$B$26),Design!$B$25,Design!$B$26)*1000000/2)</f>
        <v>0.12437885399999984</v>
      </c>
      <c r="H55" s="186">
        <f t="shared" ca="1" si="11"/>
        <v>0.27542331749048765</v>
      </c>
      <c r="I55" s="186">
        <f t="shared" ca="1" si="12"/>
        <v>0.29856256240578949</v>
      </c>
      <c r="J55" s="186">
        <f>2*C55*Constants!$C$20/1000000000*Constants!$C$25*IF(ISBLANK(Design!$B$26),Design!$B$25,Design!$B$26)*1000000</f>
        <v>7.1999999999999995E-2</v>
      </c>
      <c r="K55" s="186">
        <f>(Constants!$D$26+Constants!$D$27)/1000000000*$B55*IF(ISBLANK(Design!$B$26),Design!$B$25,Design!$B$26)*1000000</f>
        <v>4.2798199999999967E-2</v>
      </c>
      <c r="L55" s="186">
        <f t="shared" ca="1" si="13"/>
        <v>0.86506713389627687</v>
      </c>
      <c r="M55" s="187">
        <f ca="1">L55*Design!$C$12+$A55</f>
        <v>146.5232224270213</v>
      </c>
      <c r="N55" s="187">
        <f ca="1">Constants!$D$22+Constants!$D$22*Constants!$C$24/100*(M55-25)</f>
        <v>142.2198898826349</v>
      </c>
      <c r="O55" s="187">
        <f ca="1">Constants!$D$23+Constants!$D$23*Constants!$C$24/100*(M55-25)</f>
        <v>115.55366052964087</v>
      </c>
      <c r="P55" s="186">
        <f ca="1">(1-Constants!$C$19/1000000000*Design!$B$26*1000000) * ($B55+C55*O55/1000-C55*N55/1000) - (C55*O55/1000+C55*(1+($A55-25)*Constants!$C$36/100)*IF(ISBLANK(Design!$B$35),Constants!$C$6/1000,Design!$B$35/1000))</f>
        <v>3.800980506105327</v>
      </c>
      <c r="Q55" s="191">
        <f ca="1">IF(P55&gt;Design!$C$22,Design!$C$22,P55)</f>
        <v>1.7973333333333334</v>
      </c>
      <c r="R55" s="140">
        <f>2*Design!$D$6/3</f>
        <v>1.3333333333333333</v>
      </c>
      <c r="S55" s="202">
        <f ca="1">IF( 100*(Design!$C$22+R55*(IF(ISBLANK(Design!$B$35),Constants!$C$6,Design!$B$35)/1000*(1+Constants!$C$36/100*(AB55-25))+AD55/1000))/($B55-R55*AC55/1000) &gt; Design!$C$29, Design!$C$29, 100*(Design!$C$22+R55*(IF(ISBLANK(Design!$B$35),Constants!$C$6,Design!$B$35)/1000*(1+Constants!$C$36/100*(AB55-25))+AD55/1000))/($B55-R55*AC55/1000) )</f>
        <v>44.631366316374432</v>
      </c>
      <c r="T55" s="141">
        <f ca="1">IF(($B55-R55*IF(ISBLANK(Design!$B$35),Constants!$C$6,Design!$B$35)/1000*(1+Constants!$C$36/100*(AB55-25))-Design!$C$22)/(IF(ISBLANK(Design!$B$34),Design!$B$33,Design!$B$34)/1000000)*S55/100/(IF(ISBLANK(Design!$B$26),Design!$B$25,Design!$B$26)*1000000)&lt;0, 0, ($B55-R55*IF(ISBLANK(Design!$B$35),Constants!$C$6,Design!$B$35)/1000*(1+Constants!$C$36/100*(AB55-25))-Design!$C$22)/(IF(ISBLANK(Design!$B$34),Design!$B$33,Design!$B$34)/1000000)*S55/100/(IF(ISBLANK(Design!$B$26),Design!$B$25,Design!$B$26)*1000000))</f>
        <v>0.61215062856703206</v>
      </c>
      <c r="U55" s="203">
        <f>$B55*Constants!$C$21/1000+IF(ISBLANK(Design!$B$26),Design!$B$25,Design!$B$26)*1000000*(Constants!$D$26+Constants!$D$27)/1000000000*$B55</f>
        <v>5.1904199999999963E-2</v>
      </c>
      <c r="V55" s="203">
        <f>$B55*R55*($B55/(Constants!$C$28*1000000000)*IF(ISBLANK(Design!$B$26),Design!$B$25,Design!$B$26)*1000000/2+$B55/(Constants!$C$29*1000000000)*IF(ISBLANK(Design!$B$26),Design!$B$25,Design!$B$26)*1000000/2)</f>
        <v>8.2919235999999882E-2</v>
      </c>
      <c r="W55" s="203">
        <f t="shared" ca="1" si="14"/>
        <v>0.10689010979634142</v>
      </c>
      <c r="X55" s="203">
        <f t="shared" ca="1" si="15"/>
        <v>0.13260538097272653</v>
      </c>
      <c r="Y55" s="203">
        <f>2*R55*Constants!$C$20/1000000000*Constants!$C$25*IF(ISBLANK(Design!$B$26),Design!$B$25,Design!$B$26)*1000000</f>
        <v>4.8000000000000001E-2</v>
      </c>
      <c r="Z55" s="203">
        <f>(Constants!$D$26+Constants!$D$27)/1000000000*$B55*IF(ISBLANK(Design!$B$26),Design!$B$25,Design!$B$26)*1000000</f>
        <v>4.2798199999999967E-2</v>
      </c>
      <c r="AA55" s="203">
        <f t="shared" ca="1" si="16"/>
        <v>0.46511712676906775</v>
      </c>
      <c r="AB55" s="204">
        <f ca="1">AA55*Design!$C$12+$A55</f>
        <v>127.32562208491525</v>
      </c>
      <c r="AC55" s="204">
        <f ca="1">Constants!$D$22+Constants!$D$22*Constants!$C$24/100*(AB55-25)</f>
        <v>132.39071850747661</v>
      </c>
      <c r="AD55" s="204">
        <f ca="1">Constants!$D$23+Constants!$D$23*Constants!$C$24/100*(AB55-25)</f>
        <v>107.56745878732474</v>
      </c>
      <c r="AE55" s="203">
        <f ca="1">(1-Constants!$C$19/1000000000*Design!$B$26*1000000) * ($B55+R55*AD55/1000-R55*AC55/1000) - (R55*AD55/1000+R55*(1+($A55-25)*Constants!$C$36/100)*IF(ISBLANK(Design!$B$35),Constants!$C$6/1000,Design!$B$35/1000))</f>
        <v>3.9127468366193829</v>
      </c>
      <c r="AF55" s="308">
        <f ca="1">IF(AE55&gt;Design!$C$22,Design!$C$22,AE55)</f>
        <v>1.7973333333333334</v>
      </c>
      <c r="AG55" s="215">
        <f>Design!$D$6/3</f>
        <v>0.66666666666666663</v>
      </c>
      <c r="AH55" s="216">
        <f ca="1">IF( 100*(Design!$C$22+AG55*(IF(ISBLANK(Design!$B$35),Constants!$C$6,Design!$B$35)/1000*(1+Constants!$C$36/100*(AQ55-25))+AS55/1000))/($B55-AG55*AR55/1000) &gt; Design!$C$29, Design!$C$29, 100*(Design!$C$22+AG55*(IF(ISBLANK(Design!$B$35),Constants!$C$6,Design!$B$35)/1000*(1+Constants!$C$36/100*(AQ55-25))+AS55/1000))/($B55-AG55*AR55/1000) )</f>
        <v>41.887152570097001</v>
      </c>
      <c r="AI55" s="143">
        <f ca="1">IF(($B55-AG55*IF(ISBLANK(Design!$B$35),Constants!$C$6,Design!$B$35)/1000*(1+Constants!$C$36/100*(AQ55-25))-Design!$C$22)/(IF(ISBLANK(Design!$B$34),Design!$B$33,Design!$B$34)/1000000)*AH55/100/(IF(ISBLANK(Design!$B$26),Design!$B$25,Design!$B$26)*1000000)&lt;0, 0, ($B55-AG55*IF(ISBLANK(Design!$B$35),Constants!$C$6,Design!$B$35)/1000*(1+Constants!$C$36/100*(AQ55-25))-Design!$C$22)/(IF(ISBLANK(Design!$B$34),Design!$B$33,Design!$B$34)/1000000)*AH55/100/(IF(ISBLANK(Design!$B$26),Design!$B$25,Design!$B$26)*1000000))</f>
        <v>0.57586676540765958</v>
      </c>
      <c r="AJ55" s="217">
        <f>$B55*Constants!$C$21/1000+IF(ISBLANK(Design!$B$26),Design!$B$25,Design!$B$26)*1000000*(Constants!$D$26+Constants!$D$27)/1000000000*$B55</f>
        <v>5.1904199999999963E-2</v>
      </c>
      <c r="AK55" s="217">
        <f>$B55*AG55*($B55/(Constants!$C$28*1000000000)*IF(ISBLANK(Design!$B$26),Design!$B$25,Design!$B$26)*1000000/2+$B55/(Constants!$C$29*1000000000)*IF(ISBLANK(Design!$B$26),Design!$B$25,Design!$B$26)*1000000/2)</f>
        <v>4.1459617999999941E-2</v>
      </c>
      <c r="AL55" s="217">
        <f t="shared" ca="1" si="17"/>
        <v>2.4986947997198795E-2</v>
      </c>
      <c r="AM55" s="217">
        <f t="shared" ca="1" si="18"/>
        <v>3.4666063640161421E-2</v>
      </c>
      <c r="AN55" s="217">
        <f>2*AG55*Constants!$C$20/1000000000*Constants!$C$25*IF(ISBLANK(Design!$B$26),Design!$B$25,Design!$B$26)*1000000</f>
        <v>2.4E-2</v>
      </c>
      <c r="AO55" s="217">
        <f>(Constants!$D$26+Constants!$D$27)/1000000000*$B55*IF(ISBLANK(Design!$B$26),Design!$B$25,Design!$B$26)*1000000</f>
        <v>4.2798199999999967E-2</v>
      </c>
      <c r="AP55" s="217">
        <f t="shared" ca="1" si="19"/>
        <v>0.2198150296373601</v>
      </c>
      <c r="AQ55" s="218">
        <f ca="1">AP55*Design!$C$12+$A55</f>
        <v>115.55112142259328</v>
      </c>
      <c r="AR55" s="218">
        <f ca="1">Constants!$D$22+Constants!$D$22*Constants!$C$24/100*(AQ55-25)</f>
        <v>126.36217416836777</v>
      </c>
      <c r="AS55" s="218">
        <f ca="1">Constants!$D$23+Constants!$D$23*Constants!$C$24/100*(AQ55-25)</f>
        <v>102.66926651179881</v>
      </c>
      <c r="AT55" s="217">
        <f ca="1">(1-Constants!$C$19/1000000000*Design!$B$26*1000000) * ($B55+AG55*AS55/1000-AG55*AR55/1000) - (AG55*AS55/1000+AG55*(1+($A55-25)*Constants!$C$36/100)*IF(ISBLANK(Design!$B$35),Constants!$C$6/1000,Design!$B$35/1000))</f>
        <v>4.0091670910648576</v>
      </c>
      <c r="AU55" s="311">
        <f ca="1">IF(AT55&gt;Design!$C$22,Design!$C$22,AT55)</f>
        <v>1.7973333333333334</v>
      </c>
    </row>
    <row r="56" spans="1:47" ht="12.75" customHeight="1">
      <c r="A56" s="136">
        <f>Design!$D$13</f>
        <v>105</v>
      </c>
      <c r="B56" s="137">
        <f t="shared" si="10"/>
        <v>4.4784999999999977</v>
      </c>
      <c r="C56" s="138">
        <f>Design!$D$6</f>
        <v>2</v>
      </c>
      <c r="D56" s="193">
        <f ca="1">IF( 100*(Design!$C$22+C56*(IF(ISBLANK(Design!$B$35),Constants!$C$6,Design!$B$35)/1000*(1+Constants!$C$36/100*(M56-25))+O56/1000))/($B56-C56*N56/1000) &gt; Design!$C$29, Design!$C$29, 100*(Design!$C$22+C56*(IF(ISBLANK(Design!$B$35),Constants!$C$6,Design!$B$35)/1000*(1+Constants!$C$36/100*(M56-25))+O56/1000))/($B56-C56*N56/1000) )</f>
        <v>48.826683724289623</v>
      </c>
      <c r="E56" s="139">
        <f ca="1">IF(($B56-C56*IF(ISBLANK(Design!$B$35),Constants!$C$6,Design!$B$35)/1000*(1+Constants!$C$36/100*(M56-25))-Design!$C$22)/(IF(ISBLANK(Design!$B$34),Design!$B$33,Design!$B$34)/1000000)*D56/100/(IF(ISBLANK(Design!$B$26),Design!$B$25,Design!$B$26)*1000000)&lt;0, 0, ($B56-C56*IF(ISBLANK(Design!$B$35),Constants!$C$6,Design!$B$35)/1000*(1+Constants!$C$36/100*(M56-25))-Design!$C$22)/(IF(ISBLANK(Design!$B$34),Design!$B$33,Design!$B$34)/1000000)*D56/100/(IF(ISBLANK(Design!$B$26),Design!$B$25,Design!$B$26)*1000000))</f>
        <v>0.64973252432991979</v>
      </c>
      <c r="F56" s="186">
        <f>$B56*Constants!$C$21/1000+IF(ISBLANK(Design!$B$26),Design!$B$25,Design!$B$26)*1000000*(Constants!$D$26+Constants!$D$27)/1000000000*$B56</f>
        <v>5.1054899999999973E-2</v>
      </c>
      <c r="G56" s="186">
        <f>$B56*C56*($B56/(Constants!$C$28*1000000000)*IF(ISBLANK(Design!$B$26),Design!$B$25,Design!$B$26)*1000000/2+$B56/(Constants!$C$29*1000000000)*IF(ISBLANK(Design!$B$26),Design!$B$25,Design!$B$26)*1000000/2)</f>
        <v>0.12034177349999989</v>
      </c>
      <c r="H56" s="186">
        <f t="shared" ca="1" si="11"/>
        <v>0.27990208938280309</v>
      </c>
      <c r="I56" s="186">
        <f t="shared" ca="1" si="12"/>
        <v>0.29335431066953399</v>
      </c>
      <c r="J56" s="186">
        <f>2*C56*Constants!$C$20/1000000000*Constants!$C$25*IF(ISBLANK(Design!$B$26),Design!$B$25,Design!$B$26)*1000000</f>
        <v>7.1999999999999995E-2</v>
      </c>
      <c r="K56" s="186">
        <f>(Constants!$D$26+Constants!$D$27)/1000000000*$B56*IF(ISBLANK(Design!$B$26),Design!$B$25,Design!$B$26)*1000000</f>
        <v>4.2097899999999973E-2</v>
      </c>
      <c r="L56" s="186">
        <f t="shared" ca="1" si="13"/>
        <v>0.85875097355233687</v>
      </c>
      <c r="M56" s="187">
        <f ca="1">L56*Design!$C$12+$A56</f>
        <v>146.22004673051217</v>
      </c>
      <c r="N56" s="187">
        <f ca="1">Constants!$D$22+Constants!$D$22*Constants!$C$24/100*(M56-25)</f>
        <v>142.06466392602223</v>
      </c>
      <c r="O56" s="187">
        <f ca="1">Constants!$D$23+Constants!$D$23*Constants!$C$24/100*(M56-25)</f>
        <v>115.42753943989307</v>
      </c>
      <c r="P56" s="186">
        <f ca="1">(1-Constants!$C$19/1000000000*Design!$B$26*1000000) * ($B56+C56*O56/1000-C56*N56/1000) - (C56*O56/1000+C56*(1+($A56-25)*Constants!$C$36/100)*IF(ISBLANK(Design!$B$35),Constants!$C$6/1000,Design!$B$35/1000))</f>
        <v>3.7342351370451801</v>
      </c>
      <c r="Q56" s="191">
        <f ca="1">IF(P56&gt;Design!$C$22,Design!$C$22,P56)</f>
        <v>1.7973333333333334</v>
      </c>
      <c r="R56" s="140">
        <f>2*Design!$D$6/3</f>
        <v>1.3333333333333333</v>
      </c>
      <c r="S56" s="202">
        <f ca="1">IF( 100*(Design!$C$22+R56*(IF(ISBLANK(Design!$B$35),Constants!$C$6,Design!$B$35)/1000*(1+Constants!$C$36/100*(AB56-25))+AD56/1000))/($B56-R56*AC56/1000) &gt; Design!$C$29, Design!$C$29, 100*(Design!$C$22+R56*(IF(ISBLANK(Design!$B$35),Constants!$C$6,Design!$B$35)/1000*(1+Constants!$C$36/100*(AB56-25))+AD56/1000))/($B56-R56*AC56/1000) )</f>
        <v>45.399729671883982</v>
      </c>
      <c r="T56" s="141">
        <f ca="1">IF(($B56-R56*IF(ISBLANK(Design!$B$35),Constants!$C$6,Design!$B$35)/1000*(1+Constants!$C$36/100*(AB56-25))-Design!$C$22)/(IF(ISBLANK(Design!$B$34),Design!$B$33,Design!$B$34)/1000000)*S56/100/(IF(ISBLANK(Design!$B$26),Design!$B$25,Design!$B$26)*1000000)&lt;0, 0, ($B56-R56*IF(ISBLANK(Design!$B$35),Constants!$C$6,Design!$B$35)/1000*(1+Constants!$C$36/100*(AB56-25))-Design!$C$22)/(IF(ISBLANK(Design!$B$34),Design!$B$33,Design!$B$34)/1000000)*S56/100/(IF(ISBLANK(Design!$B$26),Design!$B$25,Design!$B$26)*1000000))</f>
        <v>0.60577960598828628</v>
      </c>
      <c r="U56" s="203">
        <f>$B56*Constants!$C$21/1000+IF(ISBLANK(Design!$B$26),Design!$B$25,Design!$B$26)*1000000*(Constants!$D$26+Constants!$D$27)/1000000000*$B56</f>
        <v>5.1054899999999973E-2</v>
      </c>
      <c r="V56" s="203">
        <f>$B56*R56*($B56/(Constants!$C$28*1000000000)*IF(ISBLANK(Design!$B$26),Design!$B$25,Design!$B$26)*1000000/2+$B56/(Constants!$C$29*1000000000)*IF(ISBLANK(Design!$B$26),Design!$B$25,Design!$B$26)*1000000/2)</f>
        <v>8.0227848999999921E-2</v>
      </c>
      <c r="W56" s="203">
        <f t="shared" ca="1" si="14"/>
        <v>0.10860008393777872</v>
      </c>
      <c r="X56" s="203">
        <f t="shared" ca="1" si="15"/>
        <v>0.13060857374071552</v>
      </c>
      <c r="Y56" s="203">
        <f>2*R56*Constants!$C$20/1000000000*Constants!$C$25*IF(ISBLANK(Design!$B$26),Design!$B$25,Design!$B$26)*1000000</f>
        <v>4.8000000000000001E-2</v>
      </c>
      <c r="Z56" s="203">
        <f>(Constants!$D$26+Constants!$D$27)/1000000000*$B56*IF(ISBLANK(Design!$B$26),Design!$B$25,Design!$B$26)*1000000</f>
        <v>4.2097899999999973E-2</v>
      </c>
      <c r="AA56" s="203">
        <f t="shared" ca="1" si="16"/>
        <v>0.46058930667849407</v>
      </c>
      <c r="AB56" s="204">
        <f ca="1">AA56*Design!$C$12+$A56</f>
        <v>127.10828672056772</v>
      </c>
      <c r="AC56" s="204">
        <f ca="1">Constants!$D$22+Constants!$D$22*Constants!$C$24/100*(AB56-25)</f>
        <v>132.27944280093067</v>
      </c>
      <c r="AD56" s="204">
        <f ca="1">Constants!$D$23+Constants!$D$23*Constants!$C$24/100*(AB56-25)</f>
        <v>107.47704727575618</v>
      </c>
      <c r="AE56" s="203">
        <f ca="1">(1-Constants!$C$19/1000000000*Design!$B$26*1000000) * ($B56+R56*AD56/1000-R56*AC56/1000) - (R56*AD56/1000+R56*(1+($A56-25)*Constants!$C$36/100)*IF(ISBLANK(Design!$B$35),Constants!$C$6/1000,Design!$B$35/1000))</f>
        <v>3.8458424223354473</v>
      </c>
      <c r="AF56" s="308">
        <f ca="1">IF(AE56&gt;Design!$C$22,Design!$C$22,AE56)</f>
        <v>1.7973333333333334</v>
      </c>
      <c r="AG56" s="215">
        <f>Design!$D$6/3</f>
        <v>0.66666666666666663</v>
      </c>
      <c r="AH56" s="216">
        <f ca="1">IF( 100*(Design!$C$22+AG56*(IF(ISBLANK(Design!$B$35),Constants!$C$6,Design!$B$35)/1000*(1+Constants!$C$36/100*(AQ56-25))+AS56/1000))/($B56-AG56*AR56/1000) &gt; Design!$C$29, Design!$C$29, 100*(Design!$C$22+AG56*(IF(ISBLANK(Design!$B$35),Constants!$C$6,Design!$B$35)/1000*(1+Constants!$C$36/100*(AQ56-25))+AS56/1000))/($B56-AG56*AR56/1000) )</f>
        <v>42.595860170426981</v>
      </c>
      <c r="AI56" s="143">
        <f ca="1">IF(($B56-AG56*IF(ISBLANK(Design!$B$35),Constants!$C$6,Design!$B$35)/1000*(1+Constants!$C$36/100*(AQ56-25))-Design!$C$22)/(IF(ISBLANK(Design!$B$34),Design!$B$33,Design!$B$34)/1000000)*AH56/100/(IF(ISBLANK(Design!$B$26),Design!$B$25,Design!$B$26)*1000000)&lt;0, 0, ($B56-AG56*IF(ISBLANK(Design!$B$35),Constants!$C$6,Design!$B$35)/1000*(1+Constants!$C$36/100*(AQ56-25))-Design!$C$22)/(IF(ISBLANK(Design!$B$34),Design!$B$33,Design!$B$34)/1000000)*AH56/100/(IF(ISBLANK(Design!$B$26),Design!$B$25,Design!$B$26)*1000000))</f>
        <v>0.56974369574475348</v>
      </c>
      <c r="AJ56" s="217">
        <f>$B56*Constants!$C$21/1000+IF(ISBLANK(Design!$B$26),Design!$B$25,Design!$B$26)*1000000*(Constants!$D$26+Constants!$D$27)/1000000000*$B56</f>
        <v>5.1054899999999973E-2</v>
      </c>
      <c r="AK56" s="217">
        <f>$B56*AG56*($B56/(Constants!$C$28*1000000000)*IF(ISBLANK(Design!$B$26),Design!$B$25,Design!$B$26)*1000000/2+$B56/(Constants!$C$29*1000000000)*IF(ISBLANK(Design!$B$26),Design!$B$25,Design!$B$26)*1000000/2)</f>
        <v>4.011392449999996E-2</v>
      </c>
      <c r="AL56" s="217">
        <f t="shared" ca="1" si="17"/>
        <v>2.536342283066053E-2</v>
      </c>
      <c r="AM56" s="217">
        <f t="shared" ca="1" si="18"/>
        <v>3.4180914880048714E-2</v>
      </c>
      <c r="AN56" s="217">
        <f>2*AG56*Constants!$C$20/1000000000*Constants!$C$25*IF(ISBLANK(Design!$B$26),Design!$B$25,Design!$B$26)*1000000</f>
        <v>2.4E-2</v>
      </c>
      <c r="AO56" s="217">
        <f>(Constants!$D$26+Constants!$D$27)/1000000000*$B56*IF(ISBLANK(Design!$B$26),Design!$B$25,Design!$B$26)*1000000</f>
        <v>4.2097899999999973E-2</v>
      </c>
      <c r="AP56" s="217">
        <f t="shared" ca="1" si="19"/>
        <v>0.21681106221070914</v>
      </c>
      <c r="AQ56" s="218">
        <f ca="1">AP56*Design!$C$12+$A56</f>
        <v>115.40693098611403</v>
      </c>
      <c r="AR56" s="218">
        <f ca="1">Constants!$D$22+Constants!$D$22*Constants!$C$24/100*(AQ56-25)</f>
        <v>126.28834866489038</v>
      </c>
      <c r="AS56" s="218">
        <f ca="1">Constants!$D$23+Constants!$D$23*Constants!$C$24/100*(AQ56-25)</f>
        <v>102.60928329022344</v>
      </c>
      <c r="AT56" s="217">
        <f ca="1">(1-Constants!$C$19/1000000000*Design!$B$26*1000000) * ($B56+AG56*AS56/1000-AG56*AR56/1000) - (AG56*AS56/1000+AG56*(1+($A56-25)*Constants!$C$36/100)*IF(ISBLANK(Design!$B$35),Constants!$C$6/1000,Design!$B$35/1000))</f>
        <v>3.9421653852483827</v>
      </c>
      <c r="AU56" s="311">
        <f ca="1">IF(AT56&gt;Design!$C$22,Design!$C$22,AT56)</f>
        <v>1.7973333333333334</v>
      </c>
    </row>
    <row r="57" spans="1:47" ht="12.75" customHeight="1">
      <c r="A57" s="136">
        <f>Design!$D$13</f>
        <v>105</v>
      </c>
      <c r="B57" s="137">
        <f t="shared" si="10"/>
        <v>4.4039999999999981</v>
      </c>
      <c r="C57" s="138">
        <f>Design!$D$6</f>
        <v>2</v>
      </c>
      <c r="D57" s="193">
        <f ca="1">IF( 100*(Design!$C$22+C57*(IF(ISBLANK(Design!$B$35),Constants!$C$6,Design!$B$35)/1000*(1+Constants!$C$36/100*(M57-25))+O57/1000))/($B57-C57*N57/1000) &gt; Design!$C$29, Design!$C$29, 100*(Design!$C$22+C57*(IF(ISBLANK(Design!$B$35),Constants!$C$6,Design!$B$35)/1000*(1+Constants!$C$36/100*(M57-25))+O57/1000))/($B57-C57*N57/1000) )</f>
        <v>49.69948186948865</v>
      </c>
      <c r="E57" s="139">
        <f ca="1">IF(($B57-C57*IF(ISBLANK(Design!$B$35),Constants!$C$6,Design!$B$35)/1000*(1+Constants!$C$36/100*(M57-25))-Design!$C$22)/(IF(ISBLANK(Design!$B$34),Design!$B$33,Design!$B$34)/1000000)*D57/100/(IF(ISBLANK(Design!$B$26),Design!$B$25,Design!$B$26)*1000000)&lt;0, 0, ($B57-C57*IF(ISBLANK(Design!$B$35),Constants!$C$6,Design!$B$35)/1000*(1+Constants!$C$36/100*(M57-25))-Design!$C$22)/(IF(ISBLANK(Design!$B$34),Design!$B$33,Design!$B$34)/1000000)*D57/100/(IF(ISBLANK(Design!$B$26),Design!$B$25,Design!$B$26)*1000000))</f>
        <v>0.64283764057817461</v>
      </c>
      <c r="F57" s="186">
        <f>$B57*Constants!$C$21/1000+IF(ISBLANK(Design!$B$26),Design!$B$25,Design!$B$26)*1000000*(Constants!$D$26+Constants!$D$27)/1000000000*$B57</f>
        <v>5.0205599999999975E-2</v>
      </c>
      <c r="G57" s="186">
        <f>$B57*C57*($B57/(Constants!$C$28*1000000000)*IF(ISBLANK(Design!$B$26),Design!$B$25,Design!$B$26)*1000000/2+$B57/(Constants!$C$29*1000000000)*IF(ISBLANK(Design!$B$26),Design!$B$25,Design!$B$26)*1000000/2)</f>
        <v>0.1163712959999999</v>
      </c>
      <c r="H57" s="186">
        <f t="shared" ca="1" si="11"/>
        <v>0.2845452996167423</v>
      </c>
      <c r="I57" s="186">
        <f t="shared" ca="1" si="12"/>
        <v>0.28798642287477422</v>
      </c>
      <c r="J57" s="186">
        <f>2*C57*Constants!$C$20/1000000000*Constants!$C$25*IF(ISBLANK(Design!$B$26),Design!$B$25,Design!$B$26)*1000000</f>
        <v>7.1999999999999995E-2</v>
      </c>
      <c r="K57" s="186">
        <f>(Constants!$D$26+Constants!$D$27)/1000000000*$B57*IF(ISBLANK(Design!$B$26),Design!$B$25,Design!$B$26)*1000000</f>
        <v>4.1397599999999979E-2</v>
      </c>
      <c r="L57" s="186">
        <f t="shared" ca="1" si="13"/>
        <v>0.8525062184915162</v>
      </c>
      <c r="M57" s="187">
        <f ca="1">L57*Design!$C$12+$A57</f>
        <v>145.92029848759279</v>
      </c>
      <c r="N57" s="187">
        <f ca="1">Constants!$D$22+Constants!$D$22*Constants!$C$24/100*(M57-25)</f>
        <v>141.9111928256475</v>
      </c>
      <c r="O57" s="187">
        <f ca="1">Constants!$D$23+Constants!$D$23*Constants!$C$24/100*(M57-25)</f>
        <v>115.3028441708386</v>
      </c>
      <c r="P57" s="186">
        <f ca="1">(1-Constants!$C$19/1000000000*Design!$B$26*1000000) * ($B57+C57*O57/1000-C57*N57/1000) - (C57*O57/1000+C57*(1+($A57-25)*Constants!$C$36/100)*IF(ISBLANK(Design!$B$35),Constants!$C$6/1000,Design!$B$35/1000))</f>
        <v>3.6674863240796656</v>
      </c>
      <c r="Q57" s="191">
        <f ca="1">IF(P57&gt;Design!$C$22,Design!$C$22,P57)</f>
        <v>1.7973333333333334</v>
      </c>
      <c r="R57" s="140">
        <f>2*Design!$D$6/3</f>
        <v>1.3333333333333333</v>
      </c>
      <c r="S57" s="202">
        <f ca="1">IF( 100*(Design!$C$22+R57*(IF(ISBLANK(Design!$B$35),Constants!$C$6,Design!$B$35)/1000*(1+Constants!$C$36/100*(AB57-25))+AD57/1000))/($B57-R57*AC57/1000) &gt; Design!$C$29, Design!$C$29, 100*(Design!$C$22+R57*(IF(ISBLANK(Design!$B$35),Constants!$C$6,Design!$B$35)/1000*(1+Constants!$C$36/100*(AB57-25))+AD57/1000))/($B57-R57*AC57/1000) )</f>
        <v>46.195164344443306</v>
      </c>
      <c r="T57" s="141">
        <f ca="1">IF(($B57-R57*IF(ISBLANK(Design!$B$35),Constants!$C$6,Design!$B$35)/1000*(1+Constants!$C$36/100*(AB57-25))-Design!$C$22)/(IF(ISBLANK(Design!$B$34),Design!$B$33,Design!$B$34)/1000000)*S57/100/(IF(ISBLANK(Design!$B$26),Design!$B$25,Design!$B$26)*1000000)&lt;0, 0, ($B57-R57*IF(ISBLANK(Design!$B$35),Constants!$C$6,Design!$B$35)/1000*(1+Constants!$C$36/100*(AB57-25))-Design!$C$22)/(IF(ISBLANK(Design!$B$34),Design!$B$33,Design!$B$34)/1000000)*S57/100/(IF(ISBLANK(Design!$B$26),Design!$B$25,Design!$B$26)*1000000))</f>
        <v>0.59918733013546144</v>
      </c>
      <c r="U57" s="203">
        <f>$B57*Constants!$C$21/1000+IF(ISBLANK(Design!$B$26),Design!$B$25,Design!$B$26)*1000000*(Constants!$D$26+Constants!$D$27)/1000000000*$B57</f>
        <v>5.0205599999999975E-2</v>
      </c>
      <c r="V57" s="203">
        <f>$B57*R57*($B57/(Constants!$C$28*1000000000)*IF(ISBLANK(Design!$B$26),Design!$B$25,Design!$B$26)*1000000/2+$B57/(Constants!$C$29*1000000000)*IF(ISBLANK(Design!$B$26),Design!$B$25,Design!$B$26)*1000000/2)</f>
        <v>7.758086399999993E-2</v>
      </c>
      <c r="W57" s="203">
        <f t="shared" ca="1" si="14"/>
        <v>0.11037037292599333</v>
      </c>
      <c r="X57" s="203">
        <f t="shared" ca="1" si="15"/>
        <v>0.12855154561734763</v>
      </c>
      <c r="Y57" s="203">
        <f>2*R57*Constants!$C$20/1000000000*Constants!$C$25*IF(ISBLANK(Design!$B$26),Design!$B$25,Design!$B$26)*1000000</f>
        <v>4.8000000000000001E-2</v>
      </c>
      <c r="Z57" s="203">
        <f>(Constants!$D$26+Constants!$D$27)/1000000000*$B57*IF(ISBLANK(Design!$B$26),Design!$B$25,Design!$B$26)*1000000</f>
        <v>4.1397599999999979E-2</v>
      </c>
      <c r="AA57" s="203">
        <f t="shared" ca="1" si="16"/>
        <v>0.45610598254334084</v>
      </c>
      <c r="AB57" s="204">
        <f ca="1">AA57*Design!$C$12+$A57</f>
        <v>126.89308716208036</v>
      </c>
      <c r="AC57" s="204">
        <f ca="1">Constants!$D$22+Constants!$D$22*Constants!$C$24/100*(AB57-25)</f>
        <v>132.16926062698514</v>
      </c>
      <c r="AD57" s="204">
        <f ca="1">Constants!$D$23+Constants!$D$23*Constants!$C$24/100*(AB57-25)</f>
        <v>107.38752425942543</v>
      </c>
      <c r="AE57" s="203">
        <f ca="1">(1-Constants!$C$19/1000000000*Design!$B$26*1000000) * ($B57+R57*AD57/1000-R57*AC57/1000) - (R57*AD57/1000+R57*(1+($A57-25)*Constants!$C$36/100)*IF(ISBLANK(Design!$B$35),Constants!$C$6/1000,Design!$B$35/1000))</f>
        <v>3.7789365773463595</v>
      </c>
      <c r="AF57" s="308">
        <f ca="1">IF(AE57&gt;Design!$C$22,Design!$C$22,AE57)</f>
        <v>1.7973333333333334</v>
      </c>
      <c r="AG57" s="215">
        <f>Design!$D$6/3</f>
        <v>0.66666666666666663</v>
      </c>
      <c r="AH57" s="216">
        <f ca="1">IF( 100*(Design!$C$22+AG57*(IF(ISBLANK(Design!$B$35),Constants!$C$6,Design!$B$35)/1000*(1+Constants!$C$36/100*(AQ57-25))+AS57/1000))/($B57-AG57*AR57/1000) &gt; Design!$C$29, Design!$C$29, 100*(Design!$C$22+AG57*(IF(ISBLANK(Design!$B$35),Constants!$C$6,Design!$B$35)/1000*(1+Constants!$C$36/100*(AQ57-25))+AS57/1000))/($B57-AG57*AR57/1000) )</f>
        <v>43.329006527250606</v>
      </c>
      <c r="AI57" s="143">
        <f ca="1">IF(($B57-AG57*IF(ISBLANK(Design!$B$35),Constants!$C$6,Design!$B$35)/1000*(1+Constants!$C$36/100*(AQ57-25))-Design!$C$22)/(IF(ISBLANK(Design!$B$34),Design!$B$33,Design!$B$34)/1000000)*AH57/100/(IF(ISBLANK(Design!$B$26),Design!$B$25,Design!$B$26)*1000000)&lt;0, 0, ($B57-AG57*IF(ISBLANK(Design!$B$35),Constants!$C$6,Design!$B$35)/1000*(1+Constants!$C$36/100*(AQ57-25))-Design!$C$22)/(IF(ISBLANK(Design!$B$34),Design!$B$33,Design!$B$34)/1000000)*AH57/100/(IF(ISBLANK(Design!$B$26),Design!$B$25,Design!$B$26)*1000000))</f>
        <v>0.5634104321043969</v>
      </c>
      <c r="AJ57" s="217">
        <f>$B57*Constants!$C$21/1000+IF(ISBLANK(Design!$B$26),Design!$B$25,Design!$B$26)*1000000*(Constants!$D$26+Constants!$D$27)/1000000000*$B57</f>
        <v>5.0205599999999975E-2</v>
      </c>
      <c r="AK57" s="217">
        <f>$B57*AG57*($B57/(Constants!$C$28*1000000000)*IF(ISBLANK(Design!$B$26),Design!$B$25,Design!$B$26)*1000000/2+$B57/(Constants!$C$29*1000000000)*IF(ISBLANK(Design!$B$26),Design!$B$25,Design!$B$26)*1000000/2)</f>
        <v>3.8790431999999965E-2</v>
      </c>
      <c r="AL57" s="217">
        <f t="shared" ca="1" si="17"/>
        <v>2.5752286587274138E-2</v>
      </c>
      <c r="AM57" s="217">
        <f t="shared" ca="1" si="18"/>
        <v>3.3682001551961036E-2</v>
      </c>
      <c r="AN57" s="217">
        <f>2*AG57*Constants!$C$20/1000000000*Constants!$C$25*IF(ISBLANK(Design!$B$26),Design!$B$25,Design!$B$26)*1000000</f>
        <v>2.4E-2</v>
      </c>
      <c r="AO57" s="217">
        <f>(Constants!$D$26+Constants!$D$27)/1000000000*$B57*IF(ISBLANK(Design!$B$26),Design!$B$25,Design!$B$26)*1000000</f>
        <v>4.1397599999999979E-2</v>
      </c>
      <c r="AP57" s="217">
        <f t="shared" ca="1" si="19"/>
        <v>0.2138279201392351</v>
      </c>
      <c r="AQ57" s="218">
        <f ca="1">AP57*Design!$C$12+$A57</f>
        <v>115.26374016668328</v>
      </c>
      <c r="AR57" s="218">
        <f ca="1">Constants!$D$22+Constants!$D$22*Constants!$C$24/100*(AQ57-25)</f>
        <v>126.21503496534183</v>
      </c>
      <c r="AS57" s="218">
        <f ca="1">Constants!$D$23+Constants!$D$23*Constants!$C$24/100*(AQ57-25)</f>
        <v>102.54971590934025</v>
      </c>
      <c r="AT57" s="217">
        <f ca="1">(1-Constants!$C$19/1000000000*Design!$B$26*1000000) * ($B57+AG57*AS57/1000-AG57*AR57/1000) - (AG57*AS57/1000+AG57*(1+($A57-25)*Constants!$C$36/100)*IF(ISBLANK(Design!$B$35),Constants!$C$6/1000,Design!$B$35/1000))</f>
        <v>3.8751633446268374</v>
      </c>
      <c r="AU57" s="311">
        <f ca="1">IF(AT57&gt;Design!$C$22,Design!$C$22,AT57)</f>
        <v>1.7973333333333334</v>
      </c>
    </row>
    <row r="58" spans="1:47" ht="12.75" customHeight="1">
      <c r="A58" s="136">
        <f>Design!$D$13</f>
        <v>105</v>
      </c>
      <c r="B58" s="137">
        <f t="shared" si="10"/>
        <v>4.3294999999999986</v>
      </c>
      <c r="C58" s="138">
        <f>Design!$D$6</f>
        <v>2</v>
      </c>
      <c r="D58" s="193">
        <f ca="1">IF( 100*(Design!$C$22+C58*(IF(ISBLANK(Design!$B$35),Constants!$C$6,Design!$B$35)/1000*(1+Constants!$C$36/100*(M58-25))+O58/1000))/($B58-C58*N58/1000) &gt; Design!$C$29, Design!$C$29, 100*(Design!$C$22+C58*(IF(ISBLANK(Design!$B$35),Constants!$C$6,Design!$B$35)/1000*(1+Constants!$C$36/100*(M58-25))+O58/1000))/($B58-C58*N58/1000) )</f>
        <v>50.604408505508871</v>
      </c>
      <c r="E58" s="139">
        <f ca="1">IF(($B58-C58*IF(ISBLANK(Design!$B$35),Constants!$C$6,Design!$B$35)/1000*(1+Constants!$C$36/100*(M58-25))-Design!$C$22)/(IF(ISBLANK(Design!$B$34),Design!$B$33,Design!$B$34)/1000000)*D58/100/(IF(ISBLANK(Design!$B$26),Design!$B$25,Design!$B$26)*1000000)&lt;0, 0, ($B58-C58*IF(ISBLANK(Design!$B$35),Constants!$C$6,Design!$B$35)/1000*(1+Constants!$C$36/100*(M58-25))-Design!$C$22)/(IF(ISBLANK(Design!$B$34),Design!$B$33,Design!$B$34)/1000000)*D58/100/(IF(ISBLANK(Design!$B$26),Design!$B$25,Design!$B$26)*1000000))</f>
        <v>0.63569621480551353</v>
      </c>
      <c r="F58" s="186">
        <f>$B58*Constants!$C$21/1000+IF(ISBLANK(Design!$B$26),Design!$B$25,Design!$B$26)*1000000*(Constants!$D$26+Constants!$D$27)/1000000000*$B58</f>
        <v>4.9356299999999978E-2</v>
      </c>
      <c r="G58" s="186">
        <f>$B58*C58*($B58/(Constants!$C$28*1000000000)*IF(ISBLANK(Design!$B$26),Design!$B$25,Design!$B$26)*1000000/2+$B58/(Constants!$C$29*1000000000)*IF(ISBLANK(Design!$B$26),Design!$B$25,Design!$B$26)*1000000/2)</f>
        <v>0.11246742149999991</v>
      </c>
      <c r="H58" s="186">
        <f t="shared" ca="1" si="11"/>
        <v>0.28936196024850913</v>
      </c>
      <c r="I58" s="186">
        <f t="shared" ca="1" si="12"/>
        <v>0.2824498023907257</v>
      </c>
      <c r="J58" s="186">
        <f>2*C58*Constants!$C$20/1000000000*Constants!$C$25*IF(ISBLANK(Design!$B$26),Design!$B$25,Design!$B$26)*1000000</f>
        <v>7.1999999999999995E-2</v>
      </c>
      <c r="K58" s="186">
        <f>(Constants!$D$26+Constants!$D$27)/1000000000*$B58*IF(ISBLANK(Design!$B$26),Design!$B$25,Design!$B$26)*1000000</f>
        <v>4.0697299999999978E-2</v>
      </c>
      <c r="L58" s="186">
        <f t="shared" ca="1" si="13"/>
        <v>0.84633278413923463</v>
      </c>
      <c r="M58" s="187">
        <f ca="1">L58*Design!$C$12+$A58</f>
        <v>145.62397363868325</v>
      </c>
      <c r="N58" s="187">
        <f ca="1">Constants!$D$22+Constants!$D$22*Constants!$C$24/100*(M58-25)</f>
        <v>141.75947450300583</v>
      </c>
      <c r="O58" s="187">
        <f ca="1">Constants!$D$23+Constants!$D$23*Constants!$C$24/100*(M58-25)</f>
        <v>115.17957303369224</v>
      </c>
      <c r="P58" s="186">
        <f ca="1">(1-Constants!$C$19/1000000000*Design!$B$26*1000000) * ($B58+C58*O58/1000-C58*N58/1000) - (C58*O58/1000+C58*(1+($A58-25)*Constants!$C$36/100)*IF(ISBLANK(Design!$B$35),Constants!$C$6/1000,Design!$B$35/1000))</f>
        <v>3.6007340712878504</v>
      </c>
      <c r="Q58" s="191">
        <f ca="1">IF(P58&gt;Design!$C$22,Design!$C$22,P58)</f>
        <v>1.7973333333333334</v>
      </c>
      <c r="R58" s="140">
        <f>2*Design!$D$6/3</f>
        <v>1.3333333333333333</v>
      </c>
      <c r="S58" s="202">
        <f ca="1">IF( 100*(Design!$C$22+R58*(IF(ISBLANK(Design!$B$35),Constants!$C$6,Design!$B$35)/1000*(1+Constants!$C$36/100*(AB58-25))+AD58/1000))/($B58-R58*AC58/1000) &gt; Design!$C$29, Design!$C$29, 100*(Design!$C$22+R58*(IF(ISBLANK(Design!$B$35),Constants!$C$6,Design!$B$35)/1000*(1+Constants!$C$36/100*(AB58-25))+AD58/1000))/($B58-R58*AC58/1000) )</f>
        <v>47.019124973975202</v>
      </c>
      <c r="T58" s="141">
        <f ca="1">IF(($B58-R58*IF(ISBLANK(Design!$B$35),Constants!$C$6,Design!$B$35)/1000*(1+Constants!$C$36/100*(AB58-25))-Design!$C$22)/(IF(ISBLANK(Design!$B$34),Design!$B$33,Design!$B$34)/1000000)*S58/100/(IF(ISBLANK(Design!$B$26),Design!$B$25,Design!$B$26)*1000000)&lt;0, 0, ($B58-R58*IF(ISBLANK(Design!$B$35),Constants!$C$6,Design!$B$35)/1000*(1+Constants!$C$36/100*(AB58-25))-Design!$C$22)/(IF(ISBLANK(Design!$B$34),Design!$B$33,Design!$B$34)/1000000)*S58/100/(IF(ISBLANK(Design!$B$26),Design!$B$25,Design!$B$26)*1000000))</f>
        <v>0.59236187702432319</v>
      </c>
      <c r="U58" s="203">
        <f>$B58*Constants!$C$21/1000+IF(ISBLANK(Design!$B$26),Design!$B$25,Design!$B$26)*1000000*(Constants!$D$26+Constants!$D$27)/1000000000*$B58</f>
        <v>4.9356299999999978E-2</v>
      </c>
      <c r="V58" s="203">
        <f>$B58*R58*($B58/(Constants!$C$28*1000000000)*IF(ISBLANK(Design!$B$26),Design!$B$25,Design!$B$26)*1000000/2+$B58/(Constants!$C$29*1000000000)*IF(ISBLANK(Design!$B$26),Design!$B$25,Design!$B$26)*1000000/2)</f>
        <v>7.4978280999999938E-2</v>
      </c>
      <c r="W58" s="203">
        <f t="shared" ca="1" si="14"/>
        <v>0.11220418973292938</v>
      </c>
      <c r="X58" s="203">
        <f t="shared" ca="1" si="15"/>
        <v>0.12643102475699086</v>
      </c>
      <c r="Y58" s="203">
        <f>2*R58*Constants!$C$20/1000000000*Constants!$C$25*IF(ISBLANK(Design!$B$26),Design!$B$25,Design!$B$26)*1000000</f>
        <v>4.8000000000000001E-2</v>
      </c>
      <c r="Z58" s="203">
        <f>(Constants!$D$26+Constants!$D$27)/1000000000*$B58*IF(ISBLANK(Design!$B$26),Design!$B$25,Design!$B$26)*1000000</f>
        <v>4.0697299999999978E-2</v>
      </c>
      <c r="AA58" s="203">
        <f t="shared" ca="1" si="16"/>
        <v>0.45166709548992012</v>
      </c>
      <c r="AB58" s="204">
        <f ca="1">AA58*Design!$C$12+$A58</f>
        <v>126.68002058351617</v>
      </c>
      <c r="AC58" s="204">
        <f ca="1">Constants!$D$22+Constants!$D$22*Constants!$C$24/100*(AB58-25)</f>
        <v>132.06017053876027</v>
      </c>
      <c r="AD58" s="204">
        <f ca="1">Constants!$D$23+Constants!$D$23*Constants!$C$24/100*(AB58-25)</f>
        <v>107.29888856274273</v>
      </c>
      <c r="AE58" s="203">
        <f ca="1">(1-Constants!$C$19/1000000000*Design!$B$26*1000000) * ($B58+R58*AD58/1000-R58*AC58/1000) - (R58*AD58/1000+R58*(1+($A58-25)*Constants!$C$36/100)*IF(ISBLANK(Design!$B$35),Constants!$C$6/1000,Design!$B$35/1000))</f>
        <v>3.7120293035451208</v>
      </c>
      <c r="AF58" s="308">
        <f ca="1">IF(AE58&gt;Design!$C$22,Design!$C$22,AE58)</f>
        <v>1.7973333333333334</v>
      </c>
      <c r="AG58" s="215">
        <f>Design!$D$6/3</f>
        <v>0.66666666666666663</v>
      </c>
      <c r="AH58" s="216">
        <f ca="1">IF( 100*(Design!$C$22+AG58*(IF(ISBLANK(Design!$B$35),Constants!$C$6,Design!$B$35)/1000*(1+Constants!$C$36/100*(AQ58-25))+AS58/1000))/($B58-AG58*AR58/1000) &gt; Design!$C$29, Design!$C$29, 100*(Design!$C$22+AG58*(IF(ISBLANK(Design!$B$35),Constants!$C$6,Design!$B$35)/1000*(1+Constants!$C$36/100*(AQ58-25))+AS58/1000))/($B58-AG58*AR58/1000) )</f>
        <v>44.087877533123951</v>
      </c>
      <c r="AI58" s="143">
        <f ca="1">IF(($B58-AG58*IF(ISBLANK(Design!$B$35),Constants!$C$6,Design!$B$35)/1000*(1+Constants!$C$36/100*(AQ58-25))-Design!$C$22)/(IF(ISBLANK(Design!$B$34),Design!$B$33,Design!$B$34)/1000000)*AH58/100/(IF(ISBLANK(Design!$B$26),Design!$B$25,Design!$B$26)*1000000)&lt;0, 0, ($B58-AG58*IF(ISBLANK(Design!$B$35),Constants!$C$6,Design!$B$35)/1000*(1+Constants!$C$36/100*(AQ58-25))-Design!$C$22)/(IF(ISBLANK(Design!$B$34),Design!$B$33,Design!$B$34)/1000000)*AH58/100/(IF(ISBLANK(Design!$B$26),Design!$B$25,Design!$B$26)*1000000))</f>
        <v>0.55685590649455319</v>
      </c>
      <c r="AJ58" s="217">
        <f>$B58*Constants!$C$21/1000+IF(ISBLANK(Design!$B$26),Design!$B$25,Design!$B$26)*1000000*(Constants!$D$26+Constants!$D$27)/1000000000*$B58</f>
        <v>4.9356299999999978E-2</v>
      </c>
      <c r="AK58" s="217">
        <f>$B58*AG58*($B58/(Constants!$C$28*1000000000)*IF(ISBLANK(Design!$B$26),Design!$B$25,Design!$B$26)*1000000/2+$B58/(Constants!$C$29*1000000000)*IF(ISBLANK(Design!$B$26),Design!$B$25,Design!$B$26)*1000000/2)</f>
        <v>3.7489140499999969E-2</v>
      </c>
      <c r="AL58" s="217">
        <f t="shared" ca="1" si="17"/>
        <v>2.6154171722815301E-2</v>
      </c>
      <c r="AM58" s="217">
        <f t="shared" ca="1" si="18"/>
        <v>3.3168647124985295E-2</v>
      </c>
      <c r="AN58" s="217">
        <f>2*AG58*Constants!$C$20/1000000000*Constants!$C$25*IF(ISBLANK(Design!$B$26),Design!$B$25,Design!$B$26)*1000000</f>
        <v>2.4E-2</v>
      </c>
      <c r="AO58" s="217">
        <f>(Constants!$D$26+Constants!$D$27)/1000000000*$B58*IF(ISBLANK(Design!$B$26),Design!$B$25,Design!$B$26)*1000000</f>
        <v>4.0697299999999978E-2</v>
      </c>
      <c r="AP58" s="217">
        <f t="shared" ca="1" si="19"/>
        <v>0.21086555934780049</v>
      </c>
      <c r="AQ58" s="218">
        <f ca="1">AP58*Design!$C$12+$A58</f>
        <v>115.12154684869442</v>
      </c>
      <c r="AR58" s="218">
        <f ca="1">Constants!$D$22+Constants!$D$22*Constants!$C$24/100*(AQ58-25)</f>
        <v>126.14223198653154</v>
      </c>
      <c r="AS58" s="218">
        <f ca="1">Constants!$D$23+Constants!$D$23*Constants!$C$24/100*(AQ58-25)</f>
        <v>102.49056348905688</v>
      </c>
      <c r="AT58" s="217">
        <f ca="1">(1-Constants!$C$19/1000000000*Design!$B$26*1000000) * ($B58+AG58*AS58/1000-AG58*AR58/1000) - (AG58*AS58/1000+AG58*(1+($A58-25)*Constants!$C$36/100)*IF(ISBLANK(Design!$B$35),Constants!$C$6/1000,Design!$B$35/1000))</f>
        <v>3.8081609699088088</v>
      </c>
      <c r="AU58" s="311">
        <f ca="1">IF(AT58&gt;Design!$C$22,Design!$C$22,AT58)</f>
        <v>1.7973333333333334</v>
      </c>
    </row>
    <row r="59" spans="1:47" ht="12.75" customHeight="1">
      <c r="A59" s="136">
        <f>Design!$D$13</f>
        <v>105</v>
      </c>
      <c r="B59" s="137">
        <f t="shared" si="10"/>
        <v>4.254999999999999</v>
      </c>
      <c r="C59" s="138">
        <f>Design!$D$6</f>
        <v>2</v>
      </c>
      <c r="D59" s="193">
        <f ca="1">IF( 100*(Design!$C$22+C59*(IF(ISBLANK(Design!$B$35),Constants!$C$6,Design!$B$35)/1000*(1+Constants!$C$36/100*(M59-25))+O59/1000))/($B59-C59*N59/1000) &gt; Design!$C$29, Design!$C$29, 100*(Design!$C$22+C59*(IF(ISBLANK(Design!$B$35),Constants!$C$6,Design!$B$35)/1000*(1+Constants!$C$36/100*(M59-25))+O59/1000))/($B59-C59*N59/1000) )</f>
        <v>51.5432664518734</v>
      </c>
      <c r="E59" s="139">
        <f ca="1">IF(($B59-C59*IF(ISBLANK(Design!$B$35),Constants!$C$6,Design!$B$35)/1000*(1+Constants!$C$36/100*(M59-25))-Design!$C$22)/(IF(ISBLANK(Design!$B$34),Design!$B$33,Design!$B$34)/1000000)*D59/100/(IF(ISBLANK(Design!$B$26),Design!$B$25,Design!$B$26)*1000000)&lt;0, 0, ($B59-C59*IF(ISBLANK(Design!$B$35),Constants!$C$6,Design!$B$35)/1000*(1+Constants!$C$36/100*(M59-25))-Design!$C$22)/(IF(ISBLANK(Design!$B$34),Design!$B$33,Design!$B$34)/1000000)*D59/100/(IF(ISBLANK(Design!$B$26),Design!$B$25,Design!$B$26)*1000000))</f>
        <v>0.62829432428998166</v>
      </c>
      <c r="F59" s="186">
        <f>$B59*Constants!$C$21/1000+IF(ISBLANK(Design!$B$26),Design!$B$25,Design!$B$26)*1000000*(Constants!$D$26+Constants!$D$27)/1000000000*$B59</f>
        <v>4.8506999999999981E-2</v>
      </c>
      <c r="G59" s="186">
        <f>$B59*C59*($B59/(Constants!$C$28*1000000000)*IF(ISBLANK(Design!$B$26),Design!$B$25,Design!$B$26)*1000000/2+$B59/(Constants!$C$29*1000000000)*IF(ISBLANK(Design!$B$26),Design!$B$25,Design!$B$26)*1000000/2)</f>
        <v>0.10863014999999997</v>
      </c>
      <c r="H59" s="186">
        <f t="shared" ca="1" si="11"/>
        <v>0.29436175690909933</v>
      </c>
      <c r="I59" s="186">
        <f t="shared" ca="1" si="12"/>
        <v>0.27673467754747244</v>
      </c>
      <c r="J59" s="186">
        <f>2*C59*Constants!$C$20/1000000000*Constants!$C$25*IF(ISBLANK(Design!$B$26),Design!$B$25,Design!$B$26)*1000000</f>
        <v>7.1999999999999995E-2</v>
      </c>
      <c r="K59" s="186">
        <f>(Constants!$D$26+Constants!$D$27)/1000000000*$B59*IF(ISBLANK(Design!$B$26),Design!$B$25,Design!$B$26)*1000000</f>
        <v>3.9996999999999984E-2</v>
      </c>
      <c r="L59" s="186">
        <f t="shared" ca="1" si="13"/>
        <v>0.84023058445657162</v>
      </c>
      <c r="M59" s="187">
        <f ca="1">L59*Design!$C$12+$A59</f>
        <v>145.33106805391543</v>
      </c>
      <c r="N59" s="187">
        <f ca="1">Constants!$D$22+Constants!$D$22*Constants!$C$24/100*(M59-25)</f>
        <v>141.60950684360469</v>
      </c>
      <c r="O59" s="187">
        <f ca="1">Constants!$D$23+Constants!$D$23*Constants!$C$24/100*(M59-25)</f>
        <v>115.05772431042882</v>
      </c>
      <c r="P59" s="186">
        <f ca="1">(1-Constants!$C$19/1000000000*Design!$B$26*1000000) * ($B59+C59*O59/1000-C59*N59/1000) - (C59*O59/1000+C59*(1+($A59-25)*Constants!$C$36/100)*IF(ISBLANK(Design!$B$35),Constants!$C$6/1000,Design!$B$35/1000))</f>
        <v>3.5339783828194249</v>
      </c>
      <c r="Q59" s="191">
        <f ca="1">IF(P59&gt;Design!$C$22,Design!$C$22,P59)</f>
        <v>1.7973333333333334</v>
      </c>
      <c r="R59" s="140">
        <f>2*Design!$D$6/3</f>
        <v>1.3333333333333333</v>
      </c>
      <c r="S59" s="202">
        <f ca="1">IF( 100*(Design!$C$22+R59*(IF(ISBLANK(Design!$B$35),Constants!$C$6,Design!$B$35)/1000*(1+Constants!$C$36/100*(AB59-25))+AD59/1000))/($B59-R59*AC59/1000) &gt; Design!$C$29, Design!$C$29, 100*(Design!$C$22+R59*(IF(ISBLANK(Design!$B$35),Constants!$C$6,Design!$B$35)/1000*(1+Constants!$C$36/100*(AB59-25))+AD59/1000))/($B59-R59*AC59/1000) )</f>
        <v>47.873172321059357</v>
      </c>
      <c r="T59" s="141">
        <f ca="1">IF(($B59-R59*IF(ISBLANK(Design!$B$35),Constants!$C$6,Design!$B$35)/1000*(1+Constants!$C$36/100*(AB59-25))-Design!$C$22)/(IF(ISBLANK(Design!$B$34),Design!$B$33,Design!$B$34)/1000000)*S59/100/(IF(ISBLANK(Design!$B$26),Design!$B$25,Design!$B$26)*1000000)&lt;0, 0, ($B59-R59*IF(ISBLANK(Design!$B$35),Constants!$C$6,Design!$B$35)/1000*(1+Constants!$C$36/100*(AB59-25))-Design!$C$22)/(IF(ISBLANK(Design!$B$34),Design!$B$33,Design!$B$34)/1000000)*S59/100/(IF(ISBLANK(Design!$B$26),Design!$B$25,Design!$B$26)*1000000))</f>
        <v>0.5852904528293289</v>
      </c>
      <c r="U59" s="203">
        <f>$B59*Constants!$C$21/1000+IF(ISBLANK(Design!$B$26),Design!$B$25,Design!$B$26)*1000000*(Constants!$D$26+Constants!$D$27)/1000000000*$B59</f>
        <v>4.8506999999999981E-2</v>
      </c>
      <c r="V59" s="203">
        <f>$B59*R59*($B59/(Constants!$C$28*1000000000)*IF(ISBLANK(Design!$B$26),Design!$B$25,Design!$B$26)*1000000/2+$B59/(Constants!$C$29*1000000000)*IF(ISBLANK(Design!$B$26),Design!$B$25,Design!$B$26)*1000000/2)</f>
        <v>7.2420099999999973E-2</v>
      </c>
      <c r="W59" s="203">
        <f t="shared" ca="1" si="14"/>
        <v>0.11410498149953648</v>
      </c>
      <c r="X59" s="203">
        <f t="shared" ca="1" si="15"/>
        <v>0.12424350465111246</v>
      </c>
      <c r="Y59" s="203">
        <f>2*R59*Constants!$C$20/1000000000*Constants!$C$25*IF(ISBLANK(Design!$B$26),Design!$B$25,Design!$B$26)*1000000</f>
        <v>4.8000000000000001E-2</v>
      </c>
      <c r="Z59" s="203">
        <f>(Constants!$D$26+Constants!$D$27)/1000000000*$B59*IF(ISBLANK(Design!$B$26),Design!$B$25,Design!$B$26)*1000000</f>
        <v>3.9996999999999984E-2</v>
      </c>
      <c r="AA59" s="203">
        <f t="shared" ca="1" si="16"/>
        <v>0.44727258615064885</v>
      </c>
      <c r="AB59" s="204">
        <f ca="1">AA59*Design!$C$12+$A59</f>
        <v>126.46908413523114</v>
      </c>
      <c r="AC59" s="204">
        <f ca="1">Constants!$D$22+Constants!$D$22*Constants!$C$24/100*(AB59-25)</f>
        <v>131.95217107723835</v>
      </c>
      <c r="AD59" s="204">
        <f ca="1">Constants!$D$23+Constants!$D$23*Constants!$C$24/100*(AB59-25)</f>
        <v>107.21113900025617</v>
      </c>
      <c r="AE59" s="203">
        <f ca="1">(1-Constants!$C$19/1000000000*Design!$B$26*1000000) * ($B59+R59*AD59/1000-R59*AC59/1000) - (R59*AD59/1000+R59*(1+($A59-25)*Constants!$C$36/100)*IF(ISBLANK(Design!$B$35),Constants!$C$6/1000,Design!$B$35/1000))</f>
        <v>3.6451206028406125</v>
      </c>
      <c r="AF59" s="308">
        <f ca="1">IF(AE59&gt;Design!$C$22,Design!$C$22,AE59)</f>
        <v>1.7973333333333334</v>
      </c>
      <c r="AG59" s="215">
        <f>Design!$D$6/3</f>
        <v>0.66666666666666663</v>
      </c>
      <c r="AH59" s="216">
        <f ca="1">IF( 100*(Design!$C$22+AG59*(IF(ISBLANK(Design!$B$35),Constants!$C$6,Design!$B$35)/1000*(1+Constants!$C$36/100*(AQ59-25))+AS59/1000))/($B59-AG59*AR59/1000) &gt; Design!$C$29, Design!$C$29, 100*(Design!$C$22+AG59*(IF(ISBLANK(Design!$B$35),Constants!$C$6,Design!$B$35)/1000*(1+Constants!$C$36/100*(AQ59-25))+AS59/1000))/($B59-AG59*AR59/1000) )</f>
        <v>44.873850905146142</v>
      </c>
      <c r="AI59" s="143">
        <f ca="1">IF(($B59-AG59*IF(ISBLANK(Design!$B$35),Constants!$C$6,Design!$B$35)/1000*(1+Constants!$C$36/100*(AQ59-25))-Design!$C$22)/(IF(ISBLANK(Design!$B$34),Design!$B$33,Design!$B$34)/1000000)*AH59/100/(IF(ISBLANK(Design!$B$26),Design!$B$25,Design!$B$26)*1000000)&lt;0, 0, ($B59-AG59*IF(ISBLANK(Design!$B$35),Constants!$C$6,Design!$B$35)/1000*(1+Constants!$C$36/100*(AQ59-25))-Design!$C$22)/(IF(ISBLANK(Design!$B$34),Design!$B$33,Design!$B$34)/1000000)*AH59/100/(IF(ISBLANK(Design!$B$26),Design!$B$25,Design!$B$26)*1000000))</f>
        <v>0.5500682605893874</v>
      </c>
      <c r="AJ59" s="217">
        <f>$B59*Constants!$C$21/1000+IF(ISBLANK(Design!$B$26),Design!$B$25,Design!$B$26)*1000000*(Constants!$D$26+Constants!$D$27)/1000000000*$B59</f>
        <v>4.8506999999999981E-2</v>
      </c>
      <c r="AK59" s="217">
        <f>$B59*AG59*($B59/(Constants!$C$28*1000000000)*IF(ISBLANK(Design!$B$26),Design!$B$25,Design!$B$26)*1000000/2+$B59/(Constants!$C$29*1000000000)*IF(ISBLANK(Design!$B$26),Design!$B$25,Design!$B$26)*1000000/2)</f>
        <v>3.6210049999999987E-2</v>
      </c>
      <c r="AL59" s="217">
        <f t="shared" ca="1" si="17"/>
        <v>2.6569755864036884E-2</v>
      </c>
      <c r="AM59" s="217">
        <f t="shared" ca="1" si="18"/>
        <v>3.264012991153372E-2</v>
      </c>
      <c r="AN59" s="217">
        <f>2*AG59*Constants!$C$20/1000000000*Constants!$C$25*IF(ISBLANK(Design!$B$26),Design!$B$25,Design!$B$26)*1000000</f>
        <v>2.4E-2</v>
      </c>
      <c r="AO59" s="217">
        <f>(Constants!$D$26+Constants!$D$27)/1000000000*$B59*IF(ISBLANK(Design!$B$26),Design!$B$25,Design!$B$26)*1000000</f>
        <v>3.9996999999999984E-2</v>
      </c>
      <c r="AP59" s="217">
        <f t="shared" ca="1" si="19"/>
        <v>0.20792393577557053</v>
      </c>
      <c r="AQ59" s="218">
        <f ca="1">AP59*Design!$C$12+$A59</f>
        <v>114.98034891722739</v>
      </c>
      <c r="AR59" s="218">
        <f ca="1">Constants!$D$22+Constants!$D$22*Constants!$C$24/100*(AQ59-25)</f>
        <v>126.06993864562043</v>
      </c>
      <c r="AS59" s="218">
        <f ca="1">Constants!$D$23+Constants!$D$23*Constants!$C$24/100*(AQ59-25)</f>
        <v>102.43182514956661</v>
      </c>
      <c r="AT59" s="217">
        <f ca="1">(1-Constants!$C$19/1000000000*Design!$B$26*1000000) * ($B59+AG59*AS59/1000-AG59*AR59/1000) - (AG59*AS59/1000+AG59*(1+($A59-25)*Constants!$C$36/100)*IF(ISBLANK(Design!$B$35),Constants!$C$6/1000,Design!$B$35/1000))</f>
        <v>3.7411582618026555</v>
      </c>
      <c r="AU59" s="311">
        <f ca="1">IF(AT59&gt;Design!$C$22,Design!$C$22,AT59)</f>
        <v>1.7973333333333334</v>
      </c>
    </row>
    <row r="60" spans="1:47" ht="12.75" customHeight="1">
      <c r="A60" s="136">
        <f>Design!$D$13</f>
        <v>105</v>
      </c>
      <c r="B60" s="137">
        <f t="shared" si="10"/>
        <v>4.1804999999999994</v>
      </c>
      <c r="C60" s="138">
        <f>Design!$D$6</f>
        <v>2</v>
      </c>
      <c r="D60" s="193">
        <f ca="1">IF( 100*(Design!$C$22+C60*(IF(ISBLANK(Design!$B$35),Constants!$C$6,Design!$B$35)/1000*(1+Constants!$C$36/100*(M60-25))+O60/1000))/($B60-C60*N60/1000) &gt; Design!$C$29, Design!$C$29, 100*(Design!$C$22+C60*(IF(ISBLANK(Design!$B$35),Constants!$C$6,Design!$B$35)/1000*(1+Constants!$C$36/100*(M60-25))+O60/1000))/($B60-C60*N60/1000) )</f>
        <v>52.517995986348112</v>
      </c>
      <c r="E60" s="139">
        <f ca="1">IF(($B60-C60*IF(ISBLANK(Design!$B$35),Constants!$C$6,Design!$B$35)/1000*(1+Constants!$C$36/100*(M60-25))-Design!$C$22)/(IF(ISBLANK(Design!$B$34),Design!$B$33,Design!$B$34)/1000000)*D60/100/(IF(ISBLANK(Design!$B$26),Design!$B$25,Design!$B$26)*1000000)&lt;0, 0, ($B60-C60*IF(ISBLANK(Design!$B$35),Constants!$C$6,Design!$B$35)/1000*(1+Constants!$C$36/100*(M60-25))-Design!$C$22)/(IF(ISBLANK(Design!$B$34),Design!$B$33,Design!$B$34)/1000000)*D60/100/(IF(ISBLANK(Design!$B$26),Design!$B$25,Design!$B$26)*1000000))</f>
        <v>0.62061698486443007</v>
      </c>
      <c r="F60" s="186">
        <f>$B60*Constants!$C$21/1000+IF(ISBLANK(Design!$B$26),Design!$B$25,Design!$B$26)*1000000*(Constants!$D$26+Constants!$D$27)/1000000000*$B60</f>
        <v>4.765769999999999E-2</v>
      </c>
      <c r="G60" s="186">
        <f>$B60*C60*($B60/(Constants!$C$28*1000000000)*IF(ISBLANK(Design!$B$26),Design!$B$25,Design!$B$26)*1000000/2+$B60/(Constants!$C$29*1000000000)*IF(ISBLANK(Design!$B$26),Design!$B$25,Design!$B$26)*1000000/2)</f>
        <v>0.10485948149999999</v>
      </c>
      <c r="H60" s="186">
        <f t="shared" ca="1" si="11"/>
        <v>0.2995551131778133</v>
      </c>
      <c r="I60" s="186">
        <f t="shared" ca="1" si="12"/>
        <v>0.27083053759165199</v>
      </c>
      <c r="J60" s="186">
        <f>2*C60*Constants!$C$20/1000000000*Constants!$C$25*IF(ISBLANK(Design!$B$26),Design!$B$25,Design!$B$26)*1000000</f>
        <v>7.1999999999999995E-2</v>
      </c>
      <c r="K60" s="186">
        <f>(Constants!$D$26+Constants!$D$27)/1000000000*$B60*IF(ISBLANK(Design!$B$26),Design!$B$25,Design!$B$26)*1000000</f>
        <v>3.929669999999999E-2</v>
      </c>
      <c r="L60" s="186">
        <f t="shared" ca="1" si="13"/>
        <v>0.83419953226946519</v>
      </c>
      <c r="M60" s="187">
        <f ca="1">L60*Design!$C$12+$A60</f>
        <v>145.04157754893433</v>
      </c>
      <c r="N60" s="187">
        <f ca="1">Constants!$D$22+Constants!$D$22*Constants!$C$24/100*(M60-25)</f>
        <v>141.46128770505436</v>
      </c>
      <c r="O60" s="187">
        <f ca="1">Constants!$D$23+Constants!$D$23*Constants!$C$24/100*(M60-25)</f>
        <v>114.93729626035667</v>
      </c>
      <c r="P60" s="186">
        <f ca="1">(1-Constants!$C$19/1000000000*Design!$B$26*1000000) * ($B60+C60*O60/1000-C60*N60/1000) - (C60*O60/1000+C60*(1+($A60-25)*Constants!$C$36/100)*IF(ISBLANK(Design!$B$35),Constants!$C$6/1000,Design!$B$35/1000))</f>
        <v>3.4672192628788299</v>
      </c>
      <c r="Q60" s="191">
        <f ca="1">IF(P60&gt;Design!$C$22,Design!$C$22,P60)</f>
        <v>1.7973333333333334</v>
      </c>
      <c r="R60" s="140">
        <f>2*Design!$D$6/3</f>
        <v>1.3333333333333333</v>
      </c>
      <c r="S60" s="202">
        <f ca="1">IF( 100*(Design!$C$22+R60*(IF(ISBLANK(Design!$B$35),Constants!$C$6,Design!$B$35)/1000*(1+Constants!$C$36/100*(AB60-25))+AD60/1000))/($B60-R60*AC60/1000) &gt; Design!$C$29, Design!$C$29, 100*(Design!$C$22+R60*(IF(ISBLANK(Design!$B$35),Constants!$C$6,Design!$B$35)/1000*(1+Constants!$C$36/100*(AB60-25))+AD60/1000))/($B60-R60*AC60/1000) )</f>
        <v>48.758983124390198</v>
      </c>
      <c r="T60" s="141">
        <f ca="1">IF(($B60-R60*IF(ISBLANK(Design!$B$35),Constants!$C$6,Design!$B$35)/1000*(1+Constants!$C$36/100*(AB60-25))-Design!$C$22)/(IF(ISBLANK(Design!$B$34),Design!$B$33,Design!$B$34)/1000000)*S60/100/(IF(ISBLANK(Design!$B$26),Design!$B$25,Design!$B$26)*1000000)&lt;0, 0, ($B60-R60*IF(ISBLANK(Design!$B$35),Constants!$C$6,Design!$B$35)/1000*(1+Constants!$C$36/100*(AB60-25))-Design!$C$22)/(IF(ISBLANK(Design!$B$34),Design!$B$33,Design!$B$34)/1000000)*S60/100/(IF(ISBLANK(Design!$B$26),Design!$B$25,Design!$B$26)*1000000))</f>
        <v>0.5779593130922519</v>
      </c>
      <c r="U60" s="203">
        <f>$B60*Constants!$C$21/1000+IF(ISBLANK(Design!$B$26),Design!$B$25,Design!$B$26)*1000000*(Constants!$D$26+Constants!$D$27)/1000000000*$B60</f>
        <v>4.765769999999999E-2</v>
      </c>
      <c r="V60" s="203">
        <f>$B60*R60*($B60/(Constants!$C$28*1000000000)*IF(ISBLANK(Design!$B$26),Design!$B$25,Design!$B$26)*1000000/2+$B60/(Constants!$C$29*1000000000)*IF(ISBLANK(Design!$B$26),Design!$B$25,Design!$B$26)*1000000/2)</f>
        <v>6.9906320999999993E-2</v>
      </c>
      <c r="W60" s="203">
        <f t="shared" ca="1" si="14"/>
        <v>0.11607645143989172</v>
      </c>
      <c r="X60" s="203">
        <f t="shared" ca="1" si="15"/>
        <v>0.12198522253670933</v>
      </c>
      <c r="Y60" s="203">
        <f>2*R60*Constants!$C$20/1000000000*Constants!$C$25*IF(ISBLANK(Design!$B$26),Design!$B$25,Design!$B$26)*1000000</f>
        <v>4.8000000000000001E-2</v>
      </c>
      <c r="Z60" s="203">
        <f>(Constants!$D$26+Constants!$D$27)/1000000000*$B60*IF(ISBLANK(Design!$B$26),Design!$B$25,Design!$B$26)*1000000</f>
        <v>3.929669999999999E-2</v>
      </c>
      <c r="AA60" s="203">
        <f t="shared" ca="1" si="16"/>
        <v>0.44292239497660102</v>
      </c>
      <c r="AB60" s="204">
        <f ca="1">AA60*Design!$C$12+$A60</f>
        <v>126.26027495887685</v>
      </c>
      <c r="AC60" s="204">
        <f ca="1">Constants!$D$22+Constants!$D$22*Constants!$C$24/100*(AB60-25)</f>
        <v>131.84526077894495</v>
      </c>
      <c r="AD60" s="204">
        <f ca="1">Constants!$D$23+Constants!$D$23*Constants!$C$24/100*(AB60-25)</f>
        <v>107.12427438289276</v>
      </c>
      <c r="AE60" s="203">
        <f ca="1">(1-Constants!$C$19/1000000000*Design!$B$26*1000000) * ($B60+R60*AD60/1000-R60*AC60/1000) - (R60*AD60/1000+R60*(1+($A60-25)*Constants!$C$36/100)*IF(ISBLANK(Design!$B$35),Constants!$C$6/1000,Design!$B$35/1000))</f>
        <v>3.5782104771475463</v>
      </c>
      <c r="AF60" s="308">
        <f ca="1">IF(AE60&gt;Design!$C$22,Design!$C$22,AE60)</f>
        <v>1.7973333333333334</v>
      </c>
      <c r="AG60" s="215">
        <f>Design!$D$6/3</f>
        <v>0.66666666666666663</v>
      </c>
      <c r="AH60" s="216">
        <f ca="1">IF( 100*(Design!$C$22+AG60*(IF(ISBLANK(Design!$B$35),Constants!$C$6,Design!$B$35)/1000*(1+Constants!$C$36/100*(AQ60-25))+AS60/1000))/($B60-AG60*AR60/1000) &gt; Design!$C$29, Design!$C$29, 100*(Design!$C$22+AG60*(IF(ISBLANK(Design!$B$35),Constants!$C$6,Design!$B$35)/1000*(1+Constants!$C$36/100*(AQ60-25))+AS60/1000))/($B60-AG60*AR60/1000) )</f>
        <v>45.688404530493109</v>
      </c>
      <c r="AI60" s="143">
        <f ca="1">IF(($B60-AG60*IF(ISBLANK(Design!$B$35),Constants!$C$6,Design!$B$35)/1000*(1+Constants!$C$36/100*(AQ60-25))-Design!$C$22)/(IF(ISBLANK(Design!$B$34),Design!$B$33,Design!$B$34)/1000000)*AH60/100/(IF(ISBLANK(Design!$B$26),Design!$B$25,Design!$B$26)*1000000)&lt;0, 0, ($B60-AG60*IF(ISBLANK(Design!$B$35),Constants!$C$6,Design!$B$35)/1000*(1+Constants!$C$36/100*(AQ60-25))-Design!$C$22)/(IF(ISBLANK(Design!$B$34),Design!$B$33,Design!$B$34)/1000000)*AH60/100/(IF(ISBLANK(Design!$B$26),Design!$B$25,Design!$B$26)*1000000))</f>
        <v>0.54303477390237287</v>
      </c>
      <c r="AJ60" s="217">
        <f>$B60*Constants!$C$21/1000+IF(ISBLANK(Design!$B$26),Design!$B$25,Design!$B$26)*1000000*(Constants!$D$26+Constants!$D$27)/1000000000*$B60</f>
        <v>4.765769999999999E-2</v>
      </c>
      <c r="AK60" s="217">
        <f>$B60*AG60*($B60/(Constants!$C$28*1000000000)*IF(ISBLANK(Design!$B$26),Design!$B$25,Design!$B$26)*1000000/2+$B60/(Constants!$C$29*1000000000)*IF(ISBLANK(Design!$B$26),Design!$B$25,Design!$B$26)*1000000/2)</f>
        <v>3.4953160499999997E-2</v>
      </c>
      <c r="AL60" s="217">
        <f t="shared" ca="1" si="17"/>
        <v>2.6999766048101826E-2</v>
      </c>
      <c r="AM60" s="217">
        <f t="shared" ca="1" si="18"/>
        <v>3.2095679121321379E-2</v>
      </c>
      <c r="AN60" s="217">
        <f>2*AG60*Constants!$C$20/1000000000*Constants!$C$25*IF(ISBLANK(Design!$B$26),Design!$B$25,Design!$B$26)*1000000</f>
        <v>2.4E-2</v>
      </c>
      <c r="AO60" s="217">
        <f>(Constants!$D$26+Constants!$D$27)/1000000000*$B60*IF(ISBLANK(Design!$B$26),Design!$B$25,Design!$B$26)*1000000</f>
        <v>3.929669999999999E-2</v>
      </c>
      <c r="AP60" s="217">
        <f t="shared" ca="1" si="19"/>
        <v>0.20500300566942317</v>
      </c>
      <c r="AQ60" s="218">
        <f ca="1">AP60*Design!$C$12+$A60</f>
        <v>114.84014427213231</v>
      </c>
      <c r="AR60" s="218">
        <f ca="1">Constants!$D$22+Constants!$D$22*Constants!$C$24/100*(AQ60-25)</f>
        <v>125.99815386733175</v>
      </c>
      <c r="AS60" s="218">
        <f ca="1">Constants!$D$23+Constants!$D$23*Constants!$C$24/100*(AQ60-25)</f>
        <v>102.37350001720705</v>
      </c>
      <c r="AT60" s="217">
        <f ca="1">(1-Constants!$C$19/1000000000*Design!$B$26*1000000) * ($B60+AG60*AS60/1000-AG60*AR60/1000) - (AG60*AS60/1000+AG60*(1+($A60-25)*Constants!$C$36/100)*IF(ISBLANK(Design!$B$35),Constants!$C$6/1000,Design!$B$35/1000))</f>
        <v>3.6741552210117874</v>
      </c>
      <c r="AU60" s="311">
        <f ca="1">IF(AT60&gt;Design!$C$22,Design!$C$22,AT60)</f>
        <v>1.7973333333333334</v>
      </c>
    </row>
    <row r="61" spans="1:47" ht="12.75" customHeight="1">
      <c r="A61" s="136">
        <f>Design!$D$13</f>
        <v>105</v>
      </c>
      <c r="B61" s="137">
        <f t="shared" si="10"/>
        <v>4.1059999999999999</v>
      </c>
      <c r="C61" s="138">
        <f>Design!$D$6</f>
        <v>2</v>
      </c>
      <c r="D61" s="193">
        <f ca="1">IF( 100*(Design!$C$22+C61*(IF(ISBLANK(Design!$B$35),Constants!$C$6,Design!$B$35)/1000*(1+Constants!$C$36/100*(M61-25))+O61/1000))/($B61-C61*N61/1000) &gt; Design!$C$29, Design!$C$29, 100*(Design!$C$22+C61*(IF(ISBLANK(Design!$B$35),Constants!$C$6,Design!$B$35)/1000*(1+Constants!$C$36/100*(M61-25))+O61/1000))/($B61-C61*N61/1000) )</f>
        <v>53.530688201245439</v>
      </c>
      <c r="E61" s="139">
        <f ca="1">IF(($B61-C61*IF(ISBLANK(Design!$B$35),Constants!$C$6,Design!$B$35)/1000*(1+Constants!$C$36/100*(M61-25))-Design!$C$22)/(IF(ISBLANK(Design!$B$34),Design!$B$33,Design!$B$34)/1000000)*D61/100/(IF(ISBLANK(Design!$B$26),Design!$B$25,Design!$B$26)*1000000)&lt;0, 0, ($B61-C61*IF(ISBLANK(Design!$B$35),Constants!$C$6,Design!$B$35)/1000*(1+Constants!$C$36/100*(M61-25))-Design!$C$22)/(IF(ISBLANK(Design!$B$34),Design!$B$33,Design!$B$34)/1000000)*D61/100/(IF(ISBLANK(Design!$B$26),Design!$B$25,Design!$B$26)*1000000))</f>
        <v>0.61264804779648763</v>
      </c>
      <c r="F61" s="186">
        <f>$B61*Constants!$C$21/1000+IF(ISBLANK(Design!$B$26),Design!$B$25,Design!$B$26)*1000000*(Constants!$D$26+Constants!$D$27)/1000000000*$B61</f>
        <v>4.68084E-2</v>
      </c>
      <c r="G61" s="186">
        <f>$B61*C61*($B61/(Constants!$C$28*1000000000)*IF(ISBLANK(Design!$B$26),Design!$B$25,Design!$B$26)*1000000/2+$B61/(Constants!$C$29*1000000000)*IF(ISBLANK(Design!$B$26),Design!$B$25,Design!$B$26)*1000000/2)</f>
        <v>0.10115541599999998</v>
      </c>
      <c r="H61" s="186">
        <f t="shared" ca="1" si="11"/>
        <v>0.30495326251250898</v>
      </c>
      <c r="I61" s="186">
        <f t="shared" ca="1" si="12"/>
        <v>0.26472606117945502</v>
      </c>
      <c r="J61" s="186">
        <f>2*C61*Constants!$C$20/1000000000*Constants!$C$25*IF(ISBLANK(Design!$B$26),Design!$B$25,Design!$B$26)*1000000</f>
        <v>7.1999999999999995E-2</v>
      </c>
      <c r="K61" s="186">
        <f>(Constants!$D$26+Constants!$D$27)/1000000000*$B61*IF(ISBLANK(Design!$B$26),Design!$B$25,Design!$B$26)*1000000</f>
        <v>3.8596399999999989E-2</v>
      </c>
      <c r="L61" s="186">
        <f t="shared" ca="1" si="13"/>
        <v>0.82823953969196396</v>
      </c>
      <c r="M61" s="187">
        <f ca="1">L61*Design!$C$12+$A61</f>
        <v>144.75549790521427</v>
      </c>
      <c r="N61" s="187">
        <f ca="1">Constants!$D$22+Constants!$D$22*Constants!$C$24/100*(M61-25)</f>
        <v>141.31481492746971</v>
      </c>
      <c r="O61" s="187">
        <f ca="1">Constants!$D$23+Constants!$D$23*Constants!$C$24/100*(M61-25)</f>
        <v>114.81828712856914</v>
      </c>
      <c r="P61" s="186">
        <f ca="1">(1-Constants!$C$19/1000000000*Design!$B$26*1000000) * ($B61+C61*O61/1000-C61*N61/1000) - (C61*O61/1000+C61*(1+($A61-25)*Constants!$C$36/100)*IF(ISBLANK(Design!$B$35),Constants!$C$6/1000,Design!$B$35/1000))</f>
        <v>3.4004567157048404</v>
      </c>
      <c r="Q61" s="191">
        <f ca="1">IF(P61&gt;Design!$C$22,Design!$C$22,P61)</f>
        <v>1.7973333333333334</v>
      </c>
      <c r="R61" s="140">
        <f>2*Design!$D$6/3</f>
        <v>1.3333333333333333</v>
      </c>
      <c r="S61" s="202">
        <f ca="1">IF( 100*(Design!$C$22+R61*(IF(ISBLANK(Design!$B$35),Constants!$C$6,Design!$B$35)/1000*(1+Constants!$C$36/100*(AB61-25))+AD61/1000))/($B61-R61*AC61/1000) &gt; Design!$C$29, Design!$C$29, 100*(Design!$C$22+R61*(IF(ISBLANK(Design!$B$35),Constants!$C$6,Design!$B$35)/1000*(1+Constants!$C$36/100*(AB61-25))+AD61/1000))/($B61-R61*AC61/1000) )</f>
        <v>49.678361077877007</v>
      </c>
      <c r="T61" s="141">
        <f ca="1">IF(($B61-R61*IF(ISBLANK(Design!$B$35),Constants!$C$6,Design!$B$35)/1000*(1+Constants!$C$36/100*(AB61-25))-Design!$C$22)/(IF(ISBLANK(Design!$B$34),Design!$B$33,Design!$B$34)/1000000)*S61/100/(IF(ISBLANK(Design!$B$26),Design!$B$25,Design!$B$26)*1000000)&lt;0, 0, ($B61-R61*IF(ISBLANK(Design!$B$35),Constants!$C$6,Design!$B$35)/1000*(1+Constants!$C$36/100*(AB61-25))-Design!$C$22)/(IF(ISBLANK(Design!$B$34),Design!$B$33,Design!$B$34)/1000000)*S61/100/(IF(ISBLANK(Design!$B$26),Design!$B$25,Design!$B$26)*1000000))</f>
        <v>0.57035367275544102</v>
      </c>
      <c r="U61" s="203">
        <f>$B61*Constants!$C$21/1000+IF(ISBLANK(Design!$B$26),Design!$B$25,Design!$B$26)*1000000*(Constants!$D$26+Constants!$D$27)/1000000000*$B61</f>
        <v>4.68084E-2</v>
      </c>
      <c r="V61" s="203">
        <f>$B61*R61*($B61/(Constants!$C$28*1000000000)*IF(ISBLANK(Design!$B$26),Design!$B$25,Design!$B$26)*1000000/2+$B61/(Constants!$C$29*1000000000)*IF(ISBLANK(Design!$B$26),Design!$B$25,Design!$B$26)*1000000/2)</f>
        <v>6.7436943999999985E-2</v>
      </c>
      <c r="W61" s="203">
        <f t="shared" ca="1" si="14"/>
        <v>0.11812258327142408</v>
      </c>
      <c r="X61" s="203">
        <f t="shared" ca="1" si="15"/>
        <v>0.11965213535556976</v>
      </c>
      <c r="Y61" s="203">
        <f>2*R61*Constants!$C$20/1000000000*Constants!$C$25*IF(ISBLANK(Design!$B$26),Design!$B$25,Design!$B$26)*1000000</f>
        <v>4.8000000000000001E-2</v>
      </c>
      <c r="Z61" s="203">
        <f>(Constants!$D$26+Constants!$D$27)/1000000000*$B61*IF(ISBLANK(Design!$B$26),Design!$B$25,Design!$B$26)*1000000</f>
        <v>3.8596399999999989E-2</v>
      </c>
      <c r="AA61" s="203">
        <f t="shared" ca="1" si="16"/>
        <v>0.43861646262699377</v>
      </c>
      <c r="AB61" s="204">
        <f ca="1">AA61*Design!$C$12+$A61</f>
        <v>126.05359020609571</v>
      </c>
      <c r="AC61" s="204">
        <f ca="1">Constants!$D$22+Constants!$D$22*Constants!$C$24/100*(AB61-25)</f>
        <v>131.73943818552101</v>
      </c>
      <c r="AD61" s="204">
        <f ca="1">Constants!$D$23+Constants!$D$23*Constants!$C$24/100*(AB61-25)</f>
        <v>107.03829352573581</v>
      </c>
      <c r="AE61" s="203">
        <f ca="1">(1-Constants!$C$19/1000000000*Design!$B$26*1000000) * ($B61+R61*AD61/1000-R61*AC61/1000) - (R61*AD61/1000+R61*(1+($A61-25)*Constants!$C$36/100)*IF(ISBLANK(Design!$B$35),Constants!$C$6/1000,Design!$B$35/1000))</f>
        <v>3.5112989283739435</v>
      </c>
      <c r="AF61" s="308">
        <f ca="1">IF(AE61&gt;Design!$C$22,Design!$C$22,AE61)</f>
        <v>1.7973333333333334</v>
      </c>
      <c r="AG61" s="215">
        <f>Design!$D$6/3</f>
        <v>0.66666666666666663</v>
      </c>
      <c r="AH61" s="216">
        <f ca="1">IF( 100*(Design!$C$22+AG61*(IF(ISBLANK(Design!$B$35),Constants!$C$6,Design!$B$35)/1000*(1+Constants!$C$36/100*(AQ61-25))+AS61/1000))/($B61-AG61*AR61/1000) &gt; Design!$C$29, Design!$C$29, 100*(Design!$C$22+AG61*(IF(ISBLANK(Design!$B$35),Constants!$C$6,Design!$B$35)/1000*(1+Constants!$C$36/100*(AQ61-25))+AS61/1000))/($B61-AG61*AR61/1000) )</f>
        <v>46.533125739013542</v>
      </c>
      <c r="AI61" s="143">
        <f ca="1">IF(($B61-AG61*IF(ISBLANK(Design!$B$35),Constants!$C$6,Design!$B$35)/1000*(1+Constants!$C$36/100*(AQ61-25))-Design!$C$22)/(IF(ISBLANK(Design!$B$34),Design!$B$33,Design!$B$34)/1000000)*AH61/100/(IF(ISBLANK(Design!$B$26),Design!$B$25,Design!$B$26)*1000000)&lt;0, 0, ($B61-AG61*IF(ISBLANK(Design!$B$35),Constants!$C$6,Design!$B$35)/1000*(1+Constants!$C$36/100*(AQ61-25))-Design!$C$22)/(IF(ISBLANK(Design!$B$34),Design!$B$33,Design!$B$34)/1000000)*AH61/100/(IF(ISBLANK(Design!$B$26),Design!$B$25,Design!$B$26)*1000000))</f>
        <v>0.53574178398098871</v>
      </c>
      <c r="AJ61" s="217">
        <f>$B61*Constants!$C$21/1000+IF(ISBLANK(Design!$B$26),Design!$B$25,Design!$B$26)*1000000*(Constants!$D$26+Constants!$D$27)/1000000000*$B61</f>
        <v>4.68084E-2</v>
      </c>
      <c r="AK61" s="217">
        <f>$B61*AG61*($B61/(Constants!$C$28*1000000000)*IF(ISBLANK(Design!$B$26),Design!$B$25,Design!$B$26)*1000000/2+$B61/(Constants!$C$29*1000000000)*IF(ISBLANK(Design!$B$26),Design!$B$25,Design!$B$26)*1000000/2)</f>
        <v>3.3718471999999992E-2</v>
      </c>
      <c r="AL61" s="217">
        <f t="shared" ca="1" si="17"/>
        <v>2.744498346346529E-2</v>
      </c>
      <c r="AM61" s="217">
        <f t="shared" ca="1" si="18"/>
        <v>3.1534470479503592E-2</v>
      </c>
      <c r="AN61" s="217">
        <f>2*AG61*Constants!$C$20/1000000000*Constants!$C$25*IF(ISBLANK(Design!$B$26),Design!$B$25,Design!$B$26)*1000000</f>
        <v>2.4E-2</v>
      </c>
      <c r="AO61" s="217">
        <f>(Constants!$D$26+Constants!$D$27)/1000000000*$B61*IF(ISBLANK(Design!$B$26),Design!$B$25,Design!$B$26)*1000000</f>
        <v>3.8596399999999989E-2</v>
      </c>
      <c r="AP61" s="217">
        <f t="shared" ca="1" si="19"/>
        <v>0.20210272594296885</v>
      </c>
      <c r="AQ61" s="218">
        <f ca="1">AP61*Design!$C$12+$A61</f>
        <v>114.7009308452625</v>
      </c>
      <c r="AR61" s="218">
        <f ca="1">Constants!$D$22+Constants!$D$22*Constants!$C$24/100*(AQ61-25)</f>
        <v>125.92687659277441</v>
      </c>
      <c r="AS61" s="218">
        <f ca="1">Constants!$D$23+Constants!$D$23*Constants!$C$24/100*(AQ61-25)</f>
        <v>102.31558723162919</v>
      </c>
      <c r="AT61" s="217">
        <f ca="1">(1-Constants!$C$19/1000000000*Design!$B$26*1000000) * ($B61+AG61*AS61/1000-AG61*AR61/1000) - (AG61*AS61/1000+AG61*(1+($A61-25)*Constants!$C$36/100)*IF(ISBLANK(Design!$B$35),Constants!$C$6/1000,Design!$B$35/1000))</f>
        <v>3.6071518482288938</v>
      </c>
      <c r="AU61" s="311">
        <f ca="1">IF(AT61&gt;Design!$C$22,Design!$C$22,AT61)</f>
        <v>1.7973333333333334</v>
      </c>
    </row>
    <row r="62" spans="1:47" ht="12.75" customHeight="1">
      <c r="A62" s="136">
        <f>Design!$D$13</f>
        <v>105</v>
      </c>
      <c r="B62" s="137">
        <f t="shared" si="10"/>
        <v>4.0315000000000003</v>
      </c>
      <c r="C62" s="138">
        <f>Design!$D$6</f>
        <v>2</v>
      </c>
      <c r="D62" s="193">
        <f ca="1">IF( 100*(Design!$C$22+C62*(IF(ISBLANK(Design!$B$35),Constants!$C$6,Design!$B$35)/1000*(1+Constants!$C$36/100*(M62-25))+O62/1000))/($B62-C62*N62/1000) &gt; Design!$C$29, Design!$C$29, 100*(Design!$C$22+C62*(IF(ISBLANK(Design!$B$35),Constants!$C$6,Design!$B$35)/1000*(1+Constants!$C$36/100*(M62-25))+O62/1000))/($B62-C62*N62/1000) )</f>
        <v>54.583599948085869</v>
      </c>
      <c r="E62" s="139">
        <f ca="1">IF(($B62-C62*IF(ISBLANK(Design!$B$35),Constants!$C$6,Design!$B$35)/1000*(1+Constants!$C$36/100*(M62-25))-Design!$C$22)/(IF(ISBLANK(Design!$B$34),Design!$B$33,Design!$B$34)/1000000)*D62/100/(IF(ISBLANK(Design!$B$26),Design!$B$25,Design!$B$26)*1000000)&lt;0, 0, ($B62-C62*IF(ISBLANK(Design!$B$35),Constants!$C$6,Design!$B$35)/1000*(1+Constants!$C$36/100*(M62-25))-Design!$C$22)/(IF(ISBLANK(Design!$B$34),Design!$B$33,Design!$B$34)/1000000)*D62/100/(IF(ISBLANK(Design!$B$26),Design!$B$25,Design!$B$26)*1000000))</f>
        <v>0.60437008440813467</v>
      </c>
      <c r="F62" s="186">
        <f>$B62*Constants!$C$21/1000+IF(ISBLANK(Design!$B$26),Design!$B$25,Design!$B$26)*1000000*(Constants!$D$26+Constants!$D$27)/1000000000*$B62</f>
        <v>4.5959099999999996E-2</v>
      </c>
      <c r="G62" s="186">
        <f>$B62*C62*($B62/(Constants!$C$28*1000000000)*IF(ISBLANK(Design!$B$26),Design!$B$25,Design!$B$26)*1000000/2+$B62/(Constants!$C$29*1000000000)*IF(ISBLANK(Design!$B$26),Design!$B$25,Design!$B$26)*1000000/2)</f>
        <v>9.7517953500000018E-2</v>
      </c>
      <c r="H62" s="186">
        <f t="shared" ca="1" si="11"/>
        <v>0.31056832879652035</v>
      </c>
      <c r="I62" s="186">
        <f t="shared" ca="1" si="12"/>
        <v>0.25840903636792462</v>
      </c>
      <c r="J62" s="186">
        <f>2*C62*Constants!$C$20/1000000000*Constants!$C$25*IF(ISBLANK(Design!$B$26),Design!$B$25,Design!$B$26)*1000000</f>
        <v>7.1999999999999995E-2</v>
      </c>
      <c r="K62" s="186">
        <f>(Constants!$D$26+Constants!$D$27)/1000000000*$B62*IF(ISBLANK(Design!$B$26),Design!$B$25,Design!$B$26)*1000000</f>
        <v>3.7896099999999995E-2</v>
      </c>
      <c r="L62" s="186">
        <f t="shared" ca="1" si="13"/>
        <v>0.82235051866444497</v>
      </c>
      <c r="M62" s="187">
        <f ca="1">L62*Design!$C$12+$A62</f>
        <v>144.47282489589335</v>
      </c>
      <c r="N62" s="187">
        <f ca="1">Constants!$D$22+Constants!$D$22*Constants!$C$24/100*(M62-25)</f>
        <v>141.17008634669739</v>
      </c>
      <c r="O62" s="187">
        <f ca="1">Constants!$D$23+Constants!$D$23*Constants!$C$24/100*(M62-25)</f>
        <v>114.70069515669164</v>
      </c>
      <c r="P62" s="186">
        <f ca="1">(1-Constants!$C$19/1000000000*Design!$B$26*1000000) * ($B62+C62*O62/1000-C62*N62/1000) - (C62*O62/1000+C62*(1+($A62-25)*Constants!$C$36/100)*IF(ISBLANK(Design!$B$35),Constants!$C$6/1000,Design!$B$35/1000))</f>
        <v>3.3336907455446072</v>
      </c>
      <c r="Q62" s="191">
        <f ca="1">IF(P62&gt;Design!$C$22,Design!$C$22,P62)</f>
        <v>1.7973333333333334</v>
      </c>
      <c r="R62" s="140">
        <f>2*Design!$D$6/3</f>
        <v>1.3333333333333333</v>
      </c>
      <c r="S62" s="202">
        <f ca="1">IF( 100*(Design!$C$22+R62*(IF(ISBLANK(Design!$B$35),Constants!$C$6,Design!$B$35)/1000*(1+Constants!$C$36/100*(AB62-25))+AD62/1000))/($B62-R62*AC62/1000) &gt; Design!$C$29, Design!$C$29, 100*(Design!$C$22+R62*(IF(ISBLANK(Design!$B$35),Constants!$C$6,Design!$B$35)/1000*(1+Constants!$C$36/100*(AB62-25))+AD62/1000))/($B62-R62*AC62/1000) )</f>
        <v>50.633249078628019</v>
      </c>
      <c r="T62" s="141">
        <f ca="1">IF(($B62-R62*IF(ISBLANK(Design!$B$35),Constants!$C$6,Design!$B$35)/1000*(1+Constants!$C$36/100*(AB62-25))-Design!$C$22)/(IF(ISBLANK(Design!$B$34),Design!$B$33,Design!$B$34)/1000000)*S62/100/(IF(ISBLANK(Design!$B$26),Design!$B$25,Design!$B$26)*1000000)&lt;0, 0, ($B62-R62*IF(ISBLANK(Design!$B$35),Constants!$C$6,Design!$B$35)/1000*(1+Constants!$C$36/100*(AB62-25))-Design!$C$22)/(IF(ISBLANK(Design!$B$34),Design!$B$33,Design!$B$34)/1000000)*S62/100/(IF(ISBLANK(Design!$B$26),Design!$B$25,Design!$B$26)*1000000))</f>
        <v>0.56245760578050585</v>
      </c>
      <c r="U62" s="203">
        <f>$B62*Constants!$C$21/1000+IF(ISBLANK(Design!$B$26),Design!$B$25,Design!$B$26)*1000000*(Constants!$D$26+Constants!$D$27)/1000000000*$B62</f>
        <v>4.5959099999999996E-2</v>
      </c>
      <c r="V62" s="203">
        <f>$B62*R62*($B62/(Constants!$C$28*1000000000)*IF(ISBLANK(Design!$B$26),Design!$B$25,Design!$B$26)*1000000/2+$B62/(Constants!$C$29*1000000000)*IF(ISBLANK(Design!$B$26),Design!$B$25,Design!$B$26)*1000000/2)</f>
        <v>6.5011969000000017E-2</v>
      </c>
      <c r="W62" s="203">
        <f t="shared" ca="1" si="14"/>
        <v>0.12024766852059847</v>
      </c>
      <c r="X62" s="203">
        <f t="shared" ca="1" si="15"/>
        <v>0.1172398929311004</v>
      </c>
      <c r="Y62" s="203">
        <f>2*R62*Constants!$C$20/1000000000*Constants!$C$25*IF(ISBLANK(Design!$B$26),Design!$B$25,Design!$B$26)*1000000</f>
        <v>4.8000000000000001E-2</v>
      </c>
      <c r="Z62" s="203">
        <f>(Constants!$D$26+Constants!$D$27)/1000000000*$B62*IF(ISBLANK(Design!$B$26),Design!$B$25,Design!$B$26)*1000000</f>
        <v>3.7896099999999995E-2</v>
      </c>
      <c r="AA62" s="203">
        <f t="shared" ca="1" si="16"/>
        <v>0.43435473045169887</v>
      </c>
      <c r="AB62" s="204">
        <f ca="1">AA62*Design!$C$12+$A62</f>
        <v>125.84902706168154</v>
      </c>
      <c r="AC62" s="204">
        <f ca="1">Constants!$D$22+Constants!$D$22*Constants!$C$24/100*(AB62-25)</f>
        <v>131.63470185558094</v>
      </c>
      <c r="AD62" s="204">
        <f ca="1">Constants!$D$23+Constants!$D$23*Constants!$C$24/100*(AB62-25)</f>
        <v>106.95319525765953</v>
      </c>
      <c r="AE62" s="203">
        <f ca="1">(1-Constants!$C$19/1000000000*Design!$B$26*1000000) * ($B62+R62*AD62/1000-R62*AC62/1000) - (R62*AD62/1000+R62*(1+($A62-25)*Constants!$C$36/100)*IF(ISBLANK(Design!$B$35),Constants!$C$6/1000,Design!$B$35/1000))</f>
        <v>3.4443859584056153</v>
      </c>
      <c r="AF62" s="308">
        <f ca="1">IF(AE62&gt;Design!$C$22,Design!$C$22,AE62)</f>
        <v>1.7973333333333334</v>
      </c>
      <c r="AG62" s="215">
        <f>Design!$D$6/3</f>
        <v>0.66666666666666663</v>
      </c>
      <c r="AH62" s="216">
        <f ca="1">IF( 100*(Design!$C$22+AG62*(IF(ISBLANK(Design!$B$35),Constants!$C$6,Design!$B$35)/1000*(1+Constants!$C$36/100*(AQ62-25))+AS62/1000))/($B62-AG62*AR62/1000) &gt; Design!$C$29, Design!$C$29, 100*(Design!$C$22+AG62*(IF(ISBLANK(Design!$B$35),Constants!$C$6,Design!$B$35)/1000*(1+Constants!$C$36/100*(AQ62-25))+AS62/1000))/($B62-AG62*AR62/1000) )</f>
        <v>47.409721625303561</v>
      </c>
      <c r="AI62" s="143">
        <f ca="1">IF(($B62-AG62*IF(ISBLANK(Design!$B$35),Constants!$C$6,Design!$B$35)/1000*(1+Constants!$C$36/100*(AQ62-25))-Design!$C$22)/(IF(ISBLANK(Design!$B$34),Design!$B$33,Design!$B$34)/1000000)*AH62/100/(IF(ISBLANK(Design!$B$26),Design!$B$25,Design!$B$26)*1000000)&lt;0, 0, ($B62-AG62*IF(ISBLANK(Design!$B$35),Constants!$C$6,Design!$B$35)/1000*(1+Constants!$C$36/100*(AQ62-25))-Design!$C$22)/(IF(ISBLANK(Design!$B$34),Design!$B$33,Design!$B$34)/1000000)*AH62/100/(IF(ISBLANK(Design!$B$26),Design!$B$25,Design!$B$26)*1000000))</f>
        <v>0.52817459756955831</v>
      </c>
      <c r="AJ62" s="217">
        <f>$B62*Constants!$C$21/1000+IF(ISBLANK(Design!$B$26),Design!$B$25,Design!$B$26)*1000000*(Constants!$D$26+Constants!$D$27)/1000000000*$B62</f>
        <v>4.5959099999999996E-2</v>
      </c>
      <c r="AK62" s="217">
        <f>$B62*AG62*($B62/(Constants!$C$28*1000000000)*IF(ISBLANK(Design!$B$26),Design!$B$25,Design!$B$26)*1000000/2+$B62/(Constants!$C$29*1000000000)*IF(ISBLANK(Design!$B$26),Design!$B$25,Design!$B$26)*1000000/2)</f>
        <v>3.2505984500000008E-2</v>
      </c>
      <c r="AL62" s="217">
        <f t="shared" ca="1" si="17"/>
        <v>2.7906248764628314E-2</v>
      </c>
      <c r="AM62" s="217">
        <f t="shared" ca="1" si="18"/>
        <v>3.0955621349652553E-2</v>
      </c>
      <c r="AN62" s="217">
        <f>2*AG62*Constants!$C$20/1000000000*Constants!$C$25*IF(ISBLANK(Design!$B$26),Design!$B$25,Design!$B$26)*1000000</f>
        <v>2.4E-2</v>
      </c>
      <c r="AO62" s="217">
        <f>(Constants!$D$26+Constants!$D$27)/1000000000*$B62*IF(ISBLANK(Design!$B$26),Design!$B$25,Design!$B$26)*1000000</f>
        <v>3.7896099999999995E-2</v>
      </c>
      <c r="AP62" s="217">
        <f t="shared" ca="1" si="19"/>
        <v>0.19922305461428086</v>
      </c>
      <c r="AQ62" s="218">
        <f ca="1">AP62*Design!$C$12+$A62</f>
        <v>114.56270662148549</v>
      </c>
      <c r="AR62" s="218">
        <f ca="1">Constants!$D$22+Constants!$D$22*Constants!$C$24/100*(AQ62-25)</f>
        <v>125.85610579020057</v>
      </c>
      <c r="AS62" s="218">
        <f ca="1">Constants!$D$23+Constants!$D$23*Constants!$C$24/100*(AQ62-25)</f>
        <v>102.25808595453796</v>
      </c>
      <c r="AT62" s="217">
        <f ca="1">(1-Constants!$C$19/1000000000*Design!$B$26*1000000) * ($B62+AG62*AS62/1000-AG62*AR62/1000) - (AG62*AS62/1000+AG62*(1+($A62-25)*Constants!$C$36/100)*IF(ISBLANK(Design!$B$35),Constants!$C$6/1000,Design!$B$35/1000))</f>
        <v>3.5401481441289109</v>
      </c>
      <c r="AU62" s="311">
        <f ca="1">IF(AT62&gt;Design!$C$22,Design!$C$22,AT62)</f>
        <v>1.7973333333333334</v>
      </c>
    </row>
    <row r="63" spans="1:47" ht="12.75" customHeight="1">
      <c r="A63" s="136">
        <f>Design!$D$13</f>
        <v>105</v>
      </c>
      <c r="B63" s="137">
        <f t="shared" si="10"/>
        <v>3.9570000000000003</v>
      </c>
      <c r="C63" s="138">
        <f>Design!$D$6</f>
        <v>2</v>
      </c>
      <c r="D63" s="193">
        <f ca="1">IF( 100*(Design!$C$22+C63*(IF(ISBLANK(Design!$B$35),Constants!$C$6,Design!$B$35)/1000*(1+Constants!$C$36/100*(M63-25))+O63/1000))/($B63-C63*N63/1000) &gt; Design!$C$29, Design!$C$29, 100*(Design!$C$22+C63*(IF(ISBLANK(Design!$B$35),Constants!$C$6,Design!$B$35)/1000*(1+Constants!$C$36/100*(M63-25))+O63/1000))/($B63-C63*N63/1000) )</f>
        <v>55.679170595475128</v>
      </c>
      <c r="E63" s="139">
        <f ca="1">IF(($B63-C63*IF(ISBLANK(Design!$B$35),Constants!$C$6,Design!$B$35)/1000*(1+Constants!$C$36/100*(M63-25))-Design!$C$22)/(IF(ISBLANK(Design!$B$34),Design!$B$33,Design!$B$34)/1000000)*D63/100/(IF(ISBLANK(Design!$B$26),Design!$B$25,Design!$B$26)*1000000)&lt;0, 0, ($B63-C63*IF(ISBLANK(Design!$B$35),Constants!$C$6,Design!$B$35)/1000*(1+Constants!$C$36/100*(M63-25))-Design!$C$22)/(IF(ISBLANK(Design!$B$34),Design!$B$33,Design!$B$34)/1000000)*D63/100/(IF(ISBLANK(Design!$B$26),Design!$B$25,Design!$B$26)*1000000))</f>
        <v>0.59576425669974453</v>
      </c>
      <c r="F63" s="186">
        <f>$B63*Constants!$C$21/1000+IF(ISBLANK(Design!$B$26),Design!$B$25,Design!$B$26)*1000000*(Constants!$D$26+Constants!$D$27)/1000000000*$B63</f>
        <v>4.5109799999999992E-2</v>
      </c>
      <c r="G63" s="186">
        <f>$B63*C63*($B63/(Constants!$C$28*1000000000)*IF(ISBLANK(Design!$B$26),Design!$B$25,Design!$B$26)*1000000/2+$B63/(Constants!$C$29*1000000000)*IF(ISBLANK(Design!$B$26),Design!$B$25,Design!$B$26)*1000000/2)</f>
        <v>9.3947094000000023E-2</v>
      </c>
      <c r="H63" s="186">
        <f t="shared" ca="1" si="11"/>
        <v>0.31641341673627493</v>
      </c>
      <c r="I63" s="186">
        <f t="shared" ca="1" si="12"/>
        <v>0.25186627089612107</v>
      </c>
      <c r="J63" s="186">
        <f>2*C63*Constants!$C$20/1000000000*Constants!$C$25*IF(ISBLANK(Design!$B$26),Design!$B$25,Design!$B$26)*1000000</f>
        <v>7.1999999999999995E-2</v>
      </c>
      <c r="K63" s="186">
        <f>(Constants!$D$26+Constants!$D$27)/1000000000*$B63*IF(ISBLANK(Design!$B$26),Design!$B$25,Design!$B$26)*1000000</f>
        <v>3.7195799999999994E-2</v>
      </c>
      <c r="L63" s="186">
        <f t="shared" ca="1" si="13"/>
        <v>0.81653238163239594</v>
      </c>
      <c r="M63" s="187">
        <f ca="1">L63*Design!$C$12+$A63</f>
        <v>144.19355431835501</v>
      </c>
      <c r="N63" s="187">
        <f ca="1">Constants!$D$22+Constants!$D$22*Constants!$C$24/100*(M63-25)</f>
        <v>141.02709981099775</v>
      </c>
      <c r="O63" s="187">
        <f ca="1">Constants!$D$23+Constants!$D$23*Constants!$C$24/100*(M63-25)</f>
        <v>114.58451859643569</v>
      </c>
      <c r="P63" s="186">
        <f ca="1">(1-Constants!$C$19/1000000000*Design!$B$26*1000000) * ($B63+C63*O63/1000-C63*N63/1000) - (C63*O63/1000+C63*(1+($A63-25)*Constants!$C$36/100)*IF(ISBLANK(Design!$B$35),Constants!$C$6/1000,Design!$B$35/1000))</f>
        <v>3.2669213566209172</v>
      </c>
      <c r="Q63" s="191">
        <f ca="1">IF(P63&gt;Design!$C$22,Design!$C$22,P63)</f>
        <v>1.7973333333333334</v>
      </c>
      <c r="R63" s="140">
        <f>2*Design!$D$6/3</f>
        <v>1.3333333333333333</v>
      </c>
      <c r="S63" s="202">
        <f ca="1">IF( 100*(Design!$C$22+R63*(IF(ISBLANK(Design!$B$35),Constants!$C$6,Design!$B$35)/1000*(1+Constants!$C$36/100*(AB63-25))+AD63/1000))/($B63-R63*AC63/1000) &gt; Design!$C$29, Design!$C$29, 100*(Design!$C$22+R63*(IF(ISBLANK(Design!$B$35),Constants!$C$6,Design!$B$35)/1000*(1+Constants!$C$36/100*(AB63-25))+AD63/1000))/($B63-R63*AC63/1000) )</f>
        <v>51.625742920870771</v>
      </c>
      <c r="T63" s="141">
        <f ca="1">IF(($B63-R63*IF(ISBLANK(Design!$B$35),Constants!$C$6,Design!$B$35)/1000*(1+Constants!$C$36/100*(AB63-25))-Design!$C$22)/(IF(ISBLANK(Design!$B$34),Design!$B$33,Design!$B$34)/1000000)*S63/100/(IF(ISBLANK(Design!$B$26),Design!$B$25,Design!$B$26)*1000000)&lt;0, 0, ($B63-R63*IF(ISBLANK(Design!$B$35),Constants!$C$6,Design!$B$35)/1000*(1+Constants!$C$36/100*(AB63-25))-Design!$C$22)/(IF(ISBLANK(Design!$B$34),Design!$B$33,Design!$B$34)/1000000)*S63/100/(IF(ISBLANK(Design!$B$26),Design!$B$25,Design!$B$26)*1000000))</f>
        <v>0.55425393291817204</v>
      </c>
      <c r="U63" s="203">
        <f>$B63*Constants!$C$21/1000+IF(ISBLANK(Design!$B$26),Design!$B$25,Design!$B$26)*1000000*(Constants!$D$26+Constants!$D$27)/1000000000*$B63</f>
        <v>4.5109799999999992E-2</v>
      </c>
      <c r="V63" s="203">
        <f>$B63*R63*($B63/(Constants!$C$28*1000000000)*IF(ISBLANK(Design!$B$26),Design!$B$25,Design!$B$26)*1000000/2+$B63/(Constants!$C$29*1000000000)*IF(ISBLANK(Design!$B$26),Design!$B$25,Design!$B$26)*1000000/2)</f>
        <v>6.2631396000000006E-2</v>
      </c>
      <c r="W63" s="203">
        <f t="shared" ca="1" si="14"/>
        <v>0.12245633711019291</v>
      </c>
      <c r="X63" s="203">
        <f t="shared" ca="1" si="15"/>
        <v>0.11474380797612102</v>
      </c>
      <c r="Y63" s="203">
        <f>2*R63*Constants!$C$20/1000000000*Constants!$C$25*IF(ISBLANK(Design!$B$26),Design!$B$25,Design!$B$26)*1000000</f>
        <v>4.8000000000000001E-2</v>
      </c>
      <c r="Z63" s="203">
        <f>(Constants!$D$26+Constants!$D$27)/1000000000*$B63*IF(ISBLANK(Design!$B$26),Design!$B$25,Design!$B$26)*1000000</f>
        <v>3.7195799999999994E-2</v>
      </c>
      <c r="AA63" s="203">
        <f t="shared" ca="1" si="16"/>
        <v>0.4301371410863139</v>
      </c>
      <c r="AB63" s="204">
        <f ca="1">AA63*Design!$C$12+$A63</f>
        <v>125.64658277214306</v>
      </c>
      <c r="AC63" s="204">
        <f ca="1">Constants!$D$22+Constants!$D$22*Constants!$C$24/100*(AB63-25)</f>
        <v>131.53105037933724</v>
      </c>
      <c r="AD63" s="204">
        <f ca="1">Constants!$D$23+Constants!$D$23*Constants!$C$24/100*(AB63-25)</f>
        <v>106.86897843321151</v>
      </c>
      <c r="AE63" s="203">
        <f ca="1">(1-Constants!$C$19/1000000000*Design!$B$26*1000000) * ($B63+R63*AD63/1000-R63*AC63/1000) - (R63*AD63/1000+R63*(1+($A63-25)*Constants!$C$36/100)*IF(ISBLANK(Design!$B$35),Constants!$C$6/1000,Design!$B$35/1000))</f>
        <v>3.3774715690870338</v>
      </c>
      <c r="AF63" s="308">
        <f ca="1">IF(AE63&gt;Design!$C$22,Design!$C$22,AE63)</f>
        <v>1.7973333333333334</v>
      </c>
      <c r="AG63" s="215">
        <f>Design!$D$6/3</f>
        <v>0.66666666666666663</v>
      </c>
      <c r="AH63" s="216">
        <f ca="1">IF( 100*(Design!$C$22+AG63*(IF(ISBLANK(Design!$B$35),Constants!$C$6,Design!$B$35)/1000*(1+Constants!$C$36/100*(AQ63-25))+AS63/1000))/($B63-AG63*AR63/1000) &gt; Design!$C$29, Design!$C$29, 100*(Design!$C$22+AG63*(IF(ISBLANK(Design!$B$35),Constants!$C$6,Design!$B$35)/1000*(1+Constants!$C$36/100*(AQ63-25))+AS63/1000))/($B63-AG63*AR63/1000) )</f>
        <v>48.320030561507494</v>
      </c>
      <c r="AI63" s="143">
        <f ca="1">IF(($B63-AG63*IF(ISBLANK(Design!$B$35),Constants!$C$6,Design!$B$35)/1000*(1+Constants!$C$36/100*(AQ63-25))-Design!$C$22)/(IF(ISBLANK(Design!$B$34),Design!$B$33,Design!$B$34)/1000000)*AH63/100/(IF(ISBLANK(Design!$B$26),Design!$B$25,Design!$B$26)*1000000)&lt;0, 0, ($B63-AG63*IF(ISBLANK(Design!$B$35),Constants!$C$6,Design!$B$35)/1000*(1+Constants!$C$36/100*(AQ63-25))-Design!$C$22)/(IF(ISBLANK(Design!$B$34),Design!$B$33,Design!$B$34)/1000000)*AH63/100/(IF(ISBLANK(Design!$B$26),Design!$B$25,Design!$B$26)*1000000))</f>
        <v>0.52031739152474366</v>
      </c>
      <c r="AJ63" s="217">
        <f>$B63*Constants!$C$21/1000+IF(ISBLANK(Design!$B$26),Design!$B$25,Design!$B$26)*1000000*(Constants!$D$26+Constants!$D$27)/1000000000*$B63</f>
        <v>4.5109799999999992E-2</v>
      </c>
      <c r="AK63" s="217">
        <f>$B63*AG63*($B63/(Constants!$C$28*1000000000)*IF(ISBLANK(Design!$B$26),Design!$B$25,Design!$B$26)*1000000/2+$B63/(Constants!$C$29*1000000000)*IF(ISBLANK(Design!$B$26),Design!$B$25,Design!$B$26)*1000000/2)</f>
        <v>3.1315698000000003E-2</v>
      </c>
      <c r="AL63" s="217">
        <f t="shared" ca="1" si="17"/>
        <v>2.8384468045633902E-2</v>
      </c>
      <c r="AM63" s="217">
        <f t="shared" ca="1" si="18"/>
        <v>3.0358185292514904E-2</v>
      </c>
      <c r="AN63" s="217">
        <f>2*AG63*Constants!$C$20/1000000000*Constants!$C$25*IF(ISBLANK(Design!$B$26),Design!$B$25,Design!$B$26)*1000000</f>
        <v>2.4E-2</v>
      </c>
      <c r="AO63" s="217">
        <f>(Constants!$D$26+Constants!$D$27)/1000000000*$B63*IF(ISBLANK(Design!$B$26),Design!$B$25,Design!$B$26)*1000000</f>
        <v>3.7195799999999994E-2</v>
      </c>
      <c r="AP63" s="217">
        <f t="shared" ca="1" si="19"/>
        <v>0.1963639513381488</v>
      </c>
      <c r="AQ63" s="218">
        <f ca="1">AP63*Design!$C$12+$A63</f>
        <v>114.42546966423114</v>
      </c>
      <c r="AR63" s="218">
        <f ca="1">Constants!$D$22+Constants!$D$22*Constants!$C$24/100*(AQ63-25)</f>
        <v>125.78584046808635</v>
      </c>
      <c r="AS63" s="218">
        <f ca="1">Constants!$D$23+Constants!$D$23*Constants!$C$24/100*(AQ63-25)</f>
        <v>102.20099538032017</v>
      </c>
      <c r="AT63" s="217">
        <f ca="1">(1-Constants!$C$19/1000000000*Design!$B$26*1000000) * ($B63+AG63*AS63/1000-AG63*AR63/1000) - (AG63*AS63/1000+AG63*(1+($A63-25)*Constants!$C$36/100)*IF(ISBLANK(Design!$B$35),Constants!$C$6/1000,Design!$B$35/1000))</f>
        <v>3.4731441093604603</v>
      </c>
      <c r="AU63" s="311">
        <f ca="1">IF(AT63&gt;Design!$C$22,Design!$C$22,AT63)</f>
        <v>1.7973333333333334</v>
      </c>
    </row>
    <row r="64" spans="1:47" ht="12.75" customHeight="1">
      <c r="A64" s="136">
        <f>Design!$D$13</f>
        <v>105</v>
      </c>
      <c r="B64" s="137">
        <f t="shared" si="10"/>
        <v>3.8825000000000003</v>
      </c>
      <c r="C64" s="138">
        <f>Design!$D$6</f>
        <v>2</v>
      </c>
      <c r="D64" s="193">
        <f ca="1">IF( 100*(Design!$C$22+C64*(IF(ISBLANK(Design!$B$35),Constants!$C$6,Design!$B$35)/1000*(1+Constants!$C$36/100*(M64-25))+O64/1000))/($B64-C64*N64/1000) &gt; Design!$C$29, Design!$C$29, 100*(Design!$C$22+C64*(IF(ISBLANK(Design!$B$35),Constants!$C$6,Design!$B$35)/1000*(1+Constants!$C$36/100*(M64-25))+O64/1000))/($B64-C64*N64/1000) )</f>
        <v>56.820040862192712</v>
      </c>
      <c r="E64" s="139">
        <f ca="1">IF(($B64-C64*IF(ISBLANK(Design!$B$35),Constants!$C$6,Design!$B$35)/1000*(1+Constants!$C$36/100*(M64-25))-Design!$C$22)/(IF(ISBLANK(Design!$B$34),Design!$B$33,Design!$B$34)/1000000)*D64/100/(IF(ISBLANK(Design!$B$26),Design!$B$25,Design!$B$26)*1000000)&lt;0, 0, ($B64-C64*IF(ISBLANK(Design!$B$35),Constants!$C$6,Design!$B$35)/1000*(1+Constants!$C$36/100*(M64-25))-Design!$C$22)/(IF(ISBLANK(Design!$B$34),Design!$B$33,Design!$B$34)/1000000)*D64/100/(IF(ISBLANK(Design!$B$26),Design!$B$25,Design!$B$26)*1000000))</f>
        <v>0.58681017195700336</v>
      </c>
      <c r="F64" s="186">
        <f>$B64*Constants!$C$21/1000+IF(ISBLANK(Design!$B$26),Design!$B$25,Design!$B$26)*1000000*(Constants!$D$26+Constants!$D$27)/1000000000*$B64</f>
        <v>4.4260500000000001E-2</v>
      </c>
      <c r="G64" s="186">
        <f>$B64*C64*($B64/(Constants!$C$28*1000000000)*IF(ISBLANK(Design!$B$26),Design!$B$25,Design!$B$26)*1000000/2+$B64/(Constants!$C$29*1000000000)*IF(ISBLANK(Design!$B$26),Design!$B$25,Design!$B$26)*1000000/2)</f>
        <v>9.0442837500000012E-2</v>
      </c>
      <c r="H64" s="186">
        <f t="shared" ca="1" si="11"/>
        <v>0.32250271355072452</v>
      </c>
      <c r="I64" s="186">
        <f t="shared" ca="1" si="12"/>
        <v>0.24508349134641677</v>
      </c>
      <c r="J64" s="186">
        <f>2*C64*Constants!$C$20/1000000000*Constants!$C$25*IF(ISBLANK(Design!$B$26),Design!$B$25,Design!$B$26)*1000000</f>
        <v>7.1999999999999995E-2</v>
      </c>
      <c r="K64" s="186">
        <f>(Constants!$D$26+Constants!$D$27)/1000000000*$B64*IF(ISBLANK(Design!$B$26),Design!$B$25,Design!$B$26)*1000000</f>
        <v>3.64955E-2</v>
      </c>
      <c r="L64" s="186">
        <f t="shared" ca="1" si="13"/>
        <v>0.81078504239714133</v>
      </c>
      <c r="M64" s="187">
        <f ca="1">L64*Design!$C$12+$A64</f>
        <v>143.9176820350628</v>
      </c>
      <c r="N64" s="187">
        <f ca="1">Constants!$D$22+Constants!$D$22*Constants!$C$24/100*(M64-25)</f>
        <v>140.88585320195216</v>
      </c>
      <c r="O64" s="187">
        <f ca="1">Constants!$D$23+Constants!$D$23*Constants!$C$24/100*(M64-25)</f>
        <v>114.46975572658613</v>
      </c>
      <c r="P64" s="186">
        <f ca="1">(1-Constants!$C$19/1000000000*Design!$B$26*1000000) * ($B64+C64*O64/1000-C64*N64/1000) - (C64*O64/1000+C64*(1+($A64-25)*Constants!$C$36/100)*IF(ISBLANK(Design!$B$35),Constants!$C$6/1000,Design!$B$35/1000))</f>
        <v>3.2001485530911689</v>
      </c>
      <c r="Q64" s="191">
        <f ca="1">IF(P64&gt;Design!$C$22,Design!$C$22,P64)</f>
        <v>1.7973333333333334</v>
      </c>
      <c r="R64" s="140">
        <f>2*Design!$D$6/3</f>
        <v>1.3333333333333333</v>
      </c>
      <c r="S64" s="202">
        <f ca="1">IF( 100*(Design!$C$22+R64*(IF(ISBLANK(Design!$B$35),Constants!$C$6,Design!$B$35)/1000*(1+Constants!$C$36/100*(AB64-25))+AD64/1000))/($B64-R64*AC64/1000) &gt; Design!$C$29, Design!$C$29, 100*(Design!$C$22+R64*(IF(ISBLANK(Design!$B$35),Constants!$C$6,Design!$B$35)/1000*(1+Constants!$C$36/100*(AB64-25))+AD64/1000))/($B64-R64*AC64/1000) )</f>
        <v>52.658106638972839</v>
      </c>
      <c r="T64" s="141">
        <f ca="1">IF(($B64-R64*IF(ISBLANK(Design!$B$35),Constants!$C$6,Design!$B$35)/1000*(1+Constants!$C$36/100*(AB64-25))-Design!$C$22)/(IF(ISBLANK(Design!$B$34),Design!$B$33,Design!$B$34)/1000000)*S64/100/(IF(ISBLANK(Design!$B$26),Design!$B$25,Design!$B$26)*1000000)&lt;0, 0, ($B64-R64*IF(ISBLANK(Design!$B$35),Constants!$C$6,Design!$B$35)/1000*(1+Constants!$C$36/100*(AB64-25))-Design!$C$22)/(IF(ISBLANK(Design!$B$34),Design!$B$33,Design!$B$34)/1000000)*S64/100/(IF(ISBLANK(Design!$B$26),Design!$B$25,Design!$B$26)*1000000))</f>
        <v>0.545724095964773</v>
      </c>
      <c r="U64" s="203">
        <f>$B64*Constants!$C$21/1000+IF(ISBLANK(Design!$B$26),Design!$B$25,Design!$B$26)*1000000*(Constants!$D$26+Constants!$D$27)/1000000000*$B64</f>
        <v>4.4260500000000001E-2</v>
      </c>
      <c r="V64" s="203">
        <f>$B64*R64*($B64/(Constants!$C$28*1000000000)*IF(ISBLANK(Design!$B$26),Design!$B$25,Design!$B$26)*1000000/2+$B64/(Constants!$C$29*1000000000)*IF(ISBLANK(Design!$B$26),Design!$B$25,Design!$B$26)*1000000/2)</f>
        <v>6.0295225000000001E-2</v>
      </c>
      <c r="W64" s="203">
        <f t="shared" ca="1" si="14"/>
        <v>0.12475359170174914</v>
      </c>
      <c r="X64" s="203">
        <f t="shared" ca="1" si="15"/>
        <v>0.11215882248182057</v>
      </c>
      <c r="Y64" s="203">
        <f>2*R64*Constants!$C$20/1000000000*Constants!$C$25*IF(ISBLANK(Design!$B$26),Design!$B$25,Design!$B$26)*1000000</f>
        <v>4.8000000000000001E-2</v>
      </c>
      <c r="Z64" s="203">
        <f>(Constants!$D$26+Constants!$D$27)/1000000000*$B64*IF(ISBLANK(Design!$B$26),Design!$B$25,Design!$B$26)*1000000</f>
        <v>3.64955E-2</v>
      </c>
      <c r="AA64" s="203">
        <f t="shared" ca="1" si="16"/>
        <v>0.42596363918356972</v>
      </c>
      <c r="AB64" s="204">
        <f ca="1">AA64*Design!$C$12+$A64</f>
        <v>125.44625468081135</v>
      </c>
      <c r="AC64" s="204">
        <f ca="1">Constants!$D$22+Constants!$D$22*Constants!$C$24/100*(AB64-25)</f>
        <v>131.42848239657542</v>
      </c>
      <c r="AD64" s="204">
        <f ca="1">Constants!$D$23+Constants!$D$23*Constants!$C$24/100*(AB64-25)</f>
        <v>106.78564194721753</v>
      </c>
      <c r="AE64" s="203">
        <f ca="1">(1-Constants!$C$19/1000000000*Design!$B$26*1000000) * ($B64+R64*AD64/1000-R64*AC64/1000) - (R64*AD64/1000+R64*(1+($A64-25)*Constants!$C$36/100)*IF(ISBLANK(Design!$B$35),Constants!$C$6/1000,Design!$B$35/1000))</f>
        <v>3.3105557621978141</v>
      </c>
      <c r="AF64" s="308">
        <f ca="1">IF(AE64&gt;Design!$C$22,Design!$C$22,AE64)</f>
        <v>1.7973333333333334</v>
      </c>
      <c r="AG64" s="215">
        <f>Design!$D$6/3</f>
        <v>0.66666666666666663</v>
      </c>
      <c r="AH64" s="216">
        <f ca="1">IF( 100*(Design!$C$22+AG64*(IF(ISBLANK(Design!$B$35),Constants!$C$6,Design!$B$35)/1000*(1+Constants!$C$36/100*(AQ64-25))+AS64/1000))/($B64-AG64*AR64/1000) &gt; Design!$C$29, Design!$C$29, 100*(Design!$C$22+AG64*(IF(ISBLANK(Design!$B$35),Constants!$C$6,Design!$B$35)/1000*(1+Constants!$C$36/100*(AQ64-25))+AS64/1000))/($B64-AG64*AR64/1000) )</f>
        <v>49.266035064244193</v>
      </c>
      <c r="AI64" s="143">
        <f ca="1">IF(($B64-AG64*IF(ISBLANK(Design!$B$35),Constants!$C$6,Design!$B$35)/1000*(1+Constants!$C$36/100*(AQ64-25))-Design!$C$22)/(IF(ISBLANK(Design!$B$34),Design!$B$33,Design!$B$34)/1000000)*AH64/100/(IF(ISBLANK(Design!$B$26),Design!$B$25,Design!$B$26)*1000000)&lt;0, 0, ($B64-AG64*IF(ISBLANK(Design!$B$35),Constants!$C$6,Design!$B$35)/1000*(1+Constants!$C$36/100*(AQ64-25))-Design!$C$22)/(IF(ISBLANK(Design!$B$34),Design!$B$33,Design!$B$34)/1000000)*AH64/100/(IF(ISBLANK(Design!$B$26),Design!$B$25,Design!$B$26)*1000000))</f>
        <v>0.51215310207760589</v>
      </c>
      <c r="AJ64" s="217">
        <f>$B64*Constants!$C$21/1000+IF(ISBLANK(Design!$B$26),Design!$B$25,Design!$B$26)*1000000*(Constants!$D$26+Constants!$D$27)/1000000000*$B64</f>
        <v>4.4260500000000001E-2</v>
      </c>
      <c r="AK64" s="217">
        <f>$B64*AG64*($B64/(Constants!$C$28*1000000000)*IF(ISBLANK(Design!$B$26),Design!$B$25,Design!$B$26)*1000000/2+$B64/(Constants!$C$29*1000000000)*IF(ISBLANK(Design!$B$26),Design!$B$25,Design!$B$26)*1000000/2)</f>
        <v>3.01476125E-2</v>
      </c>
      <c r="AL64" s="217">
        <f t="shared" ca="1" si="17"/>
        <v>2.8880619572118515E-2</v>
      </c>
      <c r="AM64" s="217">
        <f t="shared" ca="1" si="18"/>
        <v>2.9741145979863576E-2</v>
      </c>
      <c r="AN64" s="217">
        <f>2*AG64*Constants!$C$20/1000000000*Constants!$C$25*IF(ISBLANK(Design!$B$26),Design!$B$25,Design!$B$26)*1000000</f>
        <v>2.4E-2</v>
      </c>
      <c r="AO64" s="217">
        <f>(Constants!$D$26+Constants!$D$27)/1000000000*$B64*IF(ISBLANK(Design!$B$26),Design!$B$25,Design!$B$26)*1000000</f>
        <v>3.64955E-2</v>
      </c>
      <c r="AP64" s="217">
        <f t="shared" ca="1" si="19"/>
        <v>0.19352537805198206</v>
      </c>
      <c r="AQ64" s="218">
        <f ca="1">AP64*Design!$C$12+$A64</f>
        <v>114.28921814649513</v>
      </c>
      <c r="AR64" s="218">
        <f ca="1">Constants!$D$22+Constants!$D$22*Constants!$C$24/100*(AQ64-25)</f>
        <v>125.71607969100552</v>
      </c>
      <c r="AS64" s="218">
        <f ca="1">Constants!$D$23+Constants!$D$23*Constants!$C$24/100*(AQ64-25)</f>
        <v>102.14431474894198</v>
      </c>
      <c r="AT64" s="217">
        <f ca="1">(1-Constants!$C$19/1000000000*Design!$B$26*1000000) * ($B64+AG64*AS64/1000-AG64*AR64/1000) - (AG64*AS64/1000+AG64*(1+($A64-25)*Constants!$C$36/100)*IF(ISBLANK(Design!$B$35),Constants!$C$6/1000,Design!$B$35/1000))</f>
        <v>3.4061397445354675</v>
      </c>
      <c r="AU64" s="311">
        <f ca="1">IF(AT64&gt;Design!$C$22,Design!$C$22,AT64)</f>
        <v>1.7973333333333334</v>
      </c>
    </row>
    <row r="65" spans="1:47" ht="12.75" customHeight="1">
      <c r="A65" s="136">
        <f>Design!$D$13</f>
        <v>105</v>
      </c>
      <c r="B65" s="137">
        <f t="shared" si="10"/>
        <v>3.8080000000000003</v>
      </c>
      <c r="C65" s="138">
        <f>Design!$D$6</f>
        <v>2</v>
      </c>
      <c r="D65" s="193">
        <f ca="1">IF( 100*(Design!$C$22+C65*(IF(ISBLANK(Design!$B$35),Constants!$C$6,Design!$B$35)/1000*(1+Constants!$C$36/100*(M65-25))+O65/1000))/($B65-C65*N65/1000) &gt; Design!$C$29, Design!$C$29, 100*(Design!$C$22+C65*(IF(ISBLANK(Design!$B$35),Constants!$C$6,Design!$B$35)/1000*(1+Constants!$C$36/100*(M65-25))+O65/1000))/($B65-C65*N65/1000) )</f>
        <v>58.00907403167102</v>
      </c>
      <c r="E65" s="139">
        <f ca="1">IF(($B65-C65*IF(ISBLANK(Design!$B$35),Constants!$C$6,Design!$B$35)/1000*(1+Constants!$C$36/100*(M65-25))-Design!$C$22)/(IF(ISBLANK(Design!$B$34),Design!$B$33,Design!$B$34)/1000000)*D65/100/(IF(ISBLANK(Design!$B$26),Design!$B$25,Design!$B$26)*1000000)&lt;0, 0, ($B65-C65*IF(ISBLANK(Design!$B$35),Constants!$C$6,Design!$B$35)/1000*(1+Constants!$C$36/100*(M65-25))-Design!$C$22)/(IF(ISBLANK(Design!$B$34),Design!$B$33,Design!$B$34)/1000000)*D65/100/(IF(ISBLANK(Design!$B$26),Design!$B$25,Design!$B$26)*1000000))</f>
        <v>0.57748571897831724</v>
      </c>
      <c r="F65" s="186">
        <f>$B65*Constants!$C$21/1000+IF(ISBLANK(Design!$B$26),Design!$B$25,Design!$B$26)*1000000*(Constants!$D$26+Constants!$D$27)/1000000000*$B65</f>
        <v>4.3411199999999997E-2</v>
      </c>
      <c r="G65" s="186">
        <f>$B65*C65*($B65/(Constants!$C$28*1000000000)*IF(ISBLANK(Design!$B$26),Design!$B$25,Design!$B$26)*1000000/2+$B65/(Constants!$C$29*1000000000)*IF(ISBLANK(Design!$B$26),Design!$B$25,Design!$B$26)*1000000/2)</f>
        <v>8.7005184000000013E-2</v>
      </c>
      <c r="H65" s="186">
        <f t="shared" ca="1" si="11"/>
        <v>0.32885160364090449</v>
      </c>
      <c r="I65" s="186">
        <f t="shared" ca="1" si="12"/>
        <v>0.23804522953619897</v>
      </c>
      <c r="J65" s="186">
        <f>2*C65*Constants!$C$20/1000000000*Constants!$C$25*IF(ISBLANK(Design!$B$26),Design!$B$25,Design!$B$26)*1000000</f>
        <v>7.1999999999999995E-2</v>
      </c>
      <c r="K65" s="186">
        <f>(Constants!$D$26+Constants!$D$27)/1000000000*$B65*IF(ISBLANK(Design!$B$26),Design!$B$25,Design!$B$26)*1000000</f>
        <v>3.5795199999999992E-2</v>
      </c>
      <c r="L65" s="186">
        <f t="shared" ca="1" si="13"/>
        <v>0.80510841717710346</v>
      </c>
      <c r="M65" s="187">
        <f ca="1">L65*Design!$C$12+$A65</f>
        <v>143.64520402450097</v>
      </c>
      <c r="N65" s="187">
        <f ca="1">Constants!$D$22+Constants!$D$22*Constants!$C$24/100*(M65-25)</f>
        <v>140.74634446054449</v>
      </c>
      <c r="O65" s="187">
        <f ca="1">Constants!$D$23+Constants!$D$23*Constants!$C$24/100*(M65-25)</f>
        <v>114.35640487419241</v>
      </c>
      <c r="P65" s="186">
        <f ca="1">(1-Constants!$C$19/1000000000*Design!$B$26*1000000) * ($B65+C65*O65/1000-C65*N65/1000) - (C65*O65/1000+C65*(1+($A65-25)*Constants!$C$36/100)*IF(ISBLANK(Design!$B$35),Constants!$C$6/1000,Design!$B$35/1000))</f>
        <v>3.1333723389961818</v>
      </c>
      <c r="Q65" s="191">
        <f ca="1">IF(P65&gt;Design!$C$22,Design!$C$22,P65)</f>
        <v>1.7973333333333334</v>
      </c>
      <c r="R65" s="140">
        <f>2*Design!$D$6/3</f>
        <v>1.3333333333333333</v>
      </c>
      <c r="S65" s="202">
        <f ca="1">IF( 100*(Design!$C$22+R65*(IF(ISBLANK(Design!$B$35),Constants!$C$6,Design!$B$35)/1000*(1+Constants!$C$36/100*(AB65-25))+AD65/1000))/($B65-R65*AC65/1000) &gt; Design!$C$29, Design!$C$29, 100*(Design!$C$22+R65*(IF(ISBLANK(Design!$B$35),Constants!$C$6,Design!$B$35)/1000*(1+Constants!$C$36/100*(AB65-25))+AD65/1000))/($B65-R65*AC65/1000) )</f>
        <v>53.732789736022973</v>
      </c>
      <c r="T65" s="141">
        <f ca="1">IF(($B65-R65*IF(ISBLANK(Design!$B$35),Constants!$C$6,Design!$B$35)/1000*(1+Constants!$C$36/100*(AB65-25))-Design!$C$22)/(IF(ISBLANK(Design!$B$34),Design!$B$33,Design!$B$34)/1000000)*S65/100/(IF(ISBLANK(Design!$B$26),Design!$B$25,Design!$B$26)*1000000)&lt;0, 0, ($B65-R65*IF(ISBLANK(Design!$B$35),Constants!$C$6,Design!$B$35)/1000*(1+Constants!$C$36/100*(AB65-25))-Design!$C$22)/(IF(ISBLANK(Design!$B$34),Design!$B$33,Design!$B$34)/1000000)*S65/100/(IF(ISBLANK(Design!$B$26),Design!$B$25,Design!$B$26)*1000000))</f>
        <v>0.53684801656810088</v>
      </c>
      <c r="U65" s="203">
        <f>$B65*Constants!$C$21/1000+IF(ISBLANK(Design!$B$26),Design!$B$25,Design!$B$26)*1000000*(Constants!$D$26+Constants!$D$27)/1000000000*$B65</f>
        <v>4.3411199999999997E-2</v>
      </c>
      <c r="V65" s="203">
        <f>$B65*R65*($B65/(Constants!$C$28*1000000000)*IF(ISBLANK(Design!$B$26),Design!$B$25,Design!$B$26)*1000000/2+$B65/(Constants!$C$29*1000000000)*IF(ISBLANK(Design!$B$26),Design!$B$25,Design!$B$26)*1000000/2)</f>
        <v>5.8003456000000002E-2</v>
      </c>
      <c r="W65" s="203">
        <f t="shared" ca="1" si="14"/>
        <v>0.12714484634719284</v>
      </c>
      <c r="X65" s="203">
        <f t="shared" ca="1" si="15"/>
        <v>0.10947946996287908</v>
      </c>
      <c r="Y65" s="203">
        <f>2*R65*Constants!$C$20/1000000000*Constants!$C$25*IF(ISBLANK(Design!$B$26),Design!$B$25,Design!$B$26)*1000000</f>
        <v>4.8000000000000001E-2</v>
      </c>
      <c r="Z65" s="203">
        <f>(Constants!$D$26+Constants!$D$27)/1000000000*$B65*IF(ISBLANK(Design!$B$26),Design!$B$25,Design!$B$26)*1000000</f>
        <v>3.5795199999999992E-2</v>
      </c>
      <c r="AA65" s="203">
        <f t="shared" ca="1" si="16"/>
        <v>0.42183417231007186</v>
      </c>
      <c r="AB65" s="204">
        <f ca="1">AA65*Design!$C$12+$A65</f>
        <v>125.24804027088345</v>
      </c>
      <c r="AC65" s="204">
        <f ca="1">Constants!$D$22+Constants!$D$22*Constants!$C$24/100*(AB65-25)</f>
        <v>131.32699661869233</v>
      </c>
      <c r="AD65" s="204">
        <f ca="1">Constants!$D$23+Constants!$D$23*Constants!$C$24/100*(AB65-25)</f>
        <v>106.70318475268752</v>
      </c>
      <c r="AE65" s="203">
        <f ca="1">(1-Constants!$C$19/1000000000*Design!$B$26*1000000) * ($B65+R65*AD65/1000-R65*AC65/1000) - (R65*AD65/1000+R65*(1+($A65-25)*Constants!$C$36/100)*IF(ISBLANK(Design!$B$35),Constants!$C$6/1000,Design!$B$35/1000))</f>
        <v>3.2436385394238778</v>
      </c>
      <c r="AF65" s="308">
        <f ca="1">IF(AE65&gt;Design!$C$22,Design!$C$22,AE65)</f>
        <v>1.7973333333333334</v>
      </c>
      <c r="AG65" s="215">
        <f>Design!$D$6/3</f>
        <v>0.66666666666666663</v>
      </c>
      <c r="AH65" s="216">
        <f ca="1">IF( 100*(Design!$C$22+AG65*(IF(ISBLANK(Design!$B$35),Constants!$C$6,Design!$B$35)/1000*(1+Constants!$C$36/100*(AQ65-25))+AS65/1000))/($B65-AG65*AR65/1000) &gt; Design!$C$29, Design!$C$29, 100*(Design!$C$22+AG65*(IF(ISBLANK(Design!$B$35),Constants!$C$6,Design!$B$35)/1000*(1+Constants!$C$36/100*(AQ65-25))+AS65/1000))/($B65-AG65*AR65/1000) )</f>
        <v>50.249876205198738</v>
      </c>
      <c r="AI65" s="143">
        <f ca="1">IF(($B65-AG65*IF(ISBLANK(Design!$B$35),Constants!$C$6,Design!$B$35)/1000*(1+Constants!$C$36/100*(AQ65-25))-Design!$C$22)/(IF(ISBLANK(Design!$B$34),Design!$B$33,Design!$B$34)/1000000)*AH65/100/(IF(ISBLANK(Design!$B$26),Design!$B$25,Design!$B$26)*1000000)&lt;0, 0, ($B65-AG65*IF(ISBLANK(Design!$B$35),Constants!$C$6,Design!$B$35)/1000*(1+Constants!$C$36/100*(AQ65-25))-Design!$C$22)/(IF(ISBLANK(Design!$B$34),Design!$B$33,Design!$B$34)/1000000)*AH65/100/(IF(ISBLANK(Design!$B$26),Design!$B$25,Design!$B$26)*1000000))</f>
        <v>0.50366330081121224</v>
      </c>
      <c r="AJ65" s="217">
        <f>$B65*Constants!$C$21/1000+IF(ISBLANK(Design!$B$26),Design!$B$25,Design!$B$26)*1000000*(Constants!$D$26+Constants!$D$27)/1000000000*$B65</f>
        <v>4.3411199999999997E-2</v>
      </c>
      <c r="AK65" s="217">
        <f>$B65*AG65*($B65/(Constants!$C$28*1000000000)*IF(ISBLANK(Design!$B$26),Design!$B$25,Design!$B$26)*1000000/2+$B65/(Constants!$C$29*1000000000)*IF(ISBLANK(Design!$B$26),Design!$B$25,Design!$B$26)*1000000/2)</f>
        <v>2.9001728000000001E-2</v>
      </c>
      <c r="AL65" s="217">
        <f t="shared" ca="1" si="17"/>
        <v>2.9395761389739584E-2</v>
      </c>
      <c r="AM65" s="217">
        <f t="shared" ca="1" si="18"/>
        <v>2.9103410368813653E-2</v>
      </c>
      <c r="AN65" s="217">
        <f>2*AG65*Constants!$C$20/1000000000*Constants!$C$25*IF(ISBLANK(Design!$B$26),Design!$B$25,Design!$B$26)*1000000</f>
        <v>2.4E-2</v>
      </c>
      <c r="AO65" s="217">
        <f>(Constants!$D$26+Constants!$D$27)/1000000000*$B65*IF(ISBLANK(Design!$B$26),Design!$B$25,Design!$B$26)*1000000</f>
        <v>3.5795199999999992E-2</v>
      </c>
      <c r="AP65" s="217">
        <f t="shared" ca="1" si="19"/>
        <v>0.19070729975855322</v>
      </c>
      <c r="AQ65" s="218">
        <f ca="1">AP65*Design!$C$12+$A65</f>
        <v>114.15395038841055</v>
      </c>
      <c r="AR65" s="218">
        <f ca="1">Constants!$D$22+Constants!$D$22*Constants!$C$24/100*(AQ65-25)</f>
        <v>125.64682259886621</v>
      </c>
      <c r="AS65" s="218">
        <f ca="1">Constants!$D$23+Constants!$D$23*Constants!$C$24/100*(AQ65-25)</f>
        <v>102.0880433615788</v>
      </c>
      <c r="AT65" s="217">
        <f ca="1">(1-Constants!$C$19/1000000000*Design!$B$26*1000000) * ($B65+AG65*AS65/1000-AG65*AR65/1000) - (AG65*AS65/1000+AG65*(1+($A65-25)*Constants!$C$36/100)*IF(ISBLANK(Design!$B$35),Constants!$C$6/1000,Design!$B$35/1000))</f>
        <v>3.3391350502165751</v>
      </c>
      <c r="AU65" s="311">
        <f ca="1">IF(AT65&gt;Design!$C$22,Design!$C$22,AT65)</f>
        <v>1.7973333333333334</v>
      </c>
    </row>
    <row r="66" spans="1:47" ht="12.75" customHeight="1">
      <c r="A66" s="136">
        <f>Design!$D$13</f>
        <v>105</v>
      </c>
      <c r="B66" s="137">
        <f t="shared" si="10"/>
        <v>3.7335000000000003</v>
      </c>
      <c r="C66" s="138">
        <f>Design!$D$6</f>
        <v>2</v>
      </c>
      <c r="D66" s="193">
        <f ca="1">IF( 100*(Design!$C$22+C66*(IF(ISBLANK(Design!$B$35),Constants!$C$6,Design!$B$35)/1000*(1+Constants!$C$36/100*(M66-25))+O66/1000))/($B66-C66*N66/1000) &gt; Design!$C$29, Design!$C$29, 100*(Design!$C$22+C66*(IF(ISBLANK(Design!$B$35),Constants!$C$6,Design!$B$35)/1000*(1+Constants!$C$36/100*(M66-25))+O66/1000))/($B66-C66*N66/1000) )</f>
        <v>59.249379906794466</v>
      </c>
      <c r="E66" s="139">
        <f ca="1">IF(($B66-C66*IF(ISBLANK(Design!$B$35),Constants!$C$6,Design!$B$35)/1000*(1+Constants!$C$36/100*(M66-25))-Design!$C$22)/(IF(ISBLANK(Design!$B$34),Design!$B$33,Design!$B$34)/1000000)*D66/100/(IF(ISBLANK(Design!$B$26),Design!$B$25,Design!$B$26)*1000000)&lt;0, 0, ($B66-C66*IF(ISBLANK(Design!$B$35),Constants!$C$6,Design!$B$35)/1000*(1+Constants!$C$36/100*(M66-25))-Design!$C$22)/(IF(ISBLANK(Design!$B$34),Design!$B$33,Design!$B$34)/1000000)*D66/100/(IF(ISBLANK(Design!$B$26),Design!$B$25,Design!$B$26)*1000000))</f>
        <v>0.56776688315349322</v>
      </c>
      <c r="F66" s="186">
        <f>$B66*Constants!$C$21/1000+IF(ISBLANK(Design!$B$26),Design!$B$25,Design!$B$26)*1000000*(Constants!$D$26+Constants!$D$27)/1000000000*$B66</f>
        <v>4.25619E-2</v>
      </c>
      <c r="G66" s="186">
        <f>$B66*C66*($B66/(Constants!$C$28*1000000000)*IF(ISBLANK(Design!$B$26),Design!$B$25,Design!$B$26)*1000000/2+$B66/(Constants!$C$29*1000000000)*IF(ISBLANK(Design!$B$26),Design!$B$25,Design!$B$26)*1000000/2)</f>
        <v>8.3634133499999999E-2</v>
      </c>
      <c r="H66" s="186">
        <f t="shared" ca="1" si="11"/>
        <v>0.33547679822409349</v>
      </c>
      <c r="I66" s="186">
        <f t="shared" ca="1" si="12"/>
        <v>0.23073469420305756</v>
      </c>
      <c r="J66" s="186">
        <f>2*C66*Constants!$C$20/1000000000*Constants!$C$25*IF(ISBLANK(Design!$B$26),Design!$B$25,Design!$B$26)*1000000</f>
        <v>7.1999999999999995E-2</v>
      </c>
      <c r="K66" s="186">
        <f>(Constants!$D$26+Constants!$D$27)/1000000000*$B66*IF(ISBLANK(Design!$B$26),Design!$B$25,Design!$B$26)*1000000</f>
        <v>3.5094899999999998E-2</v>
      </c>
      <c r="L66" s="186">
        <f t="shared" ca="1" si="13"/>
        <v>0.79950242592715104</v>
      </c>
      <c r="M66" s="187">
        <f ca="1">L66*Design!$C$12+$A66</f>
        <v>143.37611644450325</v>
      </c>
      <c r="N66" s="187">
        <f ca="1">Constants!$D$22+Constants!$D$22*Constants!$C$24/100*(M66-25)</f>
        <v>140.60857161958566</v>
      </c>
      <c r="O66" s="187">
        <f ca="1">Constants!$D$23+Constants!$D$23*Constants!$C$24/100*(M66-25)</f>
        <v>114.24446444091336</v>
      </c>
      <c r="P66" s="186">
        <f ca="1">(1-Constants!$C$19/1000000000*Design!$B$26*1000000) * ($B66+C66*O66/1000-C66*N66/1000) - (C66*O66/1000+C66*(1+($A66-25)*Constants!$C$36/100)*IF(ISBLANK(Design!$B$35),Constants!$C$6/1000,Design!$B$35/1000))</f>
        <v>3.0665927181965631</v>
      </c>
      <c r="Q66" s="191">
        <f ca="1">IF(P66&gt;Design!$C$22,Design!$C$22,P66)</f>
        <v>1.7973333333333334</v>
      </c>
      <c r="R66" s="140">
        <f>2*Design!$D$6/3</f>
        <v>1.3333333333333333</v>
      </c>
      <c r="S66" s="202">
        <f ca="1">IF( 100*(Design!$C$22+R66*(IF(ISBLANK(Design!$B$35),Constants!$C$6,Design!$B$35)/1000*(1+Constants!$C$36/100*(AB66-25))+AD66/1000))/($B66-R66*AC66/1000) &gt; Design!$C$29, Design!$C$29, 100*(Design!$C$22+R66*(IF(ISBLANK(Design!$B$35),Constants!$C$6,Design!$B$35)/1000*(1+Constants!$C$36/100*(AB66-25))+AD66/1000))/($B66-R66*AC66/1000) )</f>
        <v>54.852446573996843</v>
      </c>
      <c r="T66" s="141">
        <f ca="1">IF(($B66-R66*IF(ISBLANK(Design!$B$35),Constants!$C$6,Design!$B$35)/1000*(1+Constants!$C$36/100*(AB66-25))-Design!$C$22)/(IF(ISBLANK(Design!$B$34),Design!$B$33,Design!$B$34)/1000000)*S66/100/(IF(ISBLANK(Design!$B$26),Design!$B$25,Design!$B$26)*1000000)&lt;0, 0, ($B66-R66*IF(ISBLANK(Design!$B$35),Constants!$C$6,Design!$B$35)/1000*(1+Constants!$C$36/100*(AB66-25))-Design!$C$22)/(IF(ISBLANK(Design!$B$34),Design!$B$33,Design!$B$34)/1000000)*S66/100/(IF(ISBLANK(Design!$B$26),Design!$B$25,Design!$B$26)*1000000))</f>
        <v>0.52760393732129629</v>
      </c>
      <c r="U66" s="203">
        <f>$B66*Constants!$C$21/1000+IF(ISBLANK(Design!$B$26),Design!$B$25,Design!$B$26)*1000000*(Constants!$D$26+Constants!$D$27)/1000000000*$B66</f>
        <v>4.25619E-2</v>
      </c>
      <c r="V66" s="203">
        <f>$B66*R66*($B66/(Constants!$C$28*1000000000)*IF(ISBLANK(Design!$B$26),Design!$B$25,Design!$B$26)*1000000/2+$B66/(Constants!$C$29*1000000000)*IF(ISBLANK(Design!$B$26),Design!$B$25,Design!$B$26)*1000000/2)</f>
        <v>5.5756088999999988E-2</v>
      </c>
      <c r="W66" s="203">
        <f t="shared" ca="1" si="14"/>
        <v>0.12963597009985064</v>
      </c>
      <c r="X66" s="203">
        <f t="shared" ca="1" si="15"/>
        <v>0.10669983294399286</v>
      </c>
      <c r="Y66" s="203">
        <f>2*R66*Constants!$C$20/1000000000*Constants!$C$25*IF(ISBLANK(Design!$B$26),Design!$B$25,Design!$B$26)*1000000</f>
        <v>4.8000000000000001E-2</v>
      </c>
      <c r="Z66" s="203">
        <f>(Constants!$D$26+Constants!$D$27)/1000000000*$B66*IF(ISBLANK(Design!$B$26),Design!$B$25,Design!$B$26)*1000000</f>
        <v>3.5094899999999998E-2</v>
      </c>
      <c r="AA66" s="203">
        <f t="shared" ca="1" si="16"/>
        <v>0.41774869204384346</v>
      </c>
      <c r="AB66" s="204">
        <f ca="1">AA66*Design!$C$12+$A66</f>
        <v>125.05193721810448</v>
      </c>
      <c r="AC66" s="204">
        <f ca="1">Constants!$D$22+Constants!$D$22*Constants!$C$24/100*(AB66-25)</f>
        <v>131.22659185566948</v>
      </c>
      <c r="AD66" s="204">
        <f ca="1">Constants!$D$23+Constants!$D$23*Constants!$C$24/100*(AB66-25)</f>
        <v>106.62160588273147</v>
      </c>
      <c r="AE66" s="203">
        <f ca="1">(1-Constants!$C$19/1000000000*Design!$B$26*1000000) * ($B66+R66*AD66/1000-R66*AC66/1000) - (R66*AD66/1000+R66*(1+($A66-25)*Constants!$C$36/100)*IF(ISBLANK(Design!$B$35),Constants!$C$6/1000,Design!$B$35/1000))</f>
        <v>3.1767199023221662</v>
      </c>
      <c r="AF66" s="308">
        <f ca="1">IF(AE66&gt;Design!$C$22,Design!$C$22,AE66)</f>
        <v>1.7973333333333334</v>
      </c>
      <c r="AG66" s="215">
        <f>Design!$D$6/3</f>
        <v>0.66666666666666663</v>
      </c>
      <c r="AH66" s="216">
        <f ca="1">IF( 100*(Design!$C$22+AG66*(IF(ISBLANK(Design!$B$35),Constants!$C$6,Design!$B$35)/1000*(1+Constants!$C$36/100*(AQ66-25))+AS66/1000))/($B66-AG66*AR66/1000) &gt; Design!$C$29, Design!$C$29, 100*(Design!$C$22+AG66*(IF(ISBLANK(Design!$B$35),Constants!$C$6,Design!$B$35)/1000*(1+Constants!$C$36/100*(AQ66-25))+AS66/1000))/($B66-AG66*AR66/1000) )</f>
        <v>51.273869785859453</v>
      </c>
      <c r="AI66" s="143">
        <f ca="1">IF(($B66-AG66*IF(ISBLANK(Design!$B$35),Constants!$C$6,Design!$B$35)/1000*(1+Constants!$C$36/100*(AQ66-25))-Design!$C$22)/(IF(ISBLANK(Design!$B$34),Design!$B$33,Design!$B$34)/1000000)*AH66/100/(IF(ISBLANK(Design!$B$26),Design!$B$25,Design!$B$26)*1000000)&lt;0, 0, ($B66-AG66*IF(ISBLANK(Design!$B$35),Constants!$C$6,Design!$B$35)/1000*(1+Constants!$C$36/100*(AQ66-25))-Design!$C$22)/(IF(ISBLANK(Design!$B$34),Design!$B$33,Design!$B$34)/1000000)*AH66/100/(IF(ISBLANK(Design!$B$26),Design!$B$25,Design!$B$26)*1000000))</f>
        <v>0.49482805545656494</v>
      </c>
      <c r="AJ66" s="217">
        <f>$B66*Constants!$C$21/1000+IF(ISBLANK(Design!$B$26),Design!$B$25,Design!$B$26)*1000000*(Constants!$D$26+Constants!$D$27)/1000000000*$B66</f>
        <v>4.25619E-2</v>
      </c>
      <c r="AK66" s="217">
        <f>$B66*AG66*($B66/(Constants!$C$28*1000000000)*IF(ISBLANK(Design!$B$26),Design!$B$25,Design!$B$26)*1000000/2+$B66/(Constants!$C$29*1000000000)*IF(ISBLANK(Design!$B$26),Design!$B$25,Design!$B$26)*1000000/2)</f>
        <v>2.7878044499999994E-2</v>
      </c>
      <c r="AL66" s="217">
        <f t="shared" ca="1" si="17"/>
        <v>2.9931039948592912E-2</v>
      </c>
      <c r="AM66" s="217">
        <f t="shared" ca="1" si="18"/>
        <v>2.8443801025176216E-2</v>
      </c>
      <c r="AN66" s="217">
        <f>2*AG66*Constants!$C$20/1000000000*Constants!$C$25*IF(ISBLANK(Design!$B$26),Design!$B$25,Design!$B$26)*1000000</f>
        <v>2.4E-2</v>
      </c>
      <c r="AO66" s="217">
        <f>(Constants!$D$26+Constants!$D$27)/1000000000*$B66*IF(ISBLANK(Design!$B$26),Design!$B$25,Design!$B$26)*1000000</f>
        <v>3.5094899999999998E-2</v>
      </c>
      <c r="AP66" s="217">
        <f t="shared" ca="1" si="19"/>
        <v>0.18790968547376913</v>
      </c>
      <c r="AQ66" s="218">
        <f ca="1">AP66*Design!$C$12+$A66</f>
        <v>114.01966490274091</v>
      </c>
      <c r="AR66" s="218">
        <f ca="1">Constants!$D$22+Constants!$D$22*Constants!$C$24/100*(AQ66-25)</f>
        <v>125.57806843020336</v>
      </c>
      <c r="AS66" s="218">
        <f ca="1">Constants!$D$23+Constants!$D$23*Constants!$C$24/100*(AQ66-25)</f>
        <v>102.03218059954023</v>
      </c>
      <c r="AT66" s="217">
        <f ca="1">(1-Constants!$C$19/1000000000*Design!$B$26*1000000) * ($B66+AG66*AS66/1000-AG66*AR66/1000) - (AG66*AS66/1000+AG66*(1+($A66-25)*Constants!$C$36/100)*IF(ISBLANK(Design!$B$35),Constants!$C$6/1000,Design!$B$35/1000))</f>
        <v>3.2721300269019093</v>
      </c>
      <c r="AU66" s="311">
        <f ca="1">IF(AT66&gt;Design!$C$22,Design!$C$22,AT66)</f>
        <v>1.7973333333333334</v>
      </c>
    </row>
    <row r="67" spans="1:47" ht="12.75" customHeight="1">
      <c r="A67" s="136">
        <f>Design!$D$13</f>
        <v>105</v>
      </c>
      <c r="B67" s="137">
        <f t="shared" si="10"/>
        <v>3.6590000000000003</v>
      </c>
      <c r="C67" s="138">
        <f>Design!$D$6</f>
        <v>2</v>
      </c>
      <c r="D67" s="193">
        <f ca="1">IF( 100*(Design!$C$22+C67*(IF(ISBLANK(Design!$B$35),Constants!$C$6,Design!$B$35)/1000*(1+Constants!$C$36/100*(M67-25))+O67/1000))/($B67-C67*N67/1000) &gt; Design!$C$29, Design!$C$29, 100*(Design!$C$22+C67*(IF(ISBLANK(Design!$B$35),Constants!$C$6,Design!$B$35)/1000*(1+Constants!$C$36/100*(M67-25))+O67/1000))/($B67-C67*N67/1000) )</f>
        <v>60.544341927148864</v>
      </c>
      <c r="E67" s="139">
        <f ca="1">IF(($B67-C67*IF(ISBLANK(Design!$B$35),Constants!$C$6,Design!$B$35)/1000*(1+Constants!$C$36/100*(M67-25))-Design!$C$22)/(IF(ISBLANK(Design!$B$34),Design!$B$33,Design!$B$34)/1000000)*D67/100/(IF(ISBLANK(Design!$B$26),Design!$B$25,Design!$B$26)*1000000)&lt;0, 0, ($B67-C67*IF(ISBLANK(Design!$B$35),Constants!$C$6,Design!$B$35)/1000*(1+Constants!$C$36/100*(M67-25))-Design!$C$22)/(IF(ISBLANK(Design!$B$34),Design!$B$33,Design!$B$34)/1000000)*D67/100/(IF(ISBLANK(Design!$B$26),Design!$B$25,Design!$B$26)*1000000))</f>
        <v>0.55762753713709023</v>
      </c>
      <c r="F67" s="186">
        <f>$B67*Constants!$C$21/1000+IF(ISBLANK(Design!$B$26),Design!$B$25,Design!$B$26)*1000000*(Constants!$D$26+Constants!$D$27)/1000000000*$B67</f>
        <v>4.1712599999999996E-2</v>
      </c>
      <c r="G67" s="186">
        <f>$B67*C67*($B67/(Constants!$C$28*1000000000)*IF(ISBLANK(Design!$B$26),Design!$B$25,Design!$B$26)*1000000/2+$B67/(Constants!$C$29*1000000000)*IF(ISBLANK(Design!$B$26),Design!$B$25,Design!$B$26)*1000000/2)</f>
        <v>8.0329686000000011E-2</v>
      </c>
      <c r="H67" s="186">
        <f t="shared" ca="1" si="11"/>
        <v>0.34239648227323766</v>
      </c>
      <c r="I67" s="186">
        <f t="shared" ca="1" si="12"/>
        <v>0.22313362570156331</v>
      </c>
      <c r="J67" s="186">
        <f>2*C67*Constants!$C$20/1000000000*Constants!$C$25*IF(ISBLANK(Design!$B$26),Design!$B$25,Design!$B$26)*1000000</f>
        <v>7.1999999999999995E-2</v>
      </c>
      <c r="K67" s="186">
        <f>(Constants!$D$26+Constants!$D$27)/1000000000*$B67*IF(ISBLANK(Design!$B$26),Design!$B$25,Design!$B$26)*1000000</f>
        <v>3.4394599999999997E-2</v>
      </c>
      <c r="L67" s="186">
        <f t="shared" ca="1" si="13"/>
        <v>0.79396699397480086</v>
      </c>
      <c r="M67" s="187">
        <f ca="1">L67*Design!$C$12+$A67</f>
        <v>143.11041571079045</v>
      </c>
      <c r="N67" s="187">
        <f ca="1">Constants!$D$22+Constants!$D$22*Constants!$C$24/100*(M67-25)</f>
        <v>140.47253284392471</v>
      </c>
      <c r="O67" s="187">
        <f ca="1">Constants!$D$23+Constants!$D$23*Constants!$C$24/100*(M67-25)</f>
        <v>114.13393293568883</v>
      </c>
      <c r="P67" s="186">
        <f ca="1">(1-Constants!$C$19/1000000000*Design!$B$26*1000000) * ($B67+C67*O67/1000-C67*N67/1000) - (C67*O67/1000+C67*(1+($A67-25)*Constants!$C$36/100)*IF(ISBLANK(Design!$B$35),Constants!$C$6/1000,Design!$B$35/1000))</f>
        <v>2.999809694293798</v>
      </c>
      <c r="Q67" s="191">
        <f ca="1">IF(P67&gt;Design!$C$22,Design!$C$22,P67)</f>
        <v>1.7973333333333334</v>
      </c>
      <c r="R67" s="140">
        <f>2*Design!$D$6/3</f>
        <v>1.3333333333333333</v>
      </c>
      <c r="S67" s="202">
        <f ca="1">IF( 100*(Design!$C$22+R67*(IF(ISBLANK(Design!$B$35),Constants!$C$6,Design!$B$35)/1000*(1+Constants!$C$36/100*(AB67-25))+AD67/1000))/($B67-R67*AC67/1000) &gt; Design!$C$29, Design!$C$29, 100*(Design!$C$22+R67*(IF(ISBLANK(Design!$B$35),Constants!$C$6,Design!$B$35)/1000*(1+Constants!$C$36/100*(AB67-25))+AD67/1000))/($B67-R67*AC67/1000) )</f>
        <v>56.019958248702316</v>
      </c>
      <c r="T67" s="141">
        <f ca="1">IF(($B67-R67*IF(ISBLANK(Design!$B$35),Constants!$C$6,Design!$B$35)/1000*(1+Constants!$C$36/100*(AB67-25))-Design!$C$22)/(IF(ISBLANK(Design!$B$34),Design!$B$33,Design!$B$34)/1000000)*S67/100/(IF(ISBLANK(Design!$B$26),Design!$B$25,Design!$B$26)*1000000)&lt;0, 0, ($B67-R67*IF(ISBLANK(Design!$B$35),Constants!$C$6,Design!$B$35)/1000*(1+Constants!$C$36/100*(AB67-25))-Design!$C$22)/(IF(ISBLANK(Design!$B$34),Design!$B$33,Design!$B$34)/1000000)*S67/100/(IF(ISBLANK(Design!$B$26),Design!$B$25,Design!$B$26)*1000000))</f>
        <v>0.51796824249708462</v>
      </c>
      <c r="U67" s="203">
        <f>$B67*Constants!$C$21/1000+IF(ISBLANK(Design!$B$26),Design!$B$25,Design!$B$26)*1000000*(Constants!$D$26+Constants!$D$27)/1000000000*$B67</f>
        <v>4.1712599999999996E-2</v>
      </c>
      <c r="V67" s="203">
        <f>$B67*R67*($B67/(Constants!$C$28*1000000000)*IF(ISBLANK(Design!$B$26),Design!$B$25,Design!$B$26)*1000000/2+$B67/(Constants!$C$29*1000000000)*IF(ISBLANK(Design!$B$26),Design!$B$25,Design!$B$26)*1000000/2)</f>
        <v>5.3553124000000001E-2</v>
      </c>
      <c r="W67" s="203">
        <f t="shared" ca="1" si="14"/>
        <v>0.13223333635069495</v>
      </c>
      <c r="X67" s="203">
        <f t="shared" ca="1" si="15"/>
        <v>0.10381349496546026</v>
      </c>
      <c r="Y67" s="203">
        <f>2*R67*Constants!$C$20/1000000000*Constants!$C$25*IF(ISBLANK(Design!$B$26),Design!$B$25,Design!$B$26)*1000000</f>
        <v>4.8000000000000001E-2</v>
      </c>
      <c r="Z67" s="203">
        <f>(Constants!$D$26+Constants!$D$27)/1000000000*$B67*IF(ISBLANK(Design!$B$26),Design!$B$25,Design!$B$26)*1000000</f>
        <v>3.4394599999999997E-2</v>
      </c>
      <c r="AA67" s="203">
        <f t="shared" ca="1" si="16"/>
        <v>0.41370715531615521</v>
      </c>
      <c r="AB67" s="204">
        <f ca="1">AA67*Design!$C$12+$A67</f>
        <v>124.85794345517544</v>
      </c>
      <c r="AC67" s="204">
        <f ca="1">Constants!$D$22+Constants!$D$22*Constants!$C$24/100*(AB67-25)</f>
        <v>131.12726704904983</v>
      </c>
      <c r="AD67" s="204">
        <f ca="1">Constants!$D$23+Constants!$D$23*Constants!$C$24/100*(AB67-25)</f>
        <v>106.540904477353</v>
      </c>
      <c r="AE67" s="203">
        <f ca="1">(1-Constants!$C$19/1000000000*Design!$B$26*1000000) * ($B67+R67*AD67/1000-R67*AC67/1000) - (R67*AD67/1000+R67*(1+($A67-25)*Constants!$C$36/100)*IF(ISBLANK(Design!$B$35),Constants!$C$6/1000,Design!$B$35/1000))</f>
        <v>3.1097998522774937</v>
      </c>
      <c r="AF67" s="308">
        <f ca="1">IF(AE67&gt;Design!$C$22,Design!$C$22,AE67)</f>
        <v>1.7973333333333334</v>
      </c>
      <c r="AG67" s="215">
        <f>Design!$D$6/3</f>
        <v>0.66666666666666663</v>
      </c>
      <c r="AH67" s="216">
        <f ca="1">IF( 100*(Design!$C$22+AG67*(IF(ISBLANK(Design!$B$35),Constants!$C$6,Design!$B$35)/1000*(1+Constants!$C$36/100*(AQ67-25))+AS67/1000))/($B67-AG67*AR67/1000) &gt; Design!$C$29, Design!$C$29, 100*(Design!$C$22+AG67*(IF(ISBLANK(Design!$B$35),Constants!$C$6,Design!$B$35)/1000*(1+Constants!$C$36/100*(AQ67-25))+AS67/1000))/($B67-AG67*AR67/1000) )</f>
        <v>52.340524533621846</v>
      </c>
      <c r="AI67" s="143">
        <f ca="1">IF(($B67-AG67*IF(ISBLANK(Design!$B$35),Constants!$C$6,Design!$B$35)/1000*(1+Constants!$C$36/100*(AQ67-25))-Design!$C$22)/(IF(ISBLANK(Design!$B$34),Design!$B$33,Design!$B$34)/1000000)*AH67/100/(IF(ISBLANK(Design!$B$26),Design!$B$25,Design!$B$26)*1000000)&lt;0, 0, ($B67-AG67*IF(ISBLANK(Design!$B$35),Constants!$C$6,Design!$B$35)/1000*(1+Constants!$C$36/100*(AQ67-25))-Design!$C$22)/(IF(ISBLANK(Design!$B$34),Design!$B$33,Design!$B$34)/1000000)*AH67/100/(IF(ISBLANK(Design!$B$26),Design!$B$25,Design!$B$26)*1000000))</f>
        <v>0.48562577329349488</v>
      </c>
      <c r="AJ67" s="217">
        <f>$B67*Constants!$C$21/1000+IF(ISBLANK(Design!$B$26),Design!$B$25,Design!$B$26)*1000000*(Constants!$D$26+Constants!$D$27)/1000000000*$B67</f>
        <v>4.1712599999999996E-2</v>
      </c>
      <c r="AK67" s="217">
        <f>$B67*AG67*($B67/(Constants!$C$28*1000000000)*IF(ISBLANK(Design!$B$26),Design!$B$25,Design!$B$26)*1000000/2+$B67/(Constants!$C$29*1000000000)*IF(ISBLANK(Design!$B$26),Design!$B$25,Design!$B$26)*1000000/2)</f>
        <v>2.6776562E-2</v>
      </c>
      <c r="AL67" s="217">
        <f t="shared" ca="1" si="17"/>
        <v>3.048769990972449E-2</v>
      </c>
      <c r="AM67" s="217">
        <f t="shared" ca="1" si="18"/>
        <v>2.7761047464100901E-2</v>
      </c>
      <c r="AN67" s="217">
        <f>2*AG67*Constants!$C$20/1000000000*Constants!$C$25*IF(ISBLANK(Design!$B$26),Design!$B$25,Design!$B$26)*1000000</f>
        <v>2.4E-2</v>
      </c>
      <c r="AO67" s="217">
        <f>(Constants!$D$26+Constants!$D$27)/1000000000*$B67*IF(ISBLANK(Design!$B$26),Design!$B$25,Design!$B$26)*1000000</f>
        <v>3.4394599999999997E-2</v>
      </c>
      <c r="AP67" s="217">
        <f t="shared" ca="1" si="19"/>
        <v>0.18513250937382539</v>
      </c>
      <c r="AQ67" s="218">
        <f ca="1">AP67*Design!$C$12+$A67</f>
        <v>113.88636044994362</v>
      </c>
      <c r="AR67" s="218">
        <f ca="1">Constants!$D$22+Constants!$D$22*Constants!$C$24/100*(AQ67-25)</f>
        <v>125.50981655037114</v>
      </c>
      <c r="AS67" s="218">
        <f ca="1">Constants!$D$23+Constants!$D$23*Constants!$C$24/100*(AQ67-25)</f>
        <v>101.97672594717656</v>
      </c>
      <c r="AT67" s="217">
        <f ca="1">(1-Constants!$C$19/1000000000*Design!$B$26*1000000) * ($B67+AG67*AS67/1000-AG67*AR67/1000) - (AG67*AS67/1000+AG67*(1+($A67-25)*Constants!$C$36/100)*IF(ISBLANK(Design!$B$35),Constants!$C$6/1000,Design!$B$35/1000))</f>
        <v>3.205124675006632</v>
      </c>
      <c r="AU67" s="311">
        <f ca="1">IF(AT67&gt;Design!$C$22,Design!$C$22,AT67)</f>
        <v>1.7973333333333334</v>
      </c>
    </row>
    <row r="68" spans="1:47" ht="12.75" customHeight="1">
      <c r="A68" s="136">
        <f>Design!$D$13</f>
        <v>105</v>
      </c>
      <c r="B68" s="137">
        <f t="shared" si="10"/>
        <v>3.5845000000000002</v>
      </c>
      <c r="C68" s="138">
        <f>Design!$D$6</f>
        <v>2</v>
      </c>
      <c r="D68" s="193">
        <f ca="1">IF( 100*(Design!$C$22+C68*(IF(ISBLANK(Design!$B$35),Constants!$C$6,Design!$B$35)/1000*(1+Constants!$C$36/100*(M68-25))+O68/1000))/($B68-C68*N68/1000) &gt; Design!$C$29, Design!$C$29, 100*(Design!$C$22+C68*(IF(ISBLANK(Design!$B$35),Constants!$C$6,Design!$B$35)/1000*(1+Constants!$C$36/100*(M68-25))+O68/1000))/($B68-C68*N68/1000) )</f>
        <v>61.897647946856964</v>
      </c>
      <c r="E68" s="139">
        <f ca="1">IF(($B68-C68*IF(ISBLANK(Design!$B$35),Constants!$C$6,Design!$B$35)/1000*(1+Constants!$C$36/100*(M68-25))-Design!$C$22)/(IF(ISBLANK(Design!$B$34),Design!$B$33,Design!$B$34)/1000000)*D68/100/(IF(ISBLANK(Design!$B$26),Design!$B$25,Design!$B$26)*1000000)&lt;0, 0, ($B68-C68*IF(ISBLANK(Design!$B$35),Constants!$C$6,Design!$B$35)/1000*(1+Constants!$C$36/100*(M68-25))-Design!$C$22)/(IF(ISBLANK(Design!$B$34),Design!$B$33,Design!$B$34)/1000000)*D68/100/(IF(ISBLANK(Design!$B$26),Design!$B$25,Design!$B$26)*1000000))</f>
        <v>0.54703920327374844</v>
      </c>
      <c r="F68" s="186">
        <f>$B68*Constants!$C$21/1000+IF(ISBLANK(Design!$B$26),Design!$B$25,Design!$B$26)*1000000*(Constants!$D$26+Constants!$D$27)/1000000000*$B68</f>
        <v>4.0863299999999998E-2</v>
      </c>
      <c r="G68" s="186">
        <f>$B68*C68*($B68/(Constants!$C$28*1000000000)*IF(ISBLANK(Design!$B$26),Design!$B$25,Design!$B$26)*1000000/2+$B68/(Constants!$C$29*1000000000)*IF(ISBLANK(Design!$B$26),Design!$B$25,Design!$B$26)*1000000/2)</f>
        <v>7.7091841499999994E-2</v>
      </c>
      <c r="H68" s="186">
        <f t="shared" ca="1" si="11"/>
        <v>0.3496304815324191</v>
      </c>
      <c r="I68" s="186">
        <f t="shared" ca="1" si="12"/>
        <v>0.2152221310136973</v>
      </c>
      <c r="J68" s="186">
        <f>2*C68*Constants!$C$20/1000000000*Constants!$C$25*IF(ISBLANK(Design!$B$26),Design!$B$25,Design!$B$26)*1000000</f>
        <v>7.1999999999999995E-2</v>
      </c>
      <c r="K68" s="186">
        <f>(Constants!$D$26+Constants!$D$27)/1000000000*$B68*IF(ISBLANK(Design!$B$26),Design!$B$25,Design!$B$26)*1000000</f>
        <v>3.3694299999999996E-2</v>
      </c>
      <c r="L68" s="186">
        <f t="shared" ca="1" si="13"/>
        <v>0.78850205404611629</v>
      </c>
      <c r="M68" s="187">
        <f ca="1">L68*Design!$C$12+$A68</f>
        <v>142.84809859421358</v>
      </c>
      <c r="N68" s="187">
        <f ca="1">Constants!$D$22+Constants!$D$22*Constants!$C$24/100*(M68-25)</f>
        <v>140.33822648023735</v>
      </c>
      <c r="O68" s="187">
        <f ca="1">Constants!$D$23+Constants!$D$23*Constants!$C$24/100*(M68-25)</f>
        <v>114.02480901519286</v>
      </c>
      <c r="P68" s="186">
        <f ca="1">(1-Constants!$C$19/1000000000*Design!$B$26*1000000) * ($B68+C68*O68/1000-C68*N68/1000) - (C68*O68/1000+C68*(1+($A68-25)*Constants!$C$36/100)*IF(ISBLANK(Design!$B$35),Constants!$C$6/1000,Design!$B$35/1000))</f>
        <v>2.9330232705325345</v>
      </c>
      <c r="Q68" s="191">
        <f ca="1">IF(P68&gt;Design!$C$22,Design!$C$22,P68)</f>
        <v>1.7973333333333334</v>
      </c>
      <c r="R68" s="140">
        <f>2*Design!$D$6/3</f>
        <v>1.3333333333333333</v>
      </c>
      <c r="S68" s="202">
        <f ca="1">IF( 100*(Design!$C$22+R68*(IF(ISBLANK(Design!$B$35),Constants!$C$6,Design!$B$35)/1000*(1+Constants!$C$36/100*(AB68-25))+AD68/1000))/($B68-R68*AC68/1000) &gt; Design!$C$29, Design!$C$29, 100*(Design!$C$22+R68*(IF(ISBLANK(Design!$B$35),Constants!$C$6,Design!$B$35)/1000*(1+Constants!$C$36/100*(AB68-25))+AD68/1000))/($B68-R68*AC68/1000) )</f>
        <v>57.238457329139031</v>
      </c>
      <c r="T68" s="141">
        <f ca="1">IF(($B68-R68*IF(ISBLANK(Design!$B$35),Constants!$C$6,Design!$B$35)/1000*(1+Constants!$C$36/100*(AB68-25))-Design!$C$22)/(IF(ISBLANK(Design!$B$34),Design!$B$33,Design!$B$34)/1000000)*S68/100/(IF(ISBLANK(Design!$B$26),Design!$B$25,Design!$B$26)*1000000)&lt;0, 0, ($B68-R68*IF(ISBLANK(Design!$B$35),Constants!$C$6,Design!$B$35)/1000*(1+Constants!$C$36/100*(AB68-25))-Design!$C$22)/(IF(ISBLANK(Design!$B$34),Design!$B$33,Design!$B$34)/1000000)*S68/100/(IF(ISBLANK(Design!$B$26),Design!$B$25,Design!$B$26)*1000000))</f>
        <v>0.50791525531243475</v>
      </c>
      <c r="U68" s="203">
        <f>$B68*Constants!$C$21/1000+IF(ISBLANK(Design!$B$26),Design!$B$25,Design!$B$26)*1000000*(Constants!$D$26+Constants!$D$27)/1000000000*$B68</f>
        <v>4.0863299999999998E-2</v>
      </c>
      <c r="V68" s="203">
        <f>$B68*R68*($B68/(Constants!$C$28*1000000000)*IF(ISBLANK(Design!$B$26),Design!$B$25,Design!$B$26)*1000000/2+$B68/(Constants!$C$29*1000000000)*IF(ISBLANK(Design!$B$26),Design!$B$25,Design!$B$26)*1000000/2)</f>
        <v>5.1394560999999998E-2</v>
      </c>
      <c r="W68" s="203">
        <f t="shared" ca="1" si="14"/>
        <v>0.13494387879509218</v>
      </c>
      <c r="X68" s="203">
        <f t="shared" ca="1" si="15"/>
        <v>0.10081348625603538</v>
      </c>
      <c r="Y68" s="203">
        <f>2*R68*Constants!$C$20/1000000000*Constants!$C$25*IF(ISBLANK(Design!$B$26),Design!$B$25,Design!$B$26)*1000000</f>
        <v>4.8000000000000001E-2</v>
      </c>
      <c r="Z68" s="203">
        <f>(Constants!$D$26+Constants!$D$27)/1000000000*$B68*IF(ISBLANK(Design!$B$26),Design!$B$25,Design!$B$26)*1000000</f>
        <v>3.3694299999999996E-2</v>
      </c>
      <c r="AA68" s="203">
        <f t="shared" ca="1" si="16"/>
        <v>0.40970952605112754</v>
      </c>
      <c r="AB68" s="204">
        <f ca="1">AA68*Design!$C$12+$A68</f>
        <v>124.66605725045412</v>
      </c>
      <c r="AC68" s="204">
        <f ca="1">Constants!$D$22+Constants!$D$22*Constants!$C$24/100*(AB68-25)</f>
        <v>131.02902131223252</v>
      </c>
      <c r="AD68" s="204">
        <f ca="1">Constants!$D$23+Constants!$D$23*Constants!$C$24/100*(AB68-25)</f>
        <v>106.46107981618891</v>
      </c>
      <c r="AE68" s="203">
        <f ca="1">(1-Constants!$C$19/1000000000*Design!$B$26*1000000) * ($B68+R68*AD68/1000-R68*AC68/1000) - (R68*AD68/1000+R68*(1+($A68-25)*Constants!$C$36/100)*IF(ISBLANK(Design!$B$35),Constants!$C$6/1000,Design!$B$35/1000))</f>
        <v>3.0428783904498293</v>
      </c>
      <c r="AF68" s="308">
        <f ca="1">IF(AE68&gt;Design!$C$22,Design!$C$22,AE68)</f>
        <v>1.7973333333333334</v>
      </c>
      <c r="AG68" s="215">
        <f>Design!$D$6/3</f>
        <v>0.66666666666666663</v>
      </c>
      <c r="AH68" s="216">
        <f ca="1">IF( 100*(Design!$C$22+AG68*(IF(ISBLANK(Design!$B$35),Constants!$C$6,Design!$B$35)/1000*(1+Constants!$C$36/100*(AQ68-25))+AS68/1000))/($B68-AG68*AR68/1000) &gt; Design!$C$29, Design!$C$29, 100*(Design!$C$22+AG68*(IF(ISBLANK(Design!$B$35),Constants!$C$6,Design!$B$35)/1000*(1+Constants!$C$36/100*(AQ68-25))+AS68/1000))/($B68-AG68*AR68/1000) )</f>
        <v>53.452562620257162</v>
      </c>
      <c r="AI68" s="143">
        <f ca="1">IF(($B68-AG68*IF(ISBLANK(Design!$B$35),Constants!$C$6,Design!$B$35)/1000*(1+Constants!$C$36/100*(AQ68-25))-Design!$C$22)/(IF(ISBLANK(Design!$B$34),Design!$B$33,Design!$B$34)/1000000)*AH68/100/(IF(ISBLANK(Design!$B$26),Design!$B$25,Design!$B$26)*1000000)&lt;0, 0, ($B68-AG68*IF(ISBLANK(Design!$B$35),Constants!$C$6,Design!$B$35)/1000*(1+Constants!$C$36/100*(AQ68-25))-Design!$C$22)/(IF(ISBLANK(Design!$B$34),Design!$B$33,Design!$B$34)/1000000)*AH68/100/(IF(ISBLANK(Design!$B$26),Design!$B$25,Design!$B$26)*1000000))</f>
        <v>0.47603302456651997</v>
      </c>
      <c r="AJ68" s="217">
        <f>$B68*Constants!$C$21/1000+IF(ISBLANK(Design!$B$26),Design!$B$25,Design!$B$26)*1000000*(Constants!$D$26+Constants!$D$27)/1000000000*$B68</f>
        <v>4.0863299999999998E-2</v>
      </c>
      <c r="AK68" s="217">
        <f>$B68*AG68*($B68/(Constants!$C$28*1000000000)*IF(ISBLANK(Design!$B$26),Design!$B$25,Design!$B$26)*1000000/2+$B68/(Constants!$C$29*1000000000)*IF(ISBLANK(Design!$B$26),Design!$B$25,Design!$B$26)*1000000/2)</f>
        <v>2.5697280499999999E-2</v>
      </c>
      <c r="AL68" s="217">
        <f t="shared" ca="1" si="17"/>
        <v>3.1067095332187235E-2</v>
      </c>
      <c r="AM68" s="217">
        <f t="shared" ca="1" si="18"/>
        <v>2.7053776351546776E-2</v>
      </c>
      <c r="AN68" s="217">
        <f>2*AG68*Constants!$C$20/1000000000*Constants!$C$25*IF(ISBLANK(Design!$B$26),Design!$B$25,Design!$B$26)*1000000</f>
        <v>2.4E-2</v>
      </c>
      <c r="AO68" s="217">
        <f>(Constants!$D$26+Constants!$D$27)/1000000000*$B68*IF(ISBLANK(Design!$B$26),Design!$B$25,Design!$B$26)*1000000</f>
        <v>3.3694299999999996E-2</v>
      </c>
      <c r="AP68" s="217">
        <f t="shared" ca="1" si="19"/>
        <v>0.18237575218373403</v>
      </c>
      <c r="AQ68" s="218">
        <f ca="1">AP68*Design!$C$12+$A68</f>
        <v>113.75403610481924</v>
      </c>
      <c r="AR68" s="218">
        <f ca="1">Constants!$D$22+Constants!$D$22*Constants!$C$24/100*(AQ68-25)</f>
        <v>125.44206648566745</v>
      </c>
      <c r="AS68" s="218">
        <f ca="1">Constants!$D$23+Constants!$D$23*Constants!$C$24/100*(AQ68-25)</f>
        <v>101.9216790196048</v>
      </c>
      <c r="AT68" s="217">
        <f ca="1">(1-Constants!$C$19/1000000000*Design!$B$26*1000000) * ($B68+AG68*AS68/1000-AG68*AR68/1000) - (AG68*AS68/1000+AG68*(1+($A68-25)*Constants!$C$36/100)*IF(ISBLANK(Design!$B$35),Constants!$C$6/1000,Design!$B$35/1000))</f>
        <v>3.1381189948406263</v>
      </c>
      <c r="AU68" s="311">
        <f ca="1">IF(AT68&gt;Design!$C$22,Design!$C$22,AT68)</f>
        <v>1.7973333333333334</v>
      </c>
    </row>
    <row r="69" spans="1:47" ht="12.75" customHeight="1">
      <c r="A69" s="136">
        <f>Design!$D$13</f>
        <v>105</v>
      </c>
      <c r="B69" s="137">
        <f t="shared" si="10"/>
        <v>3.5100000000000002</v>
      </c>
      <c r="C69" s="138">
        <f>Design!$D$6</f>
        <v>2</v>
      </c>
      <c r="D69" s="193">
        <f ca="1">IF( 100*(Design!$C$22+C69*(IF(ISBLANK(Design!$B$35),Constants!$C$6,Design!$B$35)/1000*(1+Constants!$C$36/100*(M69-25))+O69/1000))/($B69-C69*N69/1000) &gt; Design!$C$29, Design!$C$29, 100*(Design!$C$22+C69*(IF(ISBLANK(Design!$B$35),Constants!$C$6,Design!$B$35)/1000*(1+Constants!$C$36/100*(M69-25))+O69/1000))/($B69-C69*N69/1000) )</f>
        <v>63.313325262896768</v>
      </c>
      <c r="E69" s="139">
        <f ca="1">IF(($B69-C69*IF(ISBLANK(Design!$B$35),Constants!$C$6,Design!$B$35)/1000*(1+Constants!$C$36/100*(M69-25))-Design!$C$22)/(IF(ISBLANK(Design!$B$34),Design!$B$33,Design!$B$34)/1000000)*D69/100/(IF(ISBLANK(Design!$B$26),Design!$B$25,Design!$B$26)*1000000)&lt;0, 0, ($B69-C69*IF(ISBLANK(Design!$B$35),Constants!$C$6,Design!$B$35)/1000*(1+Constants!$C$36/100*(M69-25))-Design!$C$22)/(IF(ISBLANK(Design!$B$34),Design!$B$33,Design!$B$34)/1000000)*D69/100/(IF(ISBLANK(Design!$B$26),Design!$B$25,Design!$B$26)*1000000))</f>
        <v>0.535970783225304</v>
      </c>
      <c r="F69" s="186">
        <f>$B69*Constants!$C$21/1000+IF(ISBLANK(Design!$B$26),Design!$B$25,Design!$B$26)*1000000*(Constants!$D$26+Constants!$D$27)/1000000000*$B69</f>
        <v>4.0013999999999994E-2</v>
      </c>
      <c r="G69" s="186">
        <f>$B69*C69*($B69/(Constants!$C$28*1000000000)*IF(ISBLANK(Design!$B$26),Design!$B$25,Design!$B$26)*1000000/2+$B69/(Constants!$C$29*1000000000)*IF(ISBLANK(Design!$B$26),Design!$B$25,Design!$B$26)*1000000/2)</f>
        <v>7.3920600000000017E-2</v>
      </c>
      <c r="H69" s="186">
        <f t="shared" ca="1" si="11"/>
        <v>0.35720045290072799</v>
      </c>
      <c r="I69" s="186">
        <f t="shared" ca="1" si="12"/>
        <v>0.20697849587114553</v>
      </c>
      <c r="J69" s="186">
        <f>2*C69*Constants!$C$20/1000000000*Constants!$C$25*IF(ISBLANK(Design!$B$26),Design!$B$25,Design!$B$26)*1000000</f>
        <v>7.1999999999999995E-2</v>
      </c>
      <c r="K69" s="186">
        <f>(Constants!$D$26+Constants!$D$27)/1000000000*$B69*IF(ISBLANK(Design!$B$26),Design!$B$25,Design!$B$26)*1000000</f>
        <v>3.2993999999999996E-2</v>
      </c>
      <c r="L69" s="186">
        <f t="shared" ca="1" si="13"/>
        <v>0.78310754877187339</v>
      </c>
      <c r="M69" s="187">
        <f ca="1">L69*Design!$C$12+$A69</f>
        <v>142.58916234104993</v>
      </c>
      <c r="N69" s="187">
        <f ca="1">Constants!$D$22+Constants!$D$22*Constants!$C$24/100*(M69-25)</f>
        <v>140.20565111861757</v>
      </c>
      <c r="O69" s="187">
        <f ca="1">Constants!$D$23+Constants!$D$23*Constants!$C$24/100*(M69-25)</f>
        <v>113.91709153387677</v>
      </c>
      <c r="P69" s="186">
        <f ca="1">(1-Constants!$C$19/1000000000*Design!$B$26*1000000) * ($B69+C69*O69/1000-C69*N69/1000) - (C69*O69/1000+C69*(1+($A69-25)*Constants!$C$36/100)*IF(ISBLANK(Design!$B$35),Constants!$C$6/1000,Design!$B$35/1000))</f>
        <v>2.8662334496797133</v>
      </c>
      <c r="Q69" s="191">
        <f ca="1">IF(P69&gt;Design!$C$22,Design!$C$22,P69)</f>
        <v>1.7973333333333334</v>
      </c>
      <c r="R69" s="140">
        <f>2*Design!$D$6/3</f>
        <v>1.3333333333333333</v>
      </c>
      <c r="S69" s="202">
        <f ca="1">IF( 100*(Design!$C$22+R69*(IF(ISBLANK(Design!$B$35),Constants!$C$6,Design!$B$35)/1000*(1+Constants!$C$36/100*(AB69-25))+AD69/1000))/($B69-R69*AC69/1000) &gt; Design!$C$29, Design!$C$29, 100*(Design!$C$22+R69*(IF(ISBLANK(Design!$B$35),Constants!$C$6,Design!$B$35)/1000*(1+Constants!$C$36/100*(AB69-25))+AD69/1000))/($B69-R69*AC69/1000) )</f>
        <v>58.51135590868423</v>
      </c>
      <c r="T69" s="141">
        <f ca="1">IF(($B69-R69*IF(ISBLANK(Design!$B$35),Constants!$C$6,Design!$B$35)/1000*(1+Constants!$C$36/100*(AB69-25))-Design!$C$22)/(IF(ISBLANK(Design!$B$34),Design!$B$33,Design!$B$34)/1000000)*S69/100/(IF(ISBLANK(Design!$B$26),Design!$B$25,Design!$B$26)*1000000)&lt;0, 0, ($B69-R69*IF(ISBLANK(Design!$B$35),Constants!$C$6,Design!$B$35)/1000*(1+Constants!$C$36/100*(AB69-25))-Design!$C$22)/(IF(ISBLANK(Design!$B$34),Design!$B$33,Design!$B$34)/1000000)*S69/100/(IF(ISBLANK(Design!$B$26),Design!$B$25,Design!$B$26)*1000000))</f>
        <v>0.49741700805865341</v>
      </c>
      <c r="U69" s="203">
        <f>$B69*Constants!$C$21/1000+IF(ISBLANK(Design!$B$26),Design!$B$25,Design!$B$26)*1000000*(Constants!$D$26+Constants!$D$27)/1000000000*$B69</f>
        <v>4.0013999999999994E-2</v>
      </c>
      <c r="V69" s="203">
        <f>$B69*R69*($B69/(Constants!$C$28*1000000000)*IF(ISBLANK(Design!$B$26),Design!$B$25,Design!$B$26)*1000000/2+$B69/(Constants!$C$29*1000000000)*IF(ISBLANK(Design!$B$26),Design!$B$25,Design!$B$26)*1000000/2)</f>
        <v>4.9280400000000002E-2</v>
      </c>
      <c r="W69" s="203">
        <f t="shared" ca="1" si="14"/>
        <v>0.13777515510424629</v>
      </c>
      <c r="X69" s="203">
        <f t="shared" ca="1" si="15"/>
        <v>9.7692222064837186E-2</v>
      </c>
      <c r="Y69" s="203">
        <f>2*R69*Constants!$C$20/1000000000*Constants!$C$25*IF(ISBLANK(Design!$B$26),Design!$B$25,Design!$B$26)*1000000</f>
        <v>4.8000000000000001E-2</v>
      </c>
      <c r="Z69" s="203">
        <f>(Constants!$D$26+Constants!$D$27)/1000000000*$B69*IF(ISBLANK(Design!$B$26),Design!$B$25,Design!$B$26)*1000000</f>
        <v>3.2993999999999996E-2</v>
      </c>
      <c r="AA69" s="203">
        <f t="shared" ca="1" si="16"/>
        <v>0.40575577716908351</v>
      </c>
      <c r="AB69" s="204">
        <f ca="1">AA69*Design!$C$12+$A69</f>
        <v>124.47627730411601</v>
      </c>
      <c r="AC69" s="204">
        <f ca="1">Constants!$D$22+Constants!$D$22*Constants!$C$24/100*(AB69-25)</f>
        <v>130.9318539797074</v>
      </c>
      <c r="AD69" s="204">
        <f ca="1">Constants!$D$23+Constants!$D$23*Constants!$C$24/100*(AB69-25)</f>
        <v>106.38213135851225</v>
      </c>
      <c r="AE69" s="203">
        <f ca="1">(1-Constants!$C$19/1000000000*Design!$B$26*1000000) * ($B69+R69*AD69/1000-R69*AC69/1000) - (R69*AD69/1000+R69*(1+($A69-25)*Constants!$C$36/100)*IF(ISBLANK(Design!$B$35),Constants!$C$6/1000,Design!$B$35/1000))</f>
        <v>2.9759555177098829</v>
      </c>
      <c r="AF69" s="308">
        <f ca="1">IF(AE69&gt;Design!$C$22,Design!$C$22,AE69)</f>
        <v>1.7973333333333334</v>
      </c>
      <c r="AG69" s="215">
        <f>Design!$D$6/3</f>
        <v>0.66666666666666663</v>
      </c>
      <c r="AH69" s="216">
        <f ca="1">IF( 100*(Design!$C$22+AG69*(IF(ISBLANK(Design!$B$35),Constants!$C$6,Design!$B$35)/1000*(1+Constants!$C$36/100*(AQ69-25))+AS69/1000))/($B69-AG69*AR69/1000) &gt; Design!$C$29, Design!$C$29, 100*(Design!$C$22+AG69*(IF(ISBLANK(Design!$B$35),Constants!$C$6,Design!$B$35)/1000*(1+Constants!$C$36/100*(AQ69-25))+AS69/1000))/($B69-AG69*AR69/1000) )</f>
        <v>54.612942856084331</v>
      </c>
      <c r="AI69" s="143">
        <f ca="1">IF(($B69-AG69*IF(ISBLANK(Design!$B$35),Constants!$C$6,Design!$B$35)/1000*(1+Constants!$C$36/100*(AQ69-25))-Design!$C$22)/(IF(ISBLANK(Design!$B$34),Design!$B$33,Design!$B$34)/1000000)*AH69/100/(IF(ISBLANK(Design!$B$26),Design!$B$25,Design!$B$26)*1000000)&lt;0, 0, ($B69-AG69*IF(ISBLANK(Design!$B$35),Constants!$C$6,Design!$B$35)/1000*(1+Constants!$C$36/100*(AQ69-25))-Design!$C$22)/(IF(ISBLANK(Design!$B$34),Design!$B$33,Design!$B$34)/1000000)*AH69/100/(IF(ISBLANK(Design!$B$26),Design!$B$25,Design!$B$26)*1000000))</f>
        <v>0.466024342875349</v>
      </c>
      <c r="AJ69" s="217">
        <f>$B69*Constants!$C$21/1000+IF(ISBLANK(Design!$B$26),Design!$B$25,Design!$B$26)*1000000*(Constants!$D$26+Constants!$D$27)/1000000000*$B69</f>
        <v>4.0013999999999994E-2</v>
      </c>
      <c r="AK69" s="217">
        <f>$B69*AG69*($B69/(Constants!$C$28*1000000000)*IF(ISBLANK(Design!$B$26),Design!$B$25,Design!$B$26)*1000000/2+$B69/(Constants!$C$29*1000000000)*IF(ISBLANK(Design!$B$26),Design!$B$25,Design!$B$26)*1000000/2)</f>
        <v>2.4640200000000001E-2</v>
      </c>
      <c r="AL69" s="217">
        <f t="shared" ca="1" si="17"/>
        <v>3.1670702478778019E-2</v>
      </c>
      <c r="AM69" s="217">
        <f t="shared" ca="1" si="18"/>
        <v>2.6320500379922427E-2</v>
      </c>
      <c r="AN69" s="217">
        <f>2*AG69*Constants!$C$20/1000000000*Constants!$C$25*IF(ISBLANK(Design!$B$26),Design!$B$25,Design!$B$26)*1000000</f>
        <v>2.4E-2</v>
      </c>
      <c r="AO69" s="217">
        <f>(Constants!$D$26+Constants!$D$27)/1000000000*$B69*IF(ISBLANK(Design!$B$26),Design!$B$25,Design!$B$26)*1000000</f>
        <v>3.2993999999999996E-2</v>
      </c>
      <c r="AP69" s="217">
        <f t="shared" ca="1" si="19"/>
        <v>0.17963940285870042</v>
      </c>
      <c r="AQ69" s="218">
        <f ca="1">AP69*Design!$C$12+$A69</f>
        <v>113.62269133721762</v>
      </c>
      <c r="AR69" s="218">
        <f ca="1">Constants!$D$22+Constants!$D$22*Constants!$C$24/100*(AQ69-25)</f>
        <v>125.37481796465542</v>
      </c>
      <c r="AS69" s="218">
        <f ca="1">Constants!$D$23+Constants!$D$23*Constants!$C$24/100*(AQ69-25)</f>
        <v>101.86703959628252</v>
      </c>
      <c r="AT69" s="217">
        <f ca="1">(1-Constants!$C$19/1000000000*Design!$B$26*1000000) * ($B69+AG69*AS69/1000-AG69*AR69/1000) - (AG69*AS69/1000+AG69*(1+($A69-25)*Constants!$C$36/100)*IF(ISBLANK(Design!$B$35),Constants!$C$6/1000,Design!$B$35/1000))</f>
        <v>3.0711129865814546</v>
      </c>
      <c r="AU69" s="311">
        <f ca="1">IF(AT69&gt;Design!$C$22,Design!$C$22,AT69)</f>
        <v>1.7973333333333334</v>
      </c>
    </row>
    <row r="70" spans="1:47" ht="12.75" customHeight="1">
      <c r="A70" s="136">
        <f>Design!$D$13</f>
        <v>105</v>
      </c>
      <c r="B70" s="137">
        <f t="shared" si="10"/>
        <v>3.4355000000000002</v>
      </c>
      <c r="C70" s="138">
        <f>Design!$D$6</f>
        <v>2</v>
      </c>
      <c r="D70" s="193">
        <f ca="1">IF( 100*(Design!$C$22+C70*(IF(ISBLANK(Design!$B$35),Constants!$C$6,Design!$B$35)/1000*(1+Constants!$C$36/100*(M70-25))+O70/1000))/($B70-C70*N70/1000) &gt; Design!$C$29, Design!$C$29, 100*(Design!$C$22+C70*(IF(ISBLANK(Design!$B$35),Constants!$C$6,Design!$B$35)/1000*(1+Constants!$C$36/100*(M70-25))+O70/1000))/($B70-C70*N70/1000) )</f>
        <v>64.795780595029811</v>
      </c>
      <c r="E70" s="139">
        <f ca="1">IF(($B70-C70*IF(ISBLANK(Design!$B$35),Constants!$C$6,Design!$B$35)/1000*(1+Constants!$C$36/100*(M70-25))-Design!$C$22)/(IF(ISBLANK(Design!$B$34),Design!$B$33,Design!$B$34)/1000000)*D70/100/(IF(ISBLANK(Design!$B$26),Design!$B$25,Design!$B$26)*1000000)&lt;0, 0, ($B70-C70*IF(ISBLANK(Design!$B$35),Constants!$C$6,Design!$B$35)/1000*(1+Constants!$C$36/100*(M70-25))-Design!$C$22)/(IF(ISBLANK(Design!$B$34),Design!$B$33,Design!$B$34)/1000000)*D70/100/(IF(ISBLANK(Design!$B$26),Design!$B$25,Design!$B$26)*1000000))</f>
        <v>0.52438824939197504</v>
      </c>
      <c r="F70" s="186">
        <f>$B70*Constants!$C$21/1000+IF(ISBLANK(Design!$B$26),Design!$B$25,Design!$B$26)*1000000*(Constants!$D$26+Constants!$D$27)/1000000000*$B70</f>
        <v>3.9164699999999997E-2</v>
      </c>
      <c r="G70" s="186">
        <f>$B70*C70*($B70/(Constants!$C$28*1000000000)*IF(ISBLANK(Design!$B$26),Design!$B$25,Design!$B$26)*1000000/2+$B70/(Constants!$C$29*1000000000)*IF(ISBLANK(Design!$B$26),Design!$B$25,Design!$B$26)*1000000/2)</f>
        <v>7.0815961499999996E-2</v>
      </c>
      <c r="H70" s="186">
        <f t="shared" ca="1" si="11"/>
        <v>0.36513010211216818</v>
      </c>
      <c r="I70" s="186">
        <f t="shared" ca="1" si="12"/>
        <v>0.19837897017482528</v>
      </c>
      <c r="J70" s="186">
        <f>2*C70*Constants!$C$20/1000000000*Constants!$C$25*IF(ISBLANK(Design!$B$26),Design!$B$25,Design!$B$26)*1000000</f>
        <v>7.1999999999999995E-2</v>
      </c>
      <c r="K70" s="186">
        <f>(Constants!$D$26+Constants!$D$27)/1000000000*$B70*IF(ISBLANK(Design!$B$26),Design!$B$25,Design!$B$26)*1000000</f>
        <v>3.2293699999999995E-2</v>
      </c>
      <c r="L70" s="186">
        <f t="shared" ca="1" si="13"/>
        <v>0.77778343378699344</v>
      </c>
      <c r="M70" s="187">
        <f ca="1">L70*Design!$C$12+$A70</f>
        <v>142.33360482177568</v>
      </c>
      <c r="N70" s="187">
        <f ca="1">Constants!$D$22+Constants!$D$22*Constants!$C$24/100*(M70-25)</f>
        <v>140.07480566874915</v>
      </c>
      <c r="O70" s="187">
        <f ca="1">Constants!$D$23+Constants!$D$23*Constants!$C$24/100*(M70-25)</f>
        <v>113.81077960585868</v>
      </c>
      <c r="P70" s="186">
        <f ca="1">(1-Constants!$C$19/1000000000*Design!$B$26*1000000) * ($B70+C70*O70/1000-C70*N70/1000) - (C70*O70/1000+C70*(1+($A70-25)*Constants!$C$36/100)*IF(ISBLANK(Design!$B$35),Constants!$C$6/1000,Design!$B$35/1000))</f>
        <v>2.7994402338750799</v>
      </c>
      <c r="Q70" s="191">
        <f ca="1">IF(P70&gt;Design!$C$22,Design!$C$22,P70)</f>
        <v>1.7973333333333334</v>
      </c>
      <c r="R70" s="140">
        <f>2*Design!$D$6/3</f>
        <v>1.3333333333333333</v>
      </c>
      <c r="S70" s="202">
        <f ca="1">IF( 100*(Design!$C$22+R70*(IF(ISBLANK(Design!$B$35),Constants!$C$6,Design!$B$35)/1000*(1+Constants!$C$36/100*(AB70-25))+AD70/1000))/($B70-R70*AC70/1000) &gt; Design!$C$29, Design!$C$29, 100*(Design!$C$22+R70*(IF(ISBLANK(Design!$B$35),Constants!$C$6,Design!$B$35)/1000*(1+Constants!$C$36/100*(AB70-25))+AD70/1000))/($B70-R70*AC70/1000) )</f>
        <v>59.842377497219282</v>
      </c>
      <c r="T70" s="141">
        <f ca="1">IF(($B70-R70*IF(ISBLANK(Design!$B$35),Constants!$C$6,Design!$B$35)/1000*(1+Constants!$C$36/100*(AB70-25))-Design!$C$22)/(IF(ISBLANK(Design!$B$34),Design!$B$33,Design!$B$34)/1000000)*S70/100/(IF(ISBLANK(Design!$B$26),Design!$B$25,Design!$B$26)*1000000)&lt;0, 0, ($B70-R70*IF(ISBLANK(Design!$B$35),Constants!$C$6,Design!$B$35)/1000*(1+Constants!$C$36/100*(AB70-25))-Design!$C$22)/(IF(ISBLANK(Design!$B$34),Design!$B$33,Design!$B$34)/1000000)*S70/100/(IF(ISBLANK(Design!$B$26),Design!$B$25,Design!$B$26)*1000000))</f>
        <v>0.4864429807628366</v>
      </c>
      <c r="U70" s="203">
        <f>$B70*Constants!$C$21/1000+IF(ISBLANK(Design!$B$26),Design!$B$25,Design!$B$26)*1000000*(Constants!$D$26+Constants!$D$27)/1000000000*$B70</f>
        <v>3.9164699999999997E-2</v>
      </c>
      <c r="V70" s="203">
        <f>$B70*R70*($B70/(Constants!$C$28*1000000000)*IF(ISBLANK(Design!$B$26),Design!$B$25,Design!$B$26)*1000000/2+$B70/(Constants!$C$29*1000000000)*IF(ISBLANK(Design!$B$26),Design!$B$25,Design!$B$26)*1000000/2)</f>
        <v>4.7210640999999998E-2</v>
      </c>
      <c r="W70" s="203">
        <f t="shared" ca="1" si="14"/>
        <v>0.14073541958104516</v>
      </c>
      <c r="X70" s="203">
        <f t="shared" ca="1" si="15"/>
        <v>9.4441432454261717E-2</v>
      </c>
      <c r="Y70" s="203">
        <f>2*R70*Constants!$C$20/1000000000*Constants!$C$25*IF(ISBLANK(Design!$B$26),Design!$B$25,Design!$B$26)*1000000</f>
        <v>4.8000000000000001E-2</v>
      </c>
      <c r="Z70" s="203">
        <f>(Constants!$D$26+Constants!$D$27)/1000000000*$B70*IF(ISBLANK(Design!$B$26),Design!$B$25,Design!$B$26)*1000000</f>
        <v>3.2293699999999995E-2</v>
      </c>
      <c r="AA70" s="203">
        <f t="shared" ca="1" si="16"/>
        <v>0.40184589303530682</v>
      </c>
      <c r="AB70" s="204">
        <f ca="1">AA70*Design!$C$12+$A70</f>
        <v>124.28860286569473</v>
      </c>
      <c r="AC70" s="204">
        <f ca="1">Constants!$D$22+Constants!$D$22*Constants!$C$24/100*(AB70-25)</f>
        <v>130.83576466723571</v>
      </c>
      <c r="AD70" s="204">
        <f ca="1">Constants!$D$23+Constants!$D$23*Constants!$C$24/100*(AB70-25)</f>
        <v>106.30405879212901</v>
      </c>
      <c r="AE70" s="203">
        <f ca="1">(1-Constants!$C$19/1000000000*Design!$B$26*1000000) * ($B70+R70*AD70/1000-R70*AC70/1000) - (R70*AD70/1000+R70*(1+($A70-25)*Constants!$C$36/100)*IF(ISBLANK(Design!$B$35),Constants!$C$6/1000,Design!$B$35/1000))</f>
        <v>2.9090312345603668</v>
      </c>
      <c r="AF70" s="308">
        <f ca="1">IF(AE70&gt;Design!$C$22,Design!$C$22,AE70)</f>
        <v>1.7973333333333334</v>
      </c>
      <c r="AG70" s="215">
        <f>Design!$D$6/3</f>
        <v>0.66666666666666663</v>
      </c>
      <c r="AH70" s="216">
        <f ca="1">IF( 100*(Design!$C$22+AG70*(IF(ISBLANK(Design!$B$35),Constants!$C$6,Design!$B$35)/1000*(1+Constants!$C$36/100*(AQ70-25))+AS70/1000))/($B70-AG70*AR70/1000) &gt; Design!$C$29, Design!$C$29, 100*(Design!$C$22+AG70*(IF(ISBLANK(Design!$B$35),Constants!$C$6,Design!$B$35)/1000*(1+Constants!$C$36/100*(AQ70-25))+AS70/1000))/($B70-AG70*AR70/1000) )</f>
        <v>55.824886975991973</v>
      </c>
      <c r="AI70" s="143">
        <f ca="1">IF(($B70-AG70*IF(ISBLANK(Design!$B$35),Constants!$C$6,Design!$B$35)/1000*(1+Constants!$C$36/100*(AQ70-25))-Design!$C$22)/(IF(ISBLANK(Design!$B$34),Design!$B$33,Design!$B$34)/1000000)*AH70/100/(IF(ISBLANK(Design!$B$26),Design!$B$25,Design!$B$26)*1000000)&lt;0, 0, ($B70-AG70*IF(ISBLANK(Design!$B$35),Constants!$C$6,Design!$B$35)/1000*(1+Constants!$C$36/100*(AQ70-25))-Design!$C$22)/(IF(ISBLANK(Design!$B$34),Design!$B$33,Design!$B$34)/1000000)*AH70/100/(IF(ISBLANK(Design!$B$26),Design!$B$25,Design!$B$26)*1000000))</f>
        <v>0.4555719989593417</v>
      </c>
      <c r="AJ70" s="217">
        <f>$B70*Constants!$C$21/1000+IF(ISBLANK(Design!$B$26),Design!$B$25,Design!$B$26)*1000000*(Constants!$D$26+Constants!$D$27)/1000000000*$B70</f>
        <v>3.9164699999999997E-2</v>
      </c>
      <c r="AK70" s="217">
        <f>$B70*AG70*($B70/(Constants!$C$28*1000000000)*IF(ISBLANK(Design!$B$26),Design!$B$25,Design!$B$26)*1000000/2+$B70/(Constants!$C$29*1000000000)*IF(ISBLANK(Design!$B$26),Design!$B$25,Design!$B$26)*1000000/2)</f>
        <v>2.3605320499999999E-2</v>
      </c>
      <c r="AL70" s="217">
        <f t="shared" ca="1" si="17"/>
        <v>3.2300134527517593E-2</v>
      </c>
      <c r="AM70" s="217">
        <f t="shared" ca="1" si="18"/>
        <v>2.5559605594139213E-2</v>
      </c>
      <c r="AN70" s="217">
        <f>2*AG70*Constants!$C$20/1000000000*Constants!$C$25*IF(ISBLANK(Design!$B$26),Design!$B$25,Design!$B$26)*1000000</f>
        <v>2.4E-2</v>
      </c>
      <c r="AO70" s="217">
        <f>(Constants!$D$26+Constants!$D$27)/1000000000*$B70*IF(ISBLANK(Design!$B$26),Design!$B$25,Design!$B$26)*1000000</f>
        <v>3.2293699999999995E-2</v>
      </c>
      <c r="AP70" s="217">
        <f t="shared" ca="1" si="19"/>
        <v>0.17692346062165681</v>
      </c>
      <c r="AQ70" s="218">
        <f ca="1">AP70*Design!$C$12+$A70</f>
        <v>113.49232610983952</v>
      </c>
      <c r="AR70" s="218">
        <f ca="1">Constants!$D$22+Constants!$D$22*Constants!$C$24/100*(AQ70-25)</f>
        <v>125.30807096823784</v>
      </c>
      <c r="AS70" s="218">
        <f ca="1">Constants!$D$23+Constants!$D$23*Constants!$C$24/100*(AQ70-25)</f>
        <v>101.81280766169326</v>
      </c>
      <c r="AT70" s="217">
        <f ca="1">(1-Constants!$C$19/1000000000*Design!$B$26*1000000) * ($B70+AG70*AS70/1000-AG70*AR70/1000) - (AG70*AS70/1000+AG70*(1+($A70-25)*Constants!$C$36/100)*IF(ISBLANK(Design!$B$35),Constants!$C$6/1000,Design!$B$35/1000))</f>
        <v>3.0041066502416114</v>
      </c>
      <c r="AU70" s="311">
        <f ca="1">IF(AT70&gt;Design!$C$22,Design!$C$22,AT70)</f>
        <v>1.7973333333333334</v>
      </c>
    </row>
    <row r="71" spans="1:47" ht="12.75" customHeight="1">
      <c r="A71" s="136">
        <f>Design!$D$13</f>
        <v>105</v>
      </c>
      <c r="B71" s="137">
        <f t="shared" si="10"/>
        <v>3.3610000000000002</v>
      </c>
      <c r="C71" s="138">
        <f>Design!$D$6</f>
        <v>2</v>
      </c>
      <c r="D71" s="193">
        <f ca="1">IF( 100*(Design!$C$22+C71*(IF(ISBLANK(Design!$B$35),Constants!$C$6,Design!$B$35)/1000*(1+Constants!$C$36/100*(M71-25))+O71/1000))/($B71-C71*N71/1000) &gt; Design!$C$29, Design!$C$29, 100*(Design!$C$22+C71*(IF(ISBLANK(Design!$B$35),Constants!$C$6,Design!$B$35)/1000*(1+Constants!$C$36/100*(M71-25))+O71/1000))/($B71-C71*N71/1000) )</f>
        <v>66.349845853869567</v>
      </c>
      <c r="E71" s="139">
        <f ca="1">IF(($B71-C71*IF(ISBLANK(Design!$B$35),Constants!$C$6,Design!$B$35)/1000*(1+Constants!$C$36/100*(M71-25))-Design!$C$22)/(IF(ISBLANK(Design!$B$34),Design!$B$33,Design!$B$34)/1000000)*D71/100/(IF(ISBLANK(Design!$B$26),Design!$B$25,Design!$B$26)*1000000)&lt;0, 0, ($B71-C71*IF(ISBLANK(Design!$B$35),Constants!$C$6,Design!$B$35)/1000*(1+Constants!$C$36/100*(M71-25))-Design!$C$22)/(IF(ISBLANK(Design!$B$34),Design!$B$33,Design!$B$34)/1000000)*D71/100/(IF(ISBLANK(Design!$B$26),Design!$B$25,Design!$B$26)*1000000))</f>
        <v>0.51225429167612002</v>
      </c>
      <c r="F71" s="186">
        <f>$B71*Constants!$C$21/1000+IF(ISBLANK(Design!$B$26),Design!$B$25,Design!$B$26)*1000000*(Constants!$D$26+Constants!$D$27)/1000000000*$B71</f>
        <v>3.8315399999999999E-2</v>
      </c>
      <c r="G71" s="186">
        <f>$B71*C71*($B71/(Constants!$C$28*1000000000)*IF(ISBLANK(Design!$B$26),Design!$B$25,Design!$B$26)*1000000/2+$B71/(Constants!$C$29*1000000000)*IF(ISBLANK(Design!$B$26),Design!$B$25,Design!$B$26)*1000000/2)</f>
        <v>6.7777926000000016E-2</v>
      </c>
      <c r="H71" s="186">
        <f t="shared" ca="1" si="11"/>
        <v>0.37344543341656017</v>
      </c>
      <c r="I71" s="186">
        <f t="shared" ca="1" si="12"/>
        <v>0.18939752214816713</v>
      </c>
      <c r="J71" s="186">
        <f>2*C71*Constants!$C$20/1000000000*Constants!$C$25*IF(ISBLANK(Design!$B$26),Design!$B$25,Design!$B$26)*1000000</f>
        <v>7.1999999999999995E-2</v>
      </c>
      <c r="K71" s="186">
        <f>(Constants!$D$26+Constants!$D$27)/1000000000*$B71*IF(ISBLANK(Design!$B$26),Design!$B$25,Design!$B$26)*1000000</f>
        <v>3.1593400000000001E-2</v>
      </c>
      <c r="L71" s="186">
        <f t="shared" ca="1" si="13"/>
        <v>0.77252968156472723</v>
      </c>
      <c r="M71" s="187">
        <f ca="1">L71*Design!$C$12+$A71</f>
        <v>142.08142471510689</v>
      </c>
      <c r="N71" s="187">
        <f ca="1">Constants!$D$22+Constants!$D$22*Constants!$C$24/100*(M71-25)</f>
        <v>139.94568945413474</v>
      </c>
      <c r="O71" s="187">
        <f ca="1">Constants!$D$23+Constants!$D$23*Constants!$C$24/100*(M71-25)</f>
        <v>113.70587268148446</v>
      </c>
      <c r="P71" s="186">
        <f ca="1">(1-Constants!$C$19/1000000000*Design!$B$26*1000000) * ($B71+C71*O71/1000-C71*N71/1000) - (C71*O71/1000+C71*(1+($A71-25)*Constants!$C$36/100)*IF(ISBLANK(Design!$B$35),Constants!$C$6/1000,Design!$B$35/1000))</f>
        <v>2.7326436244462613</v>
      </c>
      <c r="Q71" s="191">
        <f ca="1">IF(P71&gt;Design!$C$22,Design!$C$22,P71)</f>
        <v>1.7973333333333334</v>
      </c>
      <c r="R71" s="140">
        <f>2*Design!$D$6/3</f>
        <v>1.3333333333333333</v>
      </c>
      <c r="S71" s="202">
        <f ca="1">IF( 100*(Design!$C$22+R71*(IF(ISBLANK(Design!$B$35),Constants!$C$6,Design!$B$35)/1000*(1+Constants!$C$36/100*(AB71-25))+AD71/1000))/($B71-R71*AC71/1000) &gt; Design!$C$29, Design!$C$29, 100*(Design!$C$22+R71*(IF(ISBLANK(Design!$B$35),Constants!$C$6,Design!$B$35)/1000*(1+Constants!$C$36/100*(AB71-25))+AD71/1000))/($B71-R71*AC71/1000) )</f>
        <v>61.235593382195077</v>
      </c>
      <c r="T71" s="141">
        <f ca="1">IF(($B71-R71*IF(ISBLANK(Design!$B$35),Constants!$C$6,Design!$B$35)/1000*(1+Constants!$C$36/100*(AB71-25))-Design!$C$22)/(IF(ISBLANK(Design!$B$34),Design!$B$33,Design!$B$34)/1000000)*S71/100/(IF(ISBLANK(Design!$B$26),Design!$B$25,Design!$B$26)*1000000)&lt;0, 0, ($B71-R71*IF(ISBLANK(Design!$B$35),Constants!$C$6,Design!$B$35)/1000*(1+Constants!$C$36/100*(AB71-25))-Design!$C$22)/(IF(ISBLANK(Design!$B$34),Design!$B$33,Design!$B$34)/1000000)*S71/100/(IF(ISBLANK(Design!$B$26),Design!$B$25,Design!$B$26)*1000000))</f>
        <v>0.47495980323689746</v>
      </c>
      <c r="U71" s="203">
        <f>$B71*Constants!$C$21/1000+IF(ISBLANK(Design!$B$26),Design!$B$25,Design!$B$26)*1000000*(Constants!$D$26+Constants!$D$27)/1000000000*$B71</f>
        <v>3.8315399999999999E-2</v>
      </c>
      <c r="V71" s="203">
        <f>$B71*R71*($B71/(Constants!$C$28*1000000000)*IF(ISBLANK(Design!$B$26),Design!$B$25,Design!$B$26)*1000000/2+$B71/(Constants!$C$29*1000000000)*IF(ISBLANK(Design!$B$26),Design!$B$25,Design!$B$26)*1000000/2)</f>
        <v>4.5185284000000013E-2</v>
      </c>
      <c r="W71" s="203">
        <f t="shared" ca="1" si="14"/>
        <v>0.14383370633124937</v>
      </c>
      <c r="X71" s="203">
        <f t="shared" ca="1" si="15"/>
        <v>9.1052082124375544E-2</v>
      </c>
      <c r="Y71" s="203">
        <f>2*R71*Constants!$C$20/1000000000*Constants!$C$25*IF(ISBLANK(Design!$B$26),Design!$B$25,Design!$B$26)*1000000</f>
        <v>4.8000000000000001E-2</v>
      </c>
      <c r="Z71" s="203">
        <f>(Constants!$D$26+Constants!$D$27)/1000000000*$B71*IF(ISBLANK(Design!$B$26),Design!$B$25,Design!$B$26)*1000000</f>
        <v>3.1593400000000001E-2</v>
      </c>
      <c r="AA71" s="203">
        <f t="shared" ca="1" si="16"/>
        <v>0.39797987245562488</v>
      </c>
      <c r="AB71" s="204">
        <f ca="1">AA71*Design!$C$12+$A71</f>
        <v>124.10303387786999</v>
      </c>
      <c r="AC71" s="204">
        <f ca="1">Constants!$D$22+Constants!$D$22*Constants!$C$24/100*(AB71-25)</f>
        <v>130.74075334546944</v>
      </c>
      <c r="AD71" s="204">
        <f ca="1">Constants!$D$23+Constants!$D$23*Constants!$C$24/100*(AB71-25)</f>
        <v>106.22686209319392</v>
      </c>
      <c r="AE71" s="203">
        <f ca="1">(1-Constants!$C$19/1000000000*Design!$B$26*1000000) * ($B71+R71*AD71/1000-R71*AC71/1000) - (R71*AD71/1000+R71*(1+($A71-25)*Constants!$C$36/100)*IF(ISBLANK(Design!$B$35),Constants!$C$6/1000,Design!$B$35/1000))</f>
        <v>2.8421055410396772</v>
      </c>
      <c r="AF71" s="308">
        <f ca="1">IF(AE71&gt;Design!$C$22,Design!$C$22,AE71)</f>
        <v>1.7973333333333334</v>
      </c>
      <c r="AG71" s="215">
        <f>Design!$D$6/3</f>
        <v>0.66666666666666663</v>
      </c>
      <c r="AH71" s="216">
        <f ca="1">IF( 100*(Design!$C$22+AG71*(IF(ISBLANK(Design!$B$35),Constants!$C$6,Design!$B$35)/1000*(1+Constants!$C$36/100*(AQ71-25))+AS71/1000))/($B71-AG71*AR71/1000) &gt; Design!$C$29, Design!$C$29, 100*(Design!$C$22+AG71*(IF(ISBLANK(Design!$B$35),Constants!$C$6,Design!$B$35)/1000*(1+Constants!$C$36/100*(AQ71-25))+AS71/1000))/($B71-AG71*AR71/1000) )</f>
        <v>57.091909509112568</v>
      </c>
      <c r="AI71" s="143">
        <f ca="1">IF(($B71-AG71*IF(ISBLANK(Design!$B$35),Constants!$C$6,Design!$B$35)/1000*(1+Constants!$C$36/100*(AQ71-25))-Design!$C$22)/(IF(ISBLANK(Design!$B$34),Design!$B$33,Design!$B$34)/1000000)*AH71/100/(IF(ISBLANK(Design!$B$26),Design!$B$25,Design!$B$26)*1000000)&lt;0, 0, ($B71-AG71*IF(ISBLANK(Design!$B$35),Constants!$C$6,Design!$B$35)/1000*(1+Constants!$C$36/100*(AQ71-25))-Design!$C$22)/(IF(ISBLANK(Design!$B$34),Design!$B$33,Design!$B$34)/1000000)*AH71/100/(IF(ISBLANK(Design!$B$26),Design!$B$25,Design!$B$26)*1000000))</f>
        <v>0.44464574364435971</v>
      </c>
      <c r="AJ71" s="217">
        <f>$B71*Constants!$C$21/1000+IF(ISBLANK(Design!$B$26),Design!$B$25,Design!$B$26)*1000000*(Constants!$D$26+Constants!$D$27)/1000000000*$B71</f>
        <v>3.8315399999999999E-2</v>
      </c>
      <c r="AK71" s="217">
        <f>$B71*AG71*($B71/(Constants!$C$28*1000000000)*IF(ISBLANK(Design!$B$26),Design!$B$25,Design!$B$26)*1000000/2+$B71/(Constants!$C$29*1000000000)*IF(ISBLANK(Design!$B$26),Design!$B$25,Design!$B$26)*1000000/2)</f>
        <v>2.2592642000000007E-2</v>
      </c>
      <c r="AL71" s="217">
        <f t="shared" ca="1" si="17"/>
        <v>3.2957158536570524E-2</v>
      </c>
      <c r="AM71" s="217">
        <f t="shared" ca="1" si="18"/>
        <v>2.4769336898496606E-2</v>
      </c>
      <c r="AN71" s="217">
        <f>2*AG71*Constants!$C$20/1000000000*Constants!$C$25*IF(ISBLANK(Design!$B$26),Design!$B$25,Design!$B$26)*1000000</f>
        <v>2.4E-2</v>
      </c>
      <c r="AO71" s="217">
        <f>(Constants!$D$26+Constants!$D$27)/1000000000*$B71*IF(ISBLANK(Design!$B$26),Design!$B$25,Design!$B$26)*1000000</f>
        <v>3.1593400000000001E-2</v>
      </c>
      <c r="AP71" s="217">
        <f t="shared" ca="1" si="19"/>
        <v>0.17422793743506712</v>
      </c>
      <c r="AQ71" s="218">
        <f ca="1">AP71*Design!$C$12+$A71</f>
        <v>113.36294099688322</v>
      </c>
      <c r="AR71" s="218">
        <f ca="1">Constants!$D$22+Constants!$D$22*Constants!$C$24/100*(AQ71-25)</f>
        <v>125.24182579040422</v>
      </c>
      <c r="AS71" s="218">
        <f ca="1">Constants!$D$23+Constants!$D$23*Constants!$C$24/100*(AQ71-25)</f>
        <v>101.75898345470343</v>
      </c>
      <c r="AT71" s="217">
        <f ca="1">(1-Constants!$C$19/1000000000*Design!$B$26*1000000) * ($B71+AG71*AS71/1000-AG71*AR71/1000) - (AG71*AS71/1000+AG71*(1+($A71-25)*Constants!$C$36/100)*IF(ISBLANK(Design!$B$35),Constants!$C$6/1000,Design!$B$35/1000))</f>
        <v>2.9370999856287776</v>
      </c>
      <c r="AU71" s="311">
        <f ca="1">IF(AT71&gt;Design!$C$22,Design!$C$22,AT71)</f>
        <v>1.7973333333333334</v>
      </c>
    </row>
    <row r="72" spans="1:47" ht="12.75" customHeight="1">
      <c r="A72" s="136">
        <f>Design!$D$13</f>
        <v>105</v>
      </c>
      <c r="B72" s="137">
        <f t="shared" si="10"/>
        <v>3.2865000000000002</v>
      </c>
      <c r="C72" s="138">
        <f>Design!$D$6</f>
        <v>2</v>
      </c>
      <c r="D72" s="193">
        <f ca="1">IF( 100*(Design!$C$22+C72*(IF(ISBLANK(Design!$B$35),Constants!$C$6,Design!$B$35)/1000*(1+Constants!$C$36/100*(M72-25))+O72/1000))/($B72-C72*N72/1000) &gt; Design!$C$29, Design!$C$29, 100*(Design!$C$22+C72*(IF(ISBLANK(Design!$B$35),Constants!$C$6,Design!$B$35)/1000*(1+Constants!$C$36/100*(M72-25))+O72/1000))/($B72-C72*N72/1000) )</f>
        <v>67.980830699180387</v>
      </c>
      <c r="E72" s="139">
        <f ca="1">IF(($B72-C72*IF(ISBLANK(Design!$B$35),Constants!$C$6,Design!$B$35)/1000*(1+Constants!$C$36/100*(M72-25))-Design!$C$22)/(IF(ISBLANK(Design!$B$34),Design!$B$33,Design!$B$34)/1000000)*D72/100/(IF(ISBLANK(Design!$B$26),Design!$B$25,Design!$B$26)*1000000)&lt;0, 0, ($B72-C72*IF(ISBLANK(Design!$B$35),Constants!$C$6,Design!$B$35)/1000*(1+Constants!$C$36/100*(M72-25))-Design!$C$22)/(IF(ISBLANK(Design!$B$34),Design!$B$33,Design!$B$34)/1000000)*D72/100/(IF(ISBLANK(Design!$B$26),Design!$B$25,Design!$B$26)*1000000))</f>
        <v>0.49952791186100171</v>
      </c>
      <c r="F72" s="186">
        <f>$B72*Constants!$C$21/1000+IF(ISBLANK(Design!$B$26),Design!$B$25,Design!$B$26)*1000000*(Constants!$D$26+Constants!$D$27)/1000000000*$B72</f>
        <v>3.7466099999999995E-2</v>
      </c>
      <c r="G72" s="186">
        <f>$B72*C72*($B72/(Constants!$C$28*1000000000)*IF(ISBLANK(Design!$B$26),Design!$B$25,Design!$B$26)*1000000/2+$B72/(Constants!$C$29*1000000000)*IF(ISBLANK(Design!$B$26),Design!$B$25,Design!$B$26)*1000000/2)</f>
        <v>6.4806493500000006E-2</v>
      </c>
      <c r="H72" s="186">
        <f t="shared" ca="1" si="11"/>
        <v>0.38217503692217009</v>
      </c>
      <c r="I72" s="186">
        <f t="shared" ca="1" si="12"/>
        <v>0.18000555574125232</v>
      </c>
      <c r="J72" s="186">
        <f>2*C72*Constants!$C$20/1000000000*Constants!$C$25*IF(ISBLANK(Design!$B$26),Design!$B$25,Design!$B$26)*1000000</f>
        <v>7.1999999999999995E-2</v>
      </c>
      <c r="K72" s="186">
        <f>(Constants!$D$26+Constants!$D$27)/1000000000*$B72*IF(ISBLANK(Design!$B$26),Design!$B$25,Design!$B$26)*1000000</f>
        <v>3.0893099999999996E-2</v>
      </c>
      <c r="L72" s="186">
        <f t="shared" ca="1" si="13"/>
        <v>0.76734628616342238</v>
      </c>
      <c r="M72" s="187">
        <f ca="1">L72*Design!$C$12+$A72</f>
        <v>141.83262173584427</v>
      </c>
      <c r="N72" s="187">
        <f ca="1">Constants!$D$22+Constants!$D$22*Constants!$C$24/100*(M72-25)</f>
        <v>139.81830232875228</v>
      </c>
      <c r="O72" s="187">
        <f ca="1">Constants!$D$23+Constants!$D$23*Constants!$C$24/100*(M72-25)</f>
        <v>113.60237064211123</v>
      </c>
      <c r="P72" s="186">
        <f ca="1">(1-Constants!$C$19/1000000000*Design!$B$26*1000000) * ($B72+C72*O72/1000-C72*N72/1000) - (C72*O72/1000+C72*(1+($A72-25)*Constants!$C$36/100)*IF(ISBLANK(Design!$B$35),Constants!$C$6/1000,Design!$B$35/1000))</f>
        <v>2.6658436216798238</v>
      </c>
      <c r="Q72" s="191">
        <f ca="1">IF(P72&gt;Design!$C$22,Design!$C$22,P72)</f>
        <v>1.7973333333333334</v>
      </c>
      <c r="R72" s="140">
        <f>2*Design!$D$6/3</f>
        <v>1.3333333333333333</v>
      </c>
      <c r="S72" s="202">
        <f ca="1">IF( 100*(Design!$C$22+R72*(IF(ISBLANK(Design!$B$35),Constants!$C$6,Design!$B$35)/1000*(1+Constants!$C$36/100*(AB72-25))+AD72/1000))/($B72-R72*AC72/1000) &gt; Design!$C$29, Design!$C$29, 100*(Design!$C$22+R72*(IF(ISBLANK(Design!$B$35),Constants!$C$6,Design!$B$35)/1000*(1+Constants!$C$36/100*(AB72-25))+AD72/1000))/($B72-R72*AC72/1000) )</f>
        <v>62.695464206809092</v>
      </c>
      <c r="T72" s="141">
        <f ca="1">IF(($B72-R72*IF(ISBLANK(Design!$B$35),Constants!$C$6,Design!$B$35)/1000*(1+Constants!$C$36/100*(AB72-25))-Design!$C$22)/(IF(ISBLANK(Design!$B$34),Design!$B$33,Design!$B$34)/1000000)*S72/100/(IF(ISBLANK(Design!$B$26),Design!$B$25,Design!$B$26)*1000000)&lt;0, 0, ($B72-R72*IF(ISBLANK(Design!$B$35),Constants!$C$6,Design!$B$35)/1000*(1+Constants!$C$36/100*(AB72-25))-Design!$C$22)/(IF(ISBLANK(Design!$B$34),Design!$B$33,Design!$B$34)/1000000)*S72/100/(IF(ISBLANK(Design!$B$26),Design!$B$25,Design!$B$26)*1000000))</f>
        <v>0.46293091438637896</v>
      </c>
      <c r="U72" s="203">
        <f>$B72*Constants!$C$21/1000+IF(ISBLANK(Design!$B$26),Design!$B$25,Design!$B$26)*1000000*(Constants!$D$26+Constants!$D$27)/1000000000*$B72</f>
        <v>3.7466099999999995E-2</v>
      </c>
      <c r="V72" s="203">
        <f>$B72*R72*($B72/(Constants!$C$28*1000000000)*IF(ISBLANK(Design!$B$26),Design!$B$25,Design!$B$26)*1000000/2+$B72/(Constants!$C$29*1000000000)*IF(ISBLANK(Design!$B$26),Design!$B$25,Design!$B$26)*1000000/2)</f>
        <v>4.3204329E-2</v>
      </c>
      <c r="W72" s="203">
        <f t="shared" ca="1" si="14"/>
        <v>0.14707992478955775</v>
      </c>
      <c r="X72" s="203">
        <f t="shared" ca="1" si="15"/>
        <v>8.7514278555672467E-2</v>
      </c>
      <c r="Y72" s="203">
        <f>2*R72*Constants!$C$20/1000000000*Constants!$C$25*IF(ISBLANK(Design!$B$26),Design!$B$25,Design!$B$26)*1000000</f>
        <v>4.8000000000000001E-2</v>
      </c>
      <c r="Z72" s="203">
        <f>(Constants!$D$26+Constants!$D$27)/1000000000*$B72*IF(ISBLANK(Design!$B$26),Design!$B$25,Design!$B$26)*1000000</f>
        <v>3.0893099999999996E-2</v>
      </c>
      <c r="AA72" s="203">
        <f t="shared" ca="1" si="16"/>
        <v>0.39415773234523022</v>
      </c>
      <c r="AB72" s="204">
        <f ca="1">AA72*Design!$C$12+$A72</f>
        <v>123.91957115257105</v>
      </c>
      <c r="AC72" s="204">
        <f ca="1">Constants!$D$22+Constants!$D$22*Constants!$C$24/100*(AB72-25)</f>
        <v>130.64682043011638</v>
      </c>
      <c r="AD72" s="204">
        <f ca="1">Constants!$D$23+Constants!$D$23*Constants!$C$24/100*(AB72-25)</f>
        <v>106.15054159946956</v>
      </c>
      <c r="AE72" s="203">
        <f ca="1">(1-Constants!$C$19/1000000000*Design!$B$26*1000000) * ($B72+R72*AD72/1000-R72*AC72/1000) - (R72*AD72/1000+R72*(1+($A72-25)*Constants!$C$36/100)*IF(ISBLANK(Design!$B$35),Constants!$C$6/1000,Design!$B$35/1000))</f>
        <v>2.7751784366039316</v>
      </c>
      <c r="AF72" s="308">
        <f ca="1">IF(AE72&gt;Design!$C$22,Design!$C$22,AE72)</f>
        <v>1.7973333333333334</v>
      </c>
      <c r="AG72" s="215">
        <f>Design!$D$6/3</f>
        <v>0.66666666666666663</v>
      </c>
      <c r="AH72" s="216">
        <f ca="1">IF( 100*(Design!$C$22+AG72*(IF(ISBLANK(Design!$B$35),Constants!$C$6,Design!$B$35)/1000*(1+Constants!$C$36/100*(AQ72-25))+AS72/1000))/($B72-AG72*AR72/1000) &gt; Design!$C$29, Design!$C$29, 100*(Design!$C$22+AG72*(IF(ISBLANK(Design!$B$35),Constants!$C$6,Design!$B$35)/1000*(1+Constants!$C$36/100*(AQ72-25))+AS72/1000))/($B72-AG72*AR72/1000) )</f>
        <v>58.417851815440287</v>
      </c>
      <c r="AI72" s="143">
        <f ca="1">IF(($B72-AG72*IF(ISBLANK(Design!$B$35),Constants!$C$6,Design!$B$35)/1000*(1+Constants!$C$36/100*(AQ72-25))-Design!$C$22)/(IF(ISBLANK(Design!$B$34),Design!$B$33,Design!$B$34)/1000000)*AH72/100/(IF(ISBLANK(Design!$B$26),Design!$B$25,Design!$B$26)*1000000)&lt;0, 0, ($B72-AG72*IF(ISBLANK(Design!$B$35),Constants!$C$6,Design!$B$35)/1000*(1+Constants!$C$36/100*(AQ72-25))-Design!$C$22)/(IF(ISBLANK(Design!$B$34),Design!$B$33,Design!$B$34)/1000000)*AH72/100/(IF(ISBLANK(Design!$B$26),Design!$B$25,Design!$B$26)*1000000))</f>
        <v>0.43321251493336577</v>
      </c>
      <c r="AJ72" s="217">
        <f>$B72*Constants!$C$21/1000+IF(ISBLANK(Design!$B$26),Design!$B$25,Design!$B$26)*1000000*(Constants!$D$26+Constants!$D$27)/1000000000*$B72</f>
        <v>3.7466099999999995E-2</v>
      </c>
      <c r="AK72" s="217">
        <f>$B72*AG72*($B72/(Constants!$C$28*1000000000)*IF(ISBLANK(Design!$B$26),Design!$B$25,Design!$B$26)*1000000/2+$B72/(Constants!$C$29*1000000000)*IF(ISBLANK(Design!$B$26),Design!$B$25,Design!$B$26)*1000000/2)</f>
        <v>2.16021645E-2</v>
      </c>
      <c r="AL72" s="217">
        <f t="shared" ca="1" si="17"/>
        <v>3.3643715085848271E-2</v>
      </c>
      <c r="AM72" s="217">
        <f t="shared" ca="1" si="18"/>
        <v>2.394778141788995E-2</v>
      </c>
      <c r="AN72" s="217">
        <f>2*AG72*Constants!$C$20/1000000000*Constants!$C$25*IF(ISBLANK(Design!$B$26),Design!$B$25,Design!$B$26)*1000000</f>
        <v>2.4E-2</v>
      </c>
      <c r="AO72" s="217">
        <f>(Constants!$D$26+Constants!$D$27)/1000000000*$B72*IF(ISBLANK(Design!$B$26),Design!$B$25,Design!$B$26)*1000000</f>
        <v>3.0893099999999996E-2</v>
      </c>
      <c r="AP72" s="217">
        <f t="shared" ca="1" si="19"/>
        <v>0.17155286100373821</v>
      </c>
      <c r="AQ72" s="218">
        <f ca="1">AP72*Design!$C$12+$A72</f>
        <v>113.23453732817943</v>
      </c>
      <c r="AR72" s="218">
        <f ca="1">Constants!$D$22+Constants!$D$22*Constants!$C$24/100*(AQ72-25)</f>
        <v>125.17608311202787</v>
      </c>
      <c r="AS72" s="218">
        <f ca="1">Constants!$D$23+Constants!$D$23*Constants!$C$24/100*(AQ72-25)</f>
        <v>101.70556752852264</v>
      </c>
      <c r="AT72" s="217">
        <f ca="1">(1-Constants!$C$19/1000000000*Design!$B$26*1000000) * ($B72+AG72*AS72/1000-AG72*AR72/1000) - (AG72*AS72/1000+AG72*(1+($A72-25)*Constants!$C$36/100)*IF(ISBLANK(Design!$B$35),Constants!$C$6/1000,Design!$B$35/1000))</f>
        <v>2.8700929922975482</v>
      </c>
      <c r="AU72" s="311">
        <f ca="1">IF(AT72&gt;Design!$C$22,Design!$C$22,AT72)</f>
        <v>1.7973333333333334</v>
      </c>
    </row>
    <row r="73" spans="1:47" ht="12.75" customHeight="1">
      <c r="A73" s="136">
        <f>Design!$D$13</f>
        <v>105</v>
      </c>
      <c r="B73" s="137">
        <f t="shared" si="10"/>
        <v>3.2120000000000002</v>
      </c>
      <c r="C73" s="138">
        <f>Design!$D$6</f>
        <v>2</v>
      </c>
      <c r="D73" s="193">
        <f ca="1">IF( 100*(Design!$C$22+C73*(IF(ISBLANK(Design!$B$35),Constants!$C$6,Design!$B$35)/1000*(1+Constants!$C$36/100*(M73-25))+O73/1000))/($B73-C73*N73/1000) &gt; Design!$C$29, Design!$C$29, 100*(Design!$C$22+C73*(IF(ISBLANK(Design!$B$35),Constants!$C$6,Design!$B$35)/1000*(1+Constants!$C$36/100*(M73-25))+O73/1000))/($B73-C73*N73/1000) )</f>
        <v>69.694583093869412</v>
      </c>
      <c r="E73" s="139">
        <f ca="1">IF(($B73-C73*IF(ISBLANK(Design!$B$35),Constants!$C$6,Design!$B$35)/1000*(1+Constants!$C$36/100*(M73-25))-Design!$C$22)/(IF(ISBLANK(Design!$B$34),Design!$B$33,Design!$B$34)/1000000)*D73/100/(IF(ISBLANK(Design!$B$26),Design!$B$25,Design!$B$26)*1000000)&lt;0, 0, ($B73-C73*IF(ISBLANK(Design!$B$35),Constants!$C$6,Design!$B$35)/1000*(1+Constants!$C$36/100*(M73-25))-Design!$C$22)/(IF(ISBLANK(Design!$B$34),Design!$B$33,Design!$B$34)/1000000)*D73/100/(IF(ISBLANK(Design!$B$26),Design!$B$25,Design!$B$26)*1000000))</f>
        <v>0.48616395630967085</v>
      </c>
      <c r="F73" s="186">
        <f>$B73*Constants!$C$21/1000+IF(ISBLANK(Design!$B$26),Design!$B$25,Design!$B$26)*1000000*(Constants!$D$26+Constants!$D$27)/1000000000*$B73</f>
        <v>3.6616799999999998E-2</v>
      </c>
      <c r="G73" s="186">
        <f>$B73*C73*($B73/(Constants!$C$28*1000000000)*IF(ISBLANK(Design!$B$26),Design!$B$25,Design!$B$26)*1000000/2+$B73/(Constants!$C$29*1000000000)*IF(ISBLANK(Design!$B$26),Design!$B$25,Design!$B$26)*1000000/2)</f>
        <v>6.1901664000000009E-2</v>
      </c>
      <c r="H73" s="186">
        <f t="shared" ca="1" si="11"/>
        <v>0.39135042044196566</v>
      </c>
      <c r="I73" s="186">
        <f t="shared" ca="1" si="12"/>
        <v>0.17017158466834295</v>
      </c>
      <c r="J73" s="186">
        <f>2*C73*Constants!$C$20/1000000000*Constants!$C$25*IF(ISBLANK(Design!$B$26),Design!$B$25,Design!$B$26)*1000000</f>
        <v>7.1999999999999995E-2</v>
      </c>
      <c r="K73" s="186">
        <f>(Constants!$D$26+Constants!$D$27)/1000000000*$B73*IF(ISBLANK(Design!$B$26),Design!$B$25,Design!$B$26)*1000000</f>
        <v>3.0192799999999992E-2</v>
      </c>
      <c r="L73" s="186">
        <f t="shared" ca="1" si="13"/>
        <v>0.76223326911030853</v>
      </c>
      <c r="M73" s="187">
        <f ca="1">L73*Design!$C$12+$A73</f>
        <v>141.58719691729482</v>
      </c>
      <c r="N73" s="187">
        <f ca="1">Constants!$D$22+Constants!$D$22*Constants!$C$24/100*(M73-25)</f>
        <v>139.69264482165494</v>
      </c>
      <c r="O73" s="187">
        <f ca="1">Constants!$D$23+Constants!$D$23*Constants!$C$24/100*(M73-25)</f>
        <v>113.50027391759465</v>
      </c>
      <c r="P73" s="186">
        <f ca="1">(1-Constants!$C$19/1000000000*Design!$B$26*1000000) * ($B73+C73*O73/1000-C73*N73/1000) - (C73*O73/1000+C73*(1+($A73-25)*Constants!$C$36/100)*IF(ISBLANK(Design!$B$35),Constants!$C$6/1000,Design!$B$35/1000))</f>
        <v>2.5990402245375028</v>
      </c>
      <c r="Q73" s="191">
        <f ca="1">IF(P73&gt;Design!$C$22,Design!$C$22,P73)</f>
        <v>1.7973333333333334</v>
      </c>
      <c r="R73" s="140">
        <f>2*Design!$D$6/3</f>
        <v>1.3333333333333333</v>
      </c>
      <c r="S73" s="202">
        <f ca="1">IF( 100*(Design!$C$22+R73*(IF(ISBLANK(Design!$B$35),Constants!$C$6,Design!$B$35)/1000*(1+Constants!$C$36/100*(AB73-25))+AD73/1000))/($B73-R73*AC73/1000) &gt; Design!$C$29, Design!$C$29, 100*(Design!$C$22+R73*(IF(ISBLANK(Design!$B$35),Constants!$C$6,Design!$B$35)/1000*(1+Constants!$C$36/100*(AB73-25))+AD73/1000))/($B73-R73*AC73/1000) )</f>
        <v>64.226887660152897</v>
      </c>
      <c r="T73" s="141">
        <f ca="1">IF(($B73-R73*IF(ISBLANK(Design!$B$35),Constants!$C$6,Design!$B$35)/1000*(1+Constants!$C$36/100*(AB73-25))-Design!$C$22)/(IF(ISBLANK(Design!$B$34),Design!$B$33,Design!$B$34)/1000000)*S73/100/(IF(ISBLANK(Design!$B$26),Design!$B$25,Design!$B$26)*1000000)&lt;0, 0, ($B73-R73*IF(ISBLANK(Design!$B$35),Constants!$C$6,Design!$B$35)/1000*(1+Constants!$C$36/100*(AB73-25))-Design!$C$22)/(IF(ISBLANK(Design!$B$34),Design!$B$33,Design!$B$34)/1000000)*S73/100/(IF(ISBLANK(Design!$B$26),Design!$B$25,Design!$B$26)*1000000))</f>
        <v>0.45031617145026848</v>
      </c>
      <c r="U73" s="203">
        <f>$B73*Constants!$C$21/1000+IF(ISBLANK(Design!$B$26),Design!$B$25,Design!$B$26)*1000000*(Constants!$D$26+Constants!$D$27)/1000000000*$B73</f>
        <v>3.6616799999999998E-2</v>
      </c>
      <c r="V73" s="203">
        <f>$B73*R73*($B73/(Constants!$C$28*1000000000)*IF(ISBLANK(Design!$B$26),Design!$B$25,Design!$B$26)*1000000/2+$B73/(Constants!$C$29*1000000000)*IF(ISBLANK(Design!$B$26),Design!$B$25,Design!$B$26)*1000000/2)</f>
        <v>4.1267775999999999E-2</v>
      </c>
      <c r="W73" s="203">
        <f t="shared" ca="1" si="14"/>
        <v>0.15048496982110182</v>
      </c>
      <c r="X73" s="203">
        <f t="shared" ca="1" si="15"/>
        <v>8.3817166407841481E-2</v>
      </c>
      <c r="Y73" s="203">
        <f>2*R73*Constants!$C$20/1000000000*Constants!$C$25*IF(ISBLANK(Design!$B$26),Design!$B$25,Design!$B$26)*1000000</f>
        <v>4.8000000000000001E-2</v>
      </c>
      <c r="Z73" s="203">
        <f>(Constants!$D$26+Constants!$D$27)/1000000000*$B73*IF(ISBLANK(Design!$B$26),Design!$B$25,Design!$B$26)*1000000</f>
        <v>3.0192799999999992E-2</v>
      </c>
      <c r="AA73" s="203">
        <f t="shared" ca="1" si="16"/>
        <v>0.39037951222894329</v>
      </c>
      <c r="AB73" s="204">
        <f ca="1">AA73*Design!$C$12+$A73</f>
        <v>123.73821658698928</v>
      </c>
      <c r="AC73" s="204">
        <f ca="1">Constants!$D$22+Constants!$D$22*Constants!$C$24/100*(AB73-25)</f>
        <v>130.55396689253851</v>
      </c>
      <c r="AD73" s="204">
        <f ca="1">Constants!$D$23+Constants!$D$23*Constants!$C$24/100*(AB73-25)</f>
        <v>106.07509810018755</v>
      </c>
      <c r="AE73" s="203">
        <f ca="1">(1-Constants!$C$19/1000000000*Design!$B$26*1000000) * ($B73+R73*AD73/1000-R73*AC73/1000) - (R73*AD73/1000+R73*(1+($A73-25)*Constants!$C$36/100)*IF(ISBLANK(Design!$B$35),Constants!$C$6/1000,Design!$B$35/1000))</f>
        <v>2.7082499199822627</v>
      </c>
      <c r="AF73" s="308">
        <f ca="1">IF(AE73&gt;Design!$C$22,Design!$C$22,AE73)</f>
        <v>1.7973333333333334</v>
      </c>
      <c r="AG73" s="215">
        <f>Design!$D$6/3</f>
        <v>0.66666666666666663</v>
      </c>
      <c r="AH73" s="216">
        <f ca="1">IF( 100*(Design!$C$22+AG73*(IF(ISBLANK(Design!$B$35),Constants!$C$6,Design!$B$35)/1000*(1+Constants!$C$36/100*(AQ73-25))+AS73/1000))/($B73-AG73*AR73/1000) &gt; Design!$C$29, Design!$C$29, 100*(Design!$C$22+AG73*(IF(ISBLANK(Design!$B$35),Constants!$C$6,Design!$B$35)/1000*(1+Constants!$C$36/100*(AQ73-25))+AS73/1000))/($B73-AG73*AR73/1000) )</f>
        <v>59.806920983778298</v>
      </c>
      <c r="AI73" s="143">
        <f ca="1">IF(($B73-AG73*IF(ISBLANK(Design!$B$35),Constants!$C$6,Design!$B$35)/1000*(1+Constants!$C$36/100*(AQ73-25))-Design!$C$22)/(IF(ISBLANK(Design!$B$34),Design!$B$33,Design!$B$34)/1000000)*AH73/100/(IF(ISBLANK(Design!$B$26),Design!$B$25,Design!$B$26)*1000000)&lt;0, 0, ($B73-AG73*IF(ISBLANK(Design!$B$35),Constants!$C$6,Design!$B$35)/1000*(1+Constants!$C$36/100*(AQ73-25))-Design!$C$22)/(IF(ISBLANK(Design!$B$34),Design!$B$33,Design!$B$34)/1000000)*AH73/100/(IF(ISBLANK(Design!$B$26),Design!$B$25,Design!$B$26)*1000000))</f>
        <v>0.42123610326640704</v>
      </c>
      <c r="AJ73" s="217">
        <f>$B73*Constants!$C$21/1000+IF(ISBLANK(Design!$B$26),Design!$B$25,Design!$B$26)*1000000*(Constants!$D$26+Constants!$D$27)/1000000000*$B73</f>
        <v>3.6616799999999998E-2</v>
      </c>
      <c r="AK73" s="217">
        <f>$B73*AG73*($B73/(Constants!$C$28*1000000000)*IF(ISBLANK(Design!$B$26),Design!$B$25,Design!$B$26)*1000000/2+$B73/(Constants!$C$29*1000000000)*IF(ISBLANK(Design!$B$26),Design!$B$25,Design!$B$26)*1000000/2)</f>
        <v>2.0633888E-2</v>
      </c>
      <c r="AL73" s="217">
        <f t="shared" ca="1" si="17"/>
        <v>3.4361941113190408E-2</v>
      </c>
      <c r="AM73" s="217">
        <f t="shared" ca="1" si="18"/>
        <v>2.3092849315680779E-2</v>
      </c>
      <c r="AN73" s="217">
        <f>2*AG73*Constants!$C$20/1000000000*Constants!$C$25*IF(ISBLANK(Design!$B$26),Design!$B$25,Design!$B$26)*1000000</f>
        <v>2.4E-2</v>
      </c>
      <c r="AO73" s="217">
        <f>(Constants!$D$26+Constants!$D$27)/1000000000*$B73*IF(ISBLANK(Design!$B$26),Design!$B$25,Design!$B$26)*1000000</f>
        <v>3.0192799999999992E-2</v>
      </c>
      <c r="AP73" s="217">
        <f t="shared" ca="1" si="19"/>
        <v>0.16889827842887117</v>
      </c>
      <c r="AQ73" s="218">
        <f ca="1">AP73*Design!$C$12+$A73</f>
        <v>113.10711736458582</v>
      </c>
      <c r="AR73" s="218">
        <f ca="1">Constants!$D$22+Constants!$D$22*Constants!$C$24/100*(AQ73-25)</f>
        <v>125.11084409066794</v>
      </c>
      <c r="AS73" s="218">
        <f ca="1">Constants!$D$23+Constants!$D$23*Constants!$C$24/100*(AQ73-25)</f>
        <v>101.6525608236677</v>
      </c>
      <c r="AT73" s="217">
        <f ca="1">(1-Constants!$C$19/1000000000*Design!$B$26*1000000) * ($B73+AG73*AS73/1000-AG73*AR73/1000) - (AG73*AS73/1000+AG73*(1+($A73-25)*Constants!$C$36/100)*IF(ISBLANK(Design!$B$35),Constants!$C$6/1000,Design!$B$35/1000))</f>
        <v>2.8030856694906885</v>
      </c>
      <c r="AU73" s="311">
        <f ca="1">IF(AT73&gt;Design!$C$22,Design!$C$22,AT73)</f>
        <v>1.7973333333333334</v>
      </c>
    </row>
    <row r="74" spans="1:47" ht="12.75" customHeight="1">
      <c r="A74" s="136">
        <f>Design!$D$13</f>
        <v>105</v>
      </c>
      <c r="B74" s="137">
        <f t="shared" si="10"/>
        <v>3.1375000000000002</v>
      </c>
      <c r="C74" s="138">
        <f>Design!$D$6</f>
        <v>2</v>
      </c>
      <c r="D74" s="193">
        <f ca="1">IF( 100*(Design!$C$22+C74*(IF(ISBLANK(Design!$B$35),Constants!$C$6,Design!$B$35)/1000*(1+Constants!$C$36/100*(M74-25))+O74/1000))/($B74-C74*N74/1000) &gt; Design!$C$29, Design!$C$29, 100*(Design!$C$22+C74*(IF(ISBLANK(Design!$B$35),Constants!$C$6,Design!$B$35)/1000*(1+Constants!$C$36/100*(M74-25))+O74/1000))/($B74-C74*N74/1000) )</f>
        <v>71.497559310167475</v>
      </c>
      <c r="E74" s="139">
        <f ca="1">IF(($B74-C74*IF(ISBLANK(Design!$B$35),Constants!$C$6,Design!$B$35)/1000*(1+Constants!$C$36/100*(M74-25))-Design!$C$22)/(IF(ISBLANK(Design!$B$34),Design!$B$33,Design!$B$34)/1000000)*D74/100/(IF(ISBLANK(Design!$B$26),Design!$B$25,Design!$B$26)*1000000)&lt;0, 0, ($B74-C74*IF(ISBLANK(Design!$B$35),Constants!$C$6,Design!$B$35)/1000*(1+Constants!$C$36/100*(M74-25))-Design!$C$22)/(IF(ISBLANK(Design!$B$34),Design!$B$33,Design!$B$34)/1000000)*D74/100/(IF(ISBLANK(Design!$B$26),Design!$B$25,Design!$B$26)*1000000))</f>
        <v>0.47211257575472609</v>
      </c>
      <c r="F74" s="186">
        <f>$B74*Constants!$C$21/1000+IF(ISBLANK(Design!$B$26),Design!$B$25,Design!$B$26)*1000000*(Constants!$D$26+Constants!$D$27)/1000000000*$B74</f>
        <v>3.5767500000000001E-2</v>
      </c>
      <c r="G74" s="186">
        <f>$B74*C74*($B74/(Constants!$C$28*1000000000)*IF(ISBLANK(Design!$B$26),Design!$B$25,Design!$B$26)*1000000/2+$B74/(Constants!$C$29*1000000000)*IF(ISBLANK(Design!$B$26),Design!$B$25,Design!$B$26)*1000000/2)</f>
        <v>5.906343750000001E-2</v>
      </c>
      <c r="H74" s="186">
        <f t="shared" ca="1" si="11"/>
        <v>0.40100639415291767</v>
      </c>
      <c r="I74" s="186">
        <f t="shared" ca="1" si="12"/>
        <v>0.15986085505385575</v>
      </c>
      <c r="J74" s="186">
        <f>2*C74*Constants!$C$20/1000000000*Constants!$C$25*IF(ISBLANK(Design!$B$26),Design!$B$25,Design!$B$26)*1000000</f>
        <v>7.1999999999999995E-2</v>
      </c>
      <c r="K74" s="186">
        <f>(Constants!$D$26+Constants!$D$27)/1000000000*$B74*IF(ISBLANK(Design!$B$26),Design!$B$25,Design!$B$26)*1000000</f>
        <v>2.9492499999999994E-2</v>
      </c>
      <c r="L74" s="186">
        <f t="shared" ca="1" si="13"/>
        <v>0.75719068670677336</v>
      </c>
      <c r="M74" s="187">
        <f ca="1">L74*Design!$C$12+$A74</f>
        <v>141.34515296192512</v>
      </c>
      <c r="N74" s="187">
        <f ca="1">Constants!$D$22+Constants!$D$22*Constants!$C$24/100*(M74-25)</f>
        <v>139.56871831650568</v>
      </c>
      <c r="O74" s="187">
        <f ca="1">Constants!$D$23+Constants!$D$23*Constants!$C$24/100*(M74-25)</f>
        <v>113.39958363216086</v>
      </c>
      <c r="P74" s="186">
        <f ca="1">(1-Constants!$C$19/1000000000*Design!$B$26*1000000) * ($B74+C74*O74/1000-C74*N74/1000) - (C74*O74/1000+C74*(1+($A74-25)*Constants!$C$36/100)*IF(ISBLANK(Design!$B$35),Constants!$C$6/1000,Design!$B$35/1000))</f>
        <v>2.5322334303038576</v>
      </c>
      <c r="Q74" s="191">
        <f ca="1">IF(P74&gt;Design!$C$22,Design!$C$22,P74)</f>
        <v>1.7973333333333334</v>
      </c>
      <c r="R74" s="140">
        <f>2*Design!$D$6/3</f>
        <v>1.3333333333333333</v>
      </c>
      <c r="S74" s="202">
        <f ca="1">IF( 100*(Design!$C$22+R74*(IF(ISBLANK(Design!$B$35),Constants!$C$6,Design!$B$35)/1000*(1+Constants!$C$36/100*(AB74-25))+AD74/1000))/($B74-R74*AC74/1000) &gt; Design!$C$29, Design!$C$29, 100*(Design!$C$22+R74*(IF(ISBLANK(Design!$B$35),Constants!$C$6,Design!$B$35)/1000*(1+Constants!$C$36/100*(AB74-25))+AD74/1000))/($B74-R74*AC74/1000) )</f>
        <v>65.83525335404974</v>
      </c>
      <c r="T74" s="141">
        <f ca="1">IF(($B74-R74*IF(ISBLANK(Design!$B$35),Constants!$C$6,Design!$B$35)/1000*(1+Constants!$C$36/100*(AB74-25))-Design!$C$22)/(IF(ISBLANK(Design!$B$34),Design!$B$33,Design!$B$34)/1000000)*S74/100/(IF(ISBLANK(Design!$B$26),Design!$B$25,Design!$B$26)*1000000)&lt;0, 0, ($B74-R74*IF(ISBLANK(Design!$B$35),Constants!$C$6,Design!$B$35)/1000*(1+Constants!$C$36/100*(AB74-25))-Design!$C$22)/(IF(ISBLANK(Design!$B$34),Design!$B$33,Design!$B$34)/1000000)*S74/100/(IF(ISBLANK(Design!$B$26),Design!$B$25,Design!$B$26)*1000000))</f>
        <v>0.43707140037053555</v>
      </c>
      <c r="U74" s="203">
        <f>$B74*Constants!$C$21/1000+IF(ISBLANK(Design!$B$26),Design!$B$25,Design!$B$26)*1000000*(Constants!$D$26+Constants!$D$27)/1000000000*$B74</f>
        <v>3.5767500000000001E-2</v>
      </c>
      <c r="V74" s="203">
        <f>$B74*R74*($B74/(Constants!$C$28*1000000000)*IF(ISBLANK(Design!$B$26),Design!$B$25,Design!$B$26)*1000000/2+$B74/(Constants!$C$29*1000000000)*IF(ISBLANK(Design!$B$26),Design!$B$25,Design!$B$26)*1000000/2)</f>
        <v>3.9375625000000004E-2</v>
      </c>
      <c r="W74" s="203">
        <f t="shared" ca="1" si="14"/>
        <v>0.15406084909188775</v>
      </c>
      <c r="X74" s="203">
        <f t="shared" ca="1" si="15"/>
        <v>7.9948805679815146E-2</v>
      </c>
      <c r="Y74" s="203">
        <f>2*R74*Constants!$C$20/1000000000*Constants!$C$25*IF(ISBLANK(Design!$B$26),Design!$B$25,Design!$B$26)*1000000</f>
        <v>4.8000000000000001E-2</v>
      </c>
      <c r="Z74" s="203">
        <f>(Constants!$D$26+Constants!$D$27)/1000000000*$B74*IF(ISBLANK(Design!$B$26),Design!$B$25,Design!$B$26)*1000000</f>
        <v>2.9492499999999994E-2</v>
      </c>
      <c r="AA74" s="203">
        <f t="shared" ca="1" si="16"/>
        <v>0.38664527977170288</v>
      </c>
      <c r="AB74" s="204">
        <f ca="1">AA74*Design!$C$12+$A74</f>
        <v>123.55897342904174</v>
      </c>
      <c r="AC74" s="204">
        <f ca="1">Constants!$D$22+Constants!$D$22*Constants!$C$24/100*(AB74-25)</f>
        <v>130.46219439566937</v>
      </c>
      <c r="AD74" s="204">
        <f ca="1">Constants!$D$23+Constants!$D$23*Constants!$C$24/100*(AB74-25)</f>
        <v>106.00053294648137</v>
      </c>
      <c r="AE74" s="203">
        <f ca="1">(1-Constants!$C$19/1000000000*Design!$B$26*1000000) * ($B74+R74*AD74/1000-R74*AC74/1000) - (R74*AD74/1000+R74*(1+($A74-25)*Constants!$C$36/100)*IF(ISBLANK(Design!$B$35),Constants!$C$6/1000,Design!$B$35/1000))</f>
        <v>2.6413199889989998</v>
      </c>
      <c r="AF74" s="308">
        <f ca="1">IF(AE74&gt;Design!$C$22,Design!$C$22,AE74)</f>
        <v>1.7973333333333334</v>
      </c>
      <c r="AG74" s="215">
        <f>Design!$D$6/3</f>
        <v>0.66666666666666663</v>
      </c>
      <c r="AH74" s="216">
        <f ca="1">IF( 100*(Design!$C$22+AG74*(IF(ISBLANK(Design!$B$35),Constants!$C$6,Design!$B$35)/1000*(1+Constants!$C$36/100*(AQ74-25))+AS74/1000))/($B74-AG74*AR74/1000) &gt; Design!$C$29, Design!$C$29, 100*(Design!$C$22+AG74*(IF(ISBLANK(Design!$B$35),Constants!$C$6,Design!$B$35)/1000*(1+Constants!$C$36/100*(AQ74-25))+AS74/1000))/($B74-AG74*AR74/1000) )</f>
        <v>61.263734420883559</v>
      </c>
      <c r="AI74" s="143">
        <f ca="1">IF(($B74-AG74*IF(ISBLANK(Design!$B$35),Constants!$C$6,Design!$B$35)/1000*(1+Constants!$C$36/100*(AQ74-25))-Design!$C$22)/(IF(ISBLANK(Design!$B$34),Design!$B$33,Design!$B$34)/1000000)*AH74/100/(IF(ISBLANK(Design!$B$26),Design!$B$25,Design!$B$26)*1000000)&lt;0, 0, ($B74-AG74*IF(ISBLANK(Design!$B$35),Constants!$C$6,Design!$B$35)/1000*(1+Constants!$C$36/100*(AQ74-25))-Design!$C$22)/(IF(ISBLANK(Design!$B$34),Design!$B$33,Design!$B$34)/1000000)*AH74/100/(IF(ISBLANK(Design!$B$26),Design!$B$25,Design!$B$26)*1000000))</f>
        <v>0.40867676781015871</v>
      </c>
      <c r="AJ74" s="217">
        <f>$B74*Constants!$C$21/1000+IF(ISBLANK(Design!$B$26),Design!$B$25,Design!$B$26)*1000000*(Constants!$D$26+Constants!$D$27)/1000000000*$B74</f>
        <v>3.5767500000000001E-2</v>
      </c>
      <c r="AK74" s="217">
        <f>$B74*AG74*($B74/(Constants!$C$28*1000000000)*IF(ISBLANK(Design!$B$26),Design!$B$25,Design!$B$26)*1000000/2+$B74/(Constants!$C$29*1000000000)*IF(ISBLANK(Design!$B$26),Design!$B$25,Design!$B$26)*1000000/2)</f>
        <v>1.9687812500000002E-2</v>
      </c>
      <c r="AL74" s="217">
        <f t="shared" ca="1" si="17"/>
        <v>3.5114196582304309E-2</v>
      </c>
      <c r="AM74" s="217">
        <f t="shared" ca="1" si="18"/>
        <v>2.2202251581088416E-2</v>
      </c>
      <c r="AN74" s="217">
        <f>2*AG74*Constants!$C$20/1000000000*Constants!$C$25*IF(ISBLANK(Design!$B$26),Design!$B$25,Design!$B$26)*1000000</f>
        <v>2.4E-2</v>
      </c>
      <c r="AO74" s="217">
        <f>(Constants!$D$26+Constants!$D$27)/1000000000*$B74*IF(ISBLANK(Design!$B$26),Design!$B$25,Design!$B$26)*1000000</f>
        <v>2.9492499999999994E-2</v>
      </c>
      <c r="AP74" s="217">
        <f t="shared" ca="1" si="19"/>
        <v>0.16626426066339275</v>
      </c>
      <c r="AQ74" s="218">
        <f ca="1">AP74*Design!$C$12+$A74</f>
        <v>112.98068451184285</v>
      </c>
      <c r="AR74" s="218">
        <f ca="1">Constants!$D$22+Constants!$D$22*Constants!$C$24/100*(AQ74-25)</f>
        <v>125.04611047006354</v>
      </c>
      <c r="AS74" s="218">
        <f ca="1">Constants!$D$23+Constants!$D$23*Constants!$C$24/100*(AQ74-25)</f>
        <v>101.59996475692662</v>
      </c>
      <c r="AT74" s="217">
        <f ca="1">(1-Constants!$C$19/1000000000*Design!$B$26*1000000) * ($B74+AG74*AS74/1000-AG74*AR74/1000) - (AG74*AS74/1000+AG74*(1+($A74-25)*Constants!$C$36/100)*IF(ISBLANK(Design!$B$35),Constants!$C$6/1000,Design!$B$35/1000))</f>
        <v>2.7360780160675002</v>
      </c>
      <c r="AU74" s="311">
        <f ca="1">IF(AT74&gt;Design!$C$22,Design!$C$22,AT74)</f>
        <v>1.7973333333333334</v>
      </c>
    </row>
    <row r="75" spans="1:47" ht="12.75" customHeight="1">
      <c r="A75" s="136">
        <f>Design!$D$13</f>
        <v>105</v>
      </c>
      <c r="B75" s="137">
        <f t="shared" si="10"/>
        <v>3.0630000000000002</v>
      </c>
      <c r="C75" s="138">
        <f>Design!$D$6</f>
        <v>2</v>
      </c>
      <c r="D75" s="193">
        <f ca="1">IF( 100*(Design!$C$22+C75*(IF(ISBLANK(Design!$B$35),Constants!$C$6,Design!$B$35)/1000*(1+Constants!$C$36/100*(M75-25))+O75/1000))/($B75-C75*N75/1000) &gt; Design!$C$29, Design!$C$29, 100*(Design!$C$22+C75*(IF(ISBLANK(Design!$B$35),Constants!$C$6,Design!$B$35)/1000*(1+Constants!$C$36/100*(M75-25))+O75/1000))/($B75-C75*N75/1000) )</f>
        <v>73.396905155940402</v>
      </c>
      <c r="E75" s="139">
        <f ca="1">IF(($B75-C75*IF(ISBLANK(Design!$B$35),Constants!$C$6,Design!$B$35)/1000*(1+Constants!$C$36/100*(M75-25))-Design!$C$22)/(IF(ISBLANK(Design!$B$34),Design!$B$33,Design!$B$34)/1000000)*D75/100/(IF(ISBLANK(Design!$B$26),Design!$B$25,Design!$B$26)*1000000)&lt;0, 0, ($B75-C75*IF(ISBLANK(Design!$B$35),Constants!$C$6,Design!$B$35)/1000*(1+Constants!$C$36/100*(M75-25))-Design!$C$22)/(IF(ISBLANK(Design!$B$34),Design!$B$33,Design!$B$34)/1000000)*D75/100/(IF(ISBLANK(Design!$B$26),Design!$B$25,Design!$B$26)*1000000))</f>
        <v>0.45731859855023504</v>
      </c>
      <c r="F75" s="186">
        <f>$B75*Constants!$C$21/1000+IF(ISBLANK(Design!$B$26),Design!$B$25,Design!$B$26)*1000000*(Constants!$D$26+Constants!$D$27)/1000000000*$B75</f>
        <v>3.4918199999999996E-2</v>
      </c>
      <c r="G75" s="186">
        <f>$B75*C75*($B75/(Constants!$C$28*1000000000)*IF(ISBLANK(Design!$B$26),Design!$B$25,Design!$B$26)*1000000/2+$B75/(Constants!$C$29*1000000000)*IF(ISBLANK(Design!$B$26),Design!$B$25,Design!$B$26)*1000000/2)</f>
        <v>5.6291814000000009E-2</v>
      </c>
      <c r="H75" s="186">
        <f t="shared" ca="1" si="11"/>
        <v>0.41118151821139054</v>
      </c>
      <c r="I75" s="186">
        <f t="shared" ca="1" si="12"/>
        <v>0.1490349069059721</v>
      </c>
      <c r="J75" s="186">
        <f>2*C75*Constants!$C$20/1000000000*Constants!$C$25*IF(ISBLANK(Design!$B$26),Design!$B$25,Design!$B$26)*1000000</f>
        <v>7.1999999999999995E-2</v>
      </c>
      <c r="K75" s="186">
        <f>(Constants!$D$26+Constants!$D$27)/1000000000*$B75*IF(ISBLANK(Design!$B$26),Design!$B$25,Design!$B$26)*1000000</f>
        <v>2.8792199999999993E-2</v>
      </c>
      <c r="L75" s="186">
        <f t="shared" ca="1" si="13"/>
        <v>0.75221863911736264</v>
      </c>
      <c r="M75" s="187">
        <f ca="1">L75*Design!$C$12+$A75</f>
        <v>141.10649467763341</v>
      </c>
      <c r="N75" s="187">
        <f ca="1">Constants!$D$22+Constants!$D$22*Constants!$C$24/100*(M75-25)</f>
        <v>139.4465252749483</v>
      </c>
      <c r="O75" s="187">
        <f ca="1">Constants!$D$23+Constants!$D$23*Constants!$C$24/100*(M75-25)</f>
        <v>113.3003017858955</v>
      </c>
      <c r="P75" s="186">
        <f ca="1">(1-Constants!$C$19/1000000000*Design!$B$26*1000000) * ($B75+C75*O75/1000-C75*N75/1000) - (C75*O75/1000+C75*(1+($A75-25)*Constants!$C$36/100)*IF(ISBLANK(Design!$B$35),Constants!$C$6/1000,Design!$B$35/1000))</f>
        <v>2.4654232341479143</v>
      </c>
      <c r="Q75" s="191">
        <f ca="1">IF(P75&gt;Design!$C$22,Design!$C$22,P75)</f>
        <v>1.7973333333333334</v>
      </c>
      <c r="R75" s="140">
        <f>2*Design!$D$6/3</f>
        <v>1.3333333333333333</v>
      </c>
      <c r="S75" s="202">
        <f ca="1">IF( 100*(Design!$C$22+R75*(IF(ISBLANK(Design!$B$35),Constants!$C$6,Design!$B$35)/1000*(1+Constants!$C$36/100*(AB75-25))+AD75/1000))/($B75-R75*AC75/1000) &gt; Design!$C$29, Design!$C$29, 100*(Design!$C$22+R75*(IF(ISBLANK(Design!$B$35),Constants!$C$6,Design!$B$35)/1000*(1+Constants!$C$36/100*(AB75-25))+AD75/1000))/($B75-R75*AC75/1000) )</f>
        <v>67.526506182891296</v>
      </c>
      <c r="T75" s="141">
        <f ca="1">IF(($B75-R75*IF(ISBLANK(Design!$B$35),Constants!$C$6,Design!$B$35)/1000*(1+Constants!$C$36/100*(AB75-25))-Design!$C$22)/(IF(ISBLANK(Design!$B$34),Design!$B$33,Design!$B$34)/1000000)*S75/100/(IF(ISBLANK(Design!$B$26),Design!$B$25,Design!$B$26)*1000000)&lt;0, 0, ($B75-R75*IF(ISBLANK(Design!$B$35),Constants!$C$6,Design!$B$35)/1000*(1+Constants!$C$36/100*(AB75-25))-Design!$C$22)/(IF(ISBLANK(Design!$B$34),Design!$B$33,Design!$B$34)/1000000)*S75/100/(IF(ISBLANK(Design!$B$26),Design!$B$25,Design!$B$26)*1000000))</f>
        <v>0.42314787667613613</v>
      </c>
      <c r="U75" s="203">
        <f>$B75*Constants!$C$21/1000+IF(ISBLANK(Design!$B$26),Design!$B$25,Design!$B$26)*1000000*(Constants!$D$26+Constants!$D$27)/1000000000*$B75</f>
        <v>3.4918199999999996E-2</v>
      </c>
      <c r="V75" s="203">
        <f>$B75*R75*($B75/(Constants!$C$28*1000000000)*IF(ISBLANK(Design!$B$26),Design!$B$25,Design!$B$26)*1000000/2+$B75/(Constants!$C$29*1000000000)*IF(ISBLANK(Design!$B$26),Design!$B$25,Design!$B$26)*1000000/2)</f>
        <v>3.7527876000000002E-2</v>
      </c>
      <c r="W75" s="203">
        <f t="shared" ca="1" si="14"/>
        <v>0.15782083099214439</v>
      </c>
      <c r="X75" s="203">
        <f t="shared" ca="1" si="15"/>
        <v>7.5896030598023759E-2</v>
      </c>
      <c r="Y75" s="203">
        <f>2*R75*Constants!$C$20/1000000000*Constants!$C$25*IF(ISBLANK(Design!$B$26),Design!$B$25,Design!$B$26)*1000000</f>
        <v>4.8000000000000001E-2</v>
      </c>
      <c r="Z75" s="203">
        <f>(Constants!$D$26+Constants!$D$27)/1000000000*$B75*IF(ISBLANK(Design!$B$26),Design!$B$25,Design!$B$26)*1000000</f>
        <v>2.8792199999999993E-2</v>
      </c>
      <c r="AA75" s="203">
        <f t="shared" ca="1" si="16"/>
        <v>0.38295513759016814</v>
      </c>
      <c r="AB75" s="204">
        <f ca="1">AA75*Design!$C$12+$A75</f>
        <v>123.38184660432808</v>
      </c>
      <c r="AC75" s="204">
        <f ca="1">Constants!$D$22+Constants!$D$22*Constants!$C$24/100*(AB75-25)</f>
        <v>130.37150546141598</v>
      </c>
      <c r="AD75" s="204">
        <f ca="1">Constants!$D$23+Constants!$D$23*Constants!$C$24/100*(AB75-25)</f>
        <v>105.92684818740048</v>
      </c>
      <c r="AE75" s="203">
        <f ca="1">(1-Constants!$C$19/1000000000*Design!$B$26*1000000) * ($B75+R75*AD75/1000-R75*AC75/1000) - (R75*AD75/1000+R75*(1+($A75-25)*Constants!$C$36/100)*IF(ISBLANK(Design!$B$35),Constants!$C$6/1000,Design!$B$35/1000))</f>
        <v>2.5743886403546479</v>
      </c>
      <c r="AF75" s="308">
        <f ca="1">IF(AE75&gt;Design!$C$22,Design!$C$22,AE75)</f>
        <v>1.7973333333333334</v>
      </c>
      <c r="AG75" s="215">
        <f>Design!$D$6/3</f>
        <v>0.66666666666666663</v>
      </c>
      <c r="AH75" s="216">
        <f ca="1">IF( 100*(Design!$C$22+AG75*(IF(ISBLANK(Design!$B$35),Constants!$C$6,Design!$B$35)/1000*(1+Constants!$C$36/100*(AQ75-25))+AS75/1000))/($B75-AG75*AR75/1000) &gt; Design!$C$29, Design!$C$29, 100*(Design!$C$22+AG75*(IF(ISBLANK(Design!$B$35),Constants!$C$6,Design!$B$35)/1000*(1+Constants!$C$36/100*(AQ75-25))+AS75/1000))/($B75-AG75*AR75/1000) )</f>
        <v>62.79337112764351</v>
      </c>
      <c r="AI75" s="143">
        <f ca="1">IF(($B75-AG75*IF(ISBLANK(Design!$B$35),Constants!$C$6,Design!$B$35)/1000*(1+Constants!$C$36/100*(AQ75-25))-Design!$C$22)/(IF(ISBLANK(Design!$B$34),Design!$B$33,Design!$B$34)/1000000)*AH75/100/(IF(ISBLANK(Design!$B$26),Design!$B$25,Design!$B$26)*1000000)&lt;0, 0, ($B75-AG75*IF(ISBLANK(Design!$B$35),Constants!$C$6,Design!$B$35)/1000*(1+Constants!$C$36/100*(AQ75-25))-Design!$C$22)/(IF(ISBLANK(Design!$B$34),Design!$B$33,Design!$B$34)/1000000)*AH75/100/(IF(ISBLANK(Design!$B$26),Design!$B$25,Design!$B$26)*1000000))</f>
        <v>0.39549079520952479</v>
      </c>
      <c r="AJ75" s="217">
        <f>$B75*Constants!$C$21/1000+IF(ISBLANK(Design!$B$26),Design!$B$25,Design!$B$26)*1000000*(Constants!$D$26+Constants!$D$27)/1000000000*$B75</f>
        <v>3.4918199999999996E-2</v>
      </c>
      <c r="AK75" s="217">
        <f>$B75*AG75*($B75/(Constants!$C$28*1000000000)*IF(ISBLANK(Design!$B$26),Design!$B$25,Design!$B$26)*1000000/2+$B75/(Constants!$C$29*1000000000)*IF(ISBLANK(Design!$B$26),Design!$B$25,Design!$B$26)*1000000/2)</f>
        <v>1.8763938000000001E-2</v>
      </c>
      <c r="AL75" s="217">
        <f t="shared" ca="1" si="17"/>
        <v>3.5903095770890896E-2</v>
      </c>
      <c r="AM75" s="217">
        <f t="shared" ca="1" si="18"/>
        <v>2.1273474185687341E-2</v>
      </c>
      <c r="AN75" s="217">
        <f>2*AG75*Constants!$C$20/1000000000*Constants!$C$25*IF(ISBLANK(Design!$B$26),Design!$B$25,Design!$B$26)*1000000</f>
        <v>2.4E-2</v>
      </c>
      <c r="AO75" s="217">
        <f>(Constants!$D$26+Constants!$D$27)/1000000000*$B75*IF(ISBLANK(Design!$B$26),Design!$B$25,Design!$B$26)*1000000</f>
        <v>2.8792199999999993E-2</v>
      </c>
      <c r="AP75" s="217">
        <f t="shared" ca="1" si="19"/>
        <v>0.16365090795657822</v>
      </c>
      <c r="AQ75" s="218">
        <f ca="1">AP75*Design!$C$12+$A75</f>
        <v>112.85524358191576</v>
      </c>
      <c r="AR75" s="218">
        <f ca="1">Constants!$D$22+Constants!$D$22*Constants!$C$24/100*(AQ75-25)</f>
        <v>124.98188471394087</v>
      </c>
      <c r="AS75" s="218">
        <f ca="1">Constants!$D$23+Constants!$D$23*Constants!$C$24/100*(AQ75-25)</f>
        <v>101.54778133007696</v>
      </c>
      <c r="AT75" s="217">
        <f ca="1">(1-Constants!$C$19/1000000000*Design!$B$26*1000000) * ($B75+AG75*AS75/1000-AG75*AR75/1000) - (AG75*AS75/1000+AG75*(1+($A75-25)*Constants!$C$36/100)*IF(ISBLANK(Design!$B$35),Constants!$C$6/1000,Design!$B$35/1000))</f>
        <v>2.6690700304162971</v>
      </c>
      <c r="AU75" s="311">
        <f ca="1">IF(AT75&gt;Design!$C$22,Design!$C$22,AT75)</f>
        <v>1.7973333333333334</v>
      </c>
    </row>
    <row r="76" spans="1:47" ht="12.75" customHeight="1">
      <c r="A76" s="136">
        <f>Design!$D$13</f>
        <v>105</v>
      </c>
      <c r="B76" s="137">
        <f t="shared" si="10"/>
        <v>2.9885000000000002</v>
      </c>
      <c r="C76" s="138">
        <f>Design!$D$6</f>
        <v>2</v>
      </c>
      <c r="D76" s="193">
        <f ca="1">IF( 100*(Design!$C$22+C76*(IF(ISBLANK(Design!$B$35),Constants!$C$6,Design!$B$35)/1000*(1+Constants!$C$36/100*(M76-25))+O76/1000))/($B76-C76*N76/1000) &gt; Design!$C$29, Design!$C$29, 100*(Design!$C$22+C76*(IF(ISBLANK(Design!$B$35),Constants!$C$6,Design!$B$35)/1000*(1+Constants!$C$36/100*(M76-25))+O76/1000))/($B76-C76*N76/1000) )</f>
        <v>75.400550577535171</v>
      </c>
      <c r="E76" s="139">
        <f ca="1">IF(($B76-C76*IF(ISBLANK(Design!$B$35),Constants!$C$6,Design!$B$35)/1000*(1+Constants!$C$36/100*(M76-25))-Design!$C$22)/(IF(ISBLANK(Design!$B$34),Design!$B$33,Design!$B$34)/1000000)*D76/100/(IF(ISBLANK(Design!$B$26),Design!$B$25,Design!$B$26)*1000000)&lt;0, 0, ($B76-C76*IF(ISBLANK(Design!$B$35),Constants!$C$6,Design!$B$35)/1000*(1+Constants!$C$36/100*(M76-25))-Design!$C$22)/(IF(ISBLANK(Design!$B$34),Design!$B$33,Design!$B$34)/1000000)*D76/100/(IF(ISBLANK(Design!$B$26),Design!$B$25,Design!$B$26)*1000000))</f>
        <v>0.44172080076474129</v>
      </c>
      <c r="F76" s="186">
        <f>$B76*Constants!$C$21/1000+IF(ISBLANK(Design!$B$26),Design!$B$25,Design!$B$26)*1000000*(Constants!$D$26+Constants!$D$27)/1000000000*$B76</f>
        <v>3.4068899999999999E-2</v>
      </c>
      <c r="G76" s="186">
        <f>$B76*C76*($B76/(Constants!$C$28*1000000000)*IF(ISBLANK(Design!$B$26),Design!$B$25,Design!$B$26)*1000000/2+$B76/(Constants!$C$29*1000000000)*IF(ISBLANK(Design!$B$26),Design!$B$25,Design!$B$26)*1000000/2)</f>
        <v>5.3586793500000007E-2</v>
      </c>
      <c r="H76" s="186">
        <f t="shared" ca="1" si="11"/>
        <v>0.4219186257723434</v>
      </c>
      <c r="I76" s="186">
        <f t="shared" ca="1" si="12"/>
        <v>0.13765106243368641</v>
      </c>
      <c r="J76" s="186">
        <f>2*C76*Constants!$C$20/1000000000*Constants!$C$25*IF(ISBLANK(Design!$B$26),Design!$B$25,Design!$B$26)*1000000</f>
        <v>7.1999999999999995E-2</v>
      </c>
      <c r="K76" s="186">
        <f>(Constants!$D$26+Constants!$D$27)/1000000000*$B76*IF(ISBLANK(Design!$B$26),Design!$B$25,Design!$B$26)*1000000</f>
        <v>2.8091899999999996E-2</v>
      </c>
      <c r="L76" s="186">
        <f t="shared" ca="1" si="13"/>
        <v>0.74731728170602973</v>
      </c>
      <c r="M76" s="187">
        <f ca="1">L76*Design!$C$12+$A76</f>
        <v>140.87122952188943</v>
      </c>
      <c r="N76" s="187">
        <f ca="1">Constants!$D$22+Constants!$D$22*Constants!$C$24/100*(M76-25)</f>
        <v>139.32606951520739</v>
      </c>
      <c r="O76" s="187">
        <f ca="1">Constants!$D$23+Constants!$D$23*Constants!$C$24/100*(M76-25)</f>
        <v>113.202431481106</v>
      </c>
      <c r="P76" s="186">
        <f ca="1">(1-Constants!$C$19/1000000000*Design!$B$26*1000000) * ($B76+C76*O76/1000-C76*N76/1000) - (C76*O76/1000+C76*(1+($A76-25)*Constants!$C$36/100)*IF(ISBLANK(Design!$B$35),Constants!$C$6/1000,Design!$B$35/1000))</f>
        <v>2.3986096285764056</v>
      </c>
      <c r="Q76" s="191">
        <f ca="1">IF(P76&gt;Design!$C$22,Design!$C$22,P76)</f>
        <v>1.7973333333333334</v>
      </c>
      <c r="R76" s="140">
        <f>2*Design!$D$6/3</f>
        <v>1.3333333333333333</v>
      </c>
      <c r="S76" s="202">
        <f ca="1">IF( 100*(Design!$C$22+R76*(IF(ISBLANK(Design!$B$35),Constants!$C$6,Design!$B$35)/1000*(1+Constants!$C$36/100*(AB76-25))+AD76/1000))/($B76-R76*AC76/1000) &gt; Design!$C$29, Design!$C$29, 100*(Design!$C$22+R76*(IF(ISBLANK(Design!$B$35),Constants!$C$6,Design!$B$35)/1000*(1+Constants!$C$36/100*(AB76-25))+AD76/1000))/($B76-R76*AC76/1000) )</f>
        <v>69.307219737145843</v>
      </c>
      <c r="T76" s="141">
        <f ca="1">IF(($B76-R76*IF(ISBLANK(Design!$B$35),Constants!$C$6,Design!$B$35)/1000*(1+Constants!$C$36/100*(AB76-25))-Design!$C$22)/(IF(ISBLANK(Design!$B$34),Design!$B$33,Design!$B$34)/1000000)*S76/100/(IF(ISBLANK(Design!$B$26),Design!$B$25,Design!$B$26)*1000000)&lt;0, 0, ($B76-R76*IF(ISBLANK(Design!$B$35),Constants!$C$6,Design!$B$35)/1000*(1+Constants!$C$36/100*(AB76-25))-Design!$C$22)/(IF(ISBLANK(Design!$B$34),Design!$B$33,Design!$B$34)/1000000)*S76/100/(IF(ISBLANK(Design!$B$26),Design!$B$25,Design!$B$26)*1000000))</f>
        <v>0.40849172402043565</v>
      </c>
      <c r="U76" s="203">
        <f>$B76*Constants!$C$21/1000+IF(ISBLANK(Design!$B$26),Design!$B$25,Design!$B$26)*1000000*(Constants!$D$26+Constants!$D$27)/1000000000*$B76</f>
        <v>3.4068899999999999E-2</v>
      </c>
      <c r="V76" s="203">
        <f>$B76*R76*($B76/(Constants!$C$28*1000000000)*IF(ISBLANK(Design!$B$26),Design!$B$25,Design!$B$26)*1000000/2+$B76/(Constants!$C$29*1000000000)*IF(ISBLANK(Design!$B$26),Design!$B$25,Design!$B$26)*1000000/2)</f>
        <v>3.5724529000000005E-2</v>
      </c>
      <c r="W76" s="203">
        <f t="shared" ca="1" si="14"/>
        <v>0.16177961713803551</v>
      </c>
      <c r="X76" s="203">
        <f t="shared" ca="1" si="15"/>
        <v>7.164428552549644E-2</v>
      </c>
      <c r="Y76" s="203">
        <f>2*R76*Constants!$C$20/1000000000*Constants!$C$25*IF(ISBLANK(Design!$B$26),Design!$B$25,Design!$B$26)*1000000</f>
        <v>4.8000000000000001E-2</v>
      </c>
      <c r="Z76" s="203">
        <f>(Constants!$D$26+Constants!$D$27)/1000000000*$B76*IF(ISBLANK(Design!$B$26),Design!$B$25,Design!$B$26)*1000000</f>
        <v>2.8091899999999996E-2</v>
      </c>
      <c r="AA76" s="203">
        <f t="shared" ca="1" si="16"/>
        <v>0.37930923166353198</v>
      </c>
      <c r="AB76" s="204">
        <f ca="1">AA76*Design!$C$12+$A76</f>
        <v>123.20684311984954</v>
      </c>
      <c r="AC76" s="204">
        <f ca="1">Constants!$D$22+Constants!$D$22*Constants!$C$24/100*(AB76-25)</f>
        <v>130.28190367736295</v>
      </c>
      <c r="AD76" s="204">
        <f ca="1">Constants!$D$23+Constants!$D$23*Constants!$C$24/100*(AB76-25)</f>
        <v>105.8540467378574</v>
      </c>
      <c r="AE76" s="203">
        <f ca="1">(1-Constants!$C$19/1000000000*Design!$B$26*1000000) * ($B76+R76*AD76/1000-R76*AC76/1000) - (R76*AD76/1000+R76*(1+($A76-25)*Constants!$C$36/100)*IF(ISBLANK(Design!$B$35),Constants!$C$6/1000,Design!$B$35/1000))</f>
        <v>2.5074558693554505</v>
      </c>
      <c r="AF76" s="308">
        <f ca="1">IF(AE76&gt;Design!$C$22,Design!$C$22,AE76)</f>
        <v>1.7973333333333334</v>
      </c>
      <c r="AG76" s="215">
        <f>Design!$D$6/3</f>
        <v>0.66666666666666663</v>
      </c>
      <c r="AH76" s="216">
        <f ca="1">IF( 100*(Design!$C$22+AG76*(IF(ISBLANK(Design!$B$35),Constants!$C$6,Design!$B$35)/1000*(1+Constants!$C$36/100*(AQ76-25))+AS76/1000))/($B76-AG76*AR76/1000) &gt; Design!$C$29, Design!$C$29, 100*(Design!$C$22+AG76*(IF(ISBLANK(Design!$B$35),Constants!$C$6,Design!$B$35)/1000*(1+Constants!$C$36/100*(AQ76-25))+AS76/1000))/($B76-AG76*AR76/1000) )</f>
        <v>64.401430862389276</v>
      </c>
      <c r="AI76" s="143">
        <f ca="1">IF(($B76-AG76*IF(ISBLANK(Design!$B$35),Constants!$C$6,Design!$B$35)/1000*(1+Constants!$C$36/100*(AQ76-25))-Design!$C$22)/(IF(ISBLANK(Design!$B$34),Design!$B$33,Design!$B$34)/1000000)*AH76/100/(IF(ISBLANK(Design!$B$26),Design!$B$25,Design!$B$26)*1000000)&lt;0, 0, ($B76-AG76*IF(ISBLANK(Design!$B$35),Constants!$C$6,Design!$B$35)/1000*(1+Constants!$C$36/100*(AQ76-25))-Design!$C$22)/(IF(ISBLANK(Design!$B$34),Design!$B$33,Design!$B$34)/1000000)*AH76/100/(IF(ISBLANK(Design!$B$26),Design!$B$25,Design!$B$26)*1000000))</f>
        <v>0.38162999047671442</v>
      </c>
      <c r="AJ76" s="217">
        <f>$B76*Constants!$C$21/1000+IF(ISBLANK(Design!$B$26),Design!$B$25,Design!$B$26)*1000000*(Constants!$D$26+Constants!$D$27)/1000000000*$B76</f>
        <v>3.4068899999999999E-2</v>
      </c>
      <c r="AK76" s="217">
        <f>$B76*AG76*($B76/(Constants!$C$28*1000000000)*IF(ISBLANK(Design!$B$26),Design!$B$25,Design!$B$26)*1000000/2+$B76/(Constants!$C$29*1000000000)*IF(ISBLANK(Design!$B$26),Design!$B$25,Design!$B$26)*1000000/2)</f>
        <v>1.7862264500000002E-2</v>
      </c>
      <c r="AL76" s="217">
        <f t="shared" ca="1" si="17"/>
        <v>3.6731544160386105E-2</v>
      </c>
      <c r="AM76" s="217">
        <f t="shared" ca="1" si="18"/>
        <v>2.0303747864216241E-2</v>
      </c>
      <c r="AN76" s="217">
        <f>2*AG76*Constants!$C$20/1000000000*Constants!$C$25*IF(ISBLANK(Design!$B$26),Design!$B$25,Design!$B$26)*1000000</f>
        <v>2.4E-2</v>
      </c>
      <c r="AO76" s="217">
        <f>(Constants!$D$26+Constants!$D$27)/1000000000*$B76*IF(ISBLANK(Design!$B$26),Design!$B$25,Design!$B$26)*1000000</f>
        <v>2.8091899999999996E-2</v>
      </c>
      <c r="AP76" s="217">
        <f t="shared" ca="1" si="19"/>
        <v>0.16105835652460235</v>
      </c>
      <c r="AQ76" s="218">
        <f ca="1">AP76*Design!$C$12+$A76</f>
        <v>112.73080111318092</v>
      </c>
      <c r="AR76" s="218">
        <f ca="1">Constants!$D$22+Constants!$D$22*Constants!$C$24/100*(AQ76-25)</f>
        <v>124.91817016994864</v>
      </c>
      <c r="AS76" s="218">
        <f ca="1">Constants!$D$23+Constants!$D$23*Constants!$C$24/100*(AQ76-25)</f>
        <v>101.49601326308326</v>
      </c>
      <c r="AT76" s="217">
        <f ca="1">(1-Constants!$C$19/1000000000*Design!$B$26*1000000) * ($B76+AG76*AS76/1000-AG76*AR76/1000) - (AG76*AS76/1000+AG76*(1+($A76-25)*Constants!$C$36/100)*IF(ISBLANK(Design!$B$35),Constants!$C$6/1000,Design!$B$35/1000))</f>
        <v>2.6020617103471588</v>
      </c>
      <c r="AU76" s="311">
        <f ca="1">IF(AT76&gt;Design!$C$22,Design!$C$22,AT76)</f>
        <v>1.7973333333333334</v>
      </c>
    </row>
    <row r="77" spans="1:47" ht="12.75" customHeight="1">
      <c r="A77" s="136">
        <f>Design!$D$13</f>
        <v>105</v>
      </c>
      <c r="B77" s="137">
        <f t="shared" si="10"/>
        <v>2.9140000000000001</v>
      </c>
      <c r="C77" s="138">
        <f>Design!$D$6</f>
        <v>2</v>
      </c>
      <c r="D77" s="193">
        <f ca="1">IF( 100*(Design!$C$22+C77*(IF(ISBLANK(Design!$B$35),Constants!$C$6,Design!$B$35)/1000*(1+Constants!$C$36/100*(M77-25))+O77/1000))/($B77-C77*N77/1000) &gt; Design!$C$29, Design!$C$29, 100*(Design!$C$22+C77*(IF(ISBLANK(Design!$B$35),Constants!$C$6,Design!$B$35)/1000*(1+Constants!$C$36/100*(M77-25))+O77/1000))/($B77-C77*N77/1000) )</f>
        <v>77.517320282819057</v>
      </c>
      <c r="E77" s="139">
        <f ca="1">IF(($B77-C77*IF(ISBLANK(Design!$B$35),Constants!$C$6,Design!$B$35)/1000*(1+Constants!$C$36/100*(M77-25))-Design!$C$22)/(IF(ISBLANK(Design!$B$34),Design!$B$33,Design!$B$34)/1000000)*D77/100/(IF(ISBLANK(Design!$B$26),Design!$B$25,Design!$B$26)*1000000)&lt;0, 0, ($B77-C77*IF(ISBLANK(Design!$B$35),Constants!$C$6,Design!$B$35)/1000*(1+Constants!$C$36/100*(M77-25))-Design!$C$22)/(IF(ISBLANK(Design!$B$34),Design!$B$33,Design!$B$34)/1000000)*D77/100/(IF(ISBLANK(Design!$B$26),Design!$B$25,Design!$B$26)*1000000))</f>
        <v>0.42525105274162545</v>
      </c>
      <c r="F77" s="186">
        <f>$B77*Constants!$C$21/1000+IF(ISBLANK(Design!$B$26),Design!$B$25,Design!$B$26)*1000000*(Constants!$D$26+Constants!$D$27)/1000000000*$B77</f>
        <v>3.3219600000000002E-2</v>
      </c>
      <c r="G77" s="186">
        <f>$B77*C77*($B77/(Constants!$C$28*1000000000)*IF(ISBLANK(Design!$B$26),Design!$B$25,Design!$B$26)*1000000/2+$B77/(Constants!$C$29*1000000000)*IF(ISBLANK(Design!$B$26),Design!$B$25,Design!$B$26)*1000000/2)</f>
        <v>5.0948376000000004E-2</v>
      </c>
      <c r="H77" s="186">
        <f t="shared" ca="1" si="11"/>
        <v>0.43326543677502422</v>
      </c>
      <c r="I77" s="186">
        <f t="shared" ca="1" si="12"/>
        <v>0.12566182644082405</v>
      </c>
      <c r="J77" s="186">
        <f>2*C77*Constants!$C$20/1000000000*Constants!$C$25*IF(ISBLANK(Design!$B$26),Design!$B$25,Design!$B$26)*1000000</f>
        <v>7.1999999999999995E-2</v>
      </c>
      <c r="K77" s="186">
        <f>(Constants!$D$26+Constants!$D$27)/1000000000*$B77*IF(ISBLANK(Design!$B$26),Design!$B$25,Design!$B$26)*1000000</f>
        <v>2.7391599999999995E-2</v>
      </c>
      <c r="L77" s="186">
        <f t="shared" ca="1" si="13"/>
        <v>0.74248683921584813</v>
      </c>
      <c r="M77" s="187">
        <f ca="1">L77*Design!$C$12+$A77</f>
        <v>140.63936828236069</v>
      </c>
      <c r="N77" s="187">
        <f ca="1">Constants!$D$22+Constants!$D$22*Constants!$C$24/100*(M77-25)</f>
        <v>139.20735656056868</v>
      </c>
      <c r="O77" s="187">
        <f ca="1">Constants!$D$23+Constants!$D$23*Constants!$C$24/100*(M77-25)</f>
        <v>113.10597720546205</v>
      </c>
      <c r="P77" s="186">
        <f ca="1">(1-Constants!$C$19/1000000000*Design!$B$26*1000000) * ($B77+C77*O77/1000-C77*N77/1000) - (C77*O77/1000+C77*(1+($A77-25)*Constants!$C$36/100)*IF(ISBLANK(Design!$B$35),Constants!$C$6/1000,Design!$B$35/1000))</f>
        <v>2.3317926027498839</v>
      </c>
      <c r="Q77" s="191">
        <f ca="1">IF(P77&gt;Design!$C$22,Design!$C$22,P77)</f>
        <v>1.7973333333333334</v>
      </c>
      <c r="R77" s="140">
        <f>2*Design!$D$6/3</f>
        <v>1.3333333333333333</v>
      </c>
      <c r="S77" s="202">
        <f ca="1">IF( 100*(Design!$C$22+R77*(IF(ISBLANK(Design!$B$35),Constants!$C$6,Design!$B$35)/1000*(1+Constants!$C$36/100*(AB77-25))+AD77/1000))/($B77-R77*AC77/1000) &gt; Design!$C$29, Design!$C$29, 100*(Design!$C$22+R77*(IF(ISBLANK(Design!$B$35),Constants!$C$6,Design!$B$35)/1000*(1+Constants!$C$36/100*(AB77-25))+AD77/1000))/($B77-R77*AC77/1000) )</f>
        <v>71.184681682696848</v>
      </c>
      <c r="T77" s="141">
        <f ca="1">IF(($B77-R77*IF(ISBLANK(Design!$B$35),Constants!$C$6,Design!$B$35)/1000*(1+Constants!$C$36/100*(AB77-25))-Design!$C$22)/(IF(ISBLANK(Design!$B$34),Design!$B$33,Design!$B$34)/1000000)*S77/100/(IF(ISBLANK(Design!$B$26),Design!$B$25,Design!$B$26)*1000000)&lt;0, 0, ($B77-R77*IF(ISBLANK(Design!$B$35),Constants!$C$6,Design!$B$35)/1000*(1+Constants!$C$36/100*(AB77-25))-Design!$C$22)/(IF(ISBLANK(Design!$B$34),Design!$B$33,Design!$B$34)/1000000)*S77/100/(IF(ISBLANK(Design!$B$26),Design!$B$25,Design!$B$26)*1000000))</f>
        <v>0.39304321471604498</v>
      </c>
      <c r="U77" s="203">
        <f>$B77*Constants!$C$21/1000+IF(ISBLANK(Design!$B$26),Design!$B$25,Design!$B$26)*1000000*(Constants!$D$26+Constants!$D$27)/1000000000*$B77</f>
        <v>3.3219600000000002E-2</v>
      </c>
      <c r="V77" s="203">
        <f>$B77*R77*($B77/(Constants!$C$28*1000000000)*IF(ISBLANK(Design!$B$26),Design!$B$25,Design!$B$26)*1000000/2+$B77/(Constants!$C$29*1000000000)*IF(ISBLANK(Design!$B$26),Design!$B$25,Design!$B$26)*1000000/2)</f>
        <v>3.3965584E-2</v>
      </c>
      <c r="W77" s="203">
        <f t="shared" ca="1" si="14"/>
        <v>0.16595354441427632</v>
      </c>
      <c r="X77" s="203">
        <f t="shared" ca="1" si="15"/>
        <v>6.717743333457174E-2</v>
      </c>
      <c r="Y77" s="203">
        <f>2*R77*Constants!$C$20/1000000000*Constants!$C$25*IF(ISBLANK(Design!$B$26),Design!$B$25,Design!$B$26)*1000000</f>
        <v>4.8000000000000001E-2</v>
      </c>
      <c r="Z77" s="203">
        <f>(Constants!$D$26+Constants!$D$27)/1000000000*$B77*IF(ISBLANK(Design!$B$26),Design!$B$25,Design!$B$26)*1000000</f>
        <v>2.7391599999999995E-2</v>
      </c>
      <c r="AA77" s="203">
        <f t="shared" ca="1" si="16"/>
        <v>0.37570776174884807</v>
      </c>
      <c r="AB77" s="204">
        <f ca="1">AA77*Design!$C$12+$A77</f>
        <v>123.0339725639447</v>
      </c>
      <c r="AC77" s="204">
        <f ca="1">Constants!$D$22+Constants!$D$22*Constants!$C$24/100*(AB77-25)</f>
        <v>130.19339395273968</v>
      </c>
      <c r="AD77" s="204">
        <f ca="1">Constants!$D$23+Constants!$D$23*Constants!$C$24/100*(AB77-25)</f>
        <v>105.78213258660099</v>
      </c>
      <c r="AE77" s="203">
        <f ca="1">(1-Constants!$C$19/1000000000*Design!$B$26*1000000) * ($B77+R77*AD77/1000-R77*AC77/1000) - (R77*AD77/1000+R77*(1+($A77-25)*Constants!$C$36/100)*IF(ISBLANK(Design!$B$35),Constants!$C$6/1000,Design!$B$35/1000))</f>
        <v>2.4405216695784988</v>
      </c>
      <c r="AF77" s="308">
        <f ca="1">IF(AE77&gt;Design!$C$22,Design!$C$22,AE77)</f>
        <v>1.7973333333333334</v>
      </c>
      <c r="AG77" s="215">
        <f>Design!$D$6/3</f>
        <v>0.66666666666666663</v>
      </c>
      <c r="AH77" s="216">
        <f ca="1">IF( 100*(Design!$C$22+AG77*(IF(ISBLANK(Design!$B$35),Constants!$C$6,Design!$B$35)/1000*(1+Constants!$C$36/100*(AQ77-25))+AS77/1000))/($B77-AG77*AR77/1000) &gt; Design!$C$29, Design!$C$29, 100*(Design!$C$22+AG77*(IF(ISBLANK(Design!$B$35),Constants!$C$6,Design!$B$35)/1000*(1+Constants!$C$36/100*(AQ77-25))+AS77/1000))/($B77-AG77*AR77/1000) )</f>
        <v>66.094102644105448</v>
      </c>
      <c r="AI77" s="143">
        <f ca="1">IF(($B77-AG77*IF(ISBLANK(Design!$B$35),Constants!$C$6,Design!$B$35)/1000*(1+Constants!$C$36/100*(AQ77-25))-Design!$C$22)/(IF(ISBLANK(Design!$B$34),Design!$B$33,Design!$B$34)/1000000)*AH77/100/(IF(ISBLANK(Design!$B$26),Design!$B$25,Design!$B$26)*1000000)&lt;0, 0, ($B77-AG77*IF(ISBLANK(Design!$B$35),Constants!$C$6,Design!$B$35)/1000*(1+Constants!$C$36/100*(AQ77-25))-Design!$C$22)/(IF(ISBLANK(Design!$B$34),Design!$B$33,Design!$B$34)/1000000)*AH77/100/(IF(ISBLANK(Design!$B$26),Design!$B$25,Design!$B$26)*1000000))</f>
        <v>0.36704108752000697</v>
      </c>
      <c r="AJ77" s="217">
        <f>$B77*Constants!$C$21/1000+IF(ISBLANK(Design!$B$26),Design!$B$25,Design!$B$26)*1000000*(Constants!$D$26+Constants!$D$27)/1000000000*$B77</f>
        <v>3.3219600000000002E-2</v>
      </c>
      <c r="AK77" s="217">
        <f>$B77*AG77*($B77/(Constants!$C$28*1000000000)*IF(ISBLANK(Design!$B$26),Design!$B$25,Design!$B$26)*1000000/2+$B77/(Constants!$C$29*1000000000)*IF(ISBLANK(Design!$B$26),Design!$B$25,Design!$B$26)*1000000/2)</f>
        <v>1.6982792E-2</v>
      </c>
      <c r="AL77" s="217">
        <f t="shared" ca="1" si="17"/>
        <v>3.7602782156679018E-2</v>
      </c>
      <c r="AM77" s="217">
        <f t="shared" ca="1" si="18"/>
        <v>1.9290012589559355E-2</v>
      </c>
      <c r="AN77" s="217">
        <f>2*AG77*Constants!$C$20/1000000000*Constants!$C$25*IF(ISBLANK(Design!$B$26),Design!$B$25,Design!$B$26)*1000000</f>
        <v>2.4E-2</v>
      </c>
      <c r="AO77" s="217">
        <f>(Constants!$D$26+Constants!$D$27)/1000000000*$B77*IF(ISBLANK(Design!$B$26),Design!$B$25,Design!$B$26)*1000000</f>
        <v>2.7391599999999995E-2</v>
      </c>
      <c r="AP77" s="217">
        <f t="shared" ca="1" si="19"/>
        <v>0.15848678674623837</v>
      </c>
      <c r="AQ77" s="218">
        <f ca="1">AP77*Design!$C$12+$A77</f>
        <v>112.60736576381944</v>
      </c>
      <c r="AR77" s="218">
        <f ca="1">Constants!$D$22+Constants!$D$22*Constants!$C$24/100*(AQ77-25)</f>
        <v>124.85497127107556</v>
      </c>
      <c r="AS77" s="218">
        <f ca="1">Constants!$D$23+Constants!$D$23*Constants!$C$24/100*(AQ77-25)</f>
        <v>101.44466415774889</v>
      </c>
      <c r="AT77" s="217">
        <f ca="1">(1-Constants!$C$19/1000000000*Design!$B$26*1000000) * ($B77+AG77*AS77/1000-AG77*AR77/1000) - (AG77*AS77/1000+AG77*(1+($A77-25)*Constants!$C$36/100)*IF(ISBLANK(Design!$B$35),Constants!$C$6/1000,Design!$B$35/1000))</f>
        <v>2.5350530529601718</v>
      </c>
      <c r="AU77" s="311">
        <f ca="1">IF(AT77&gt;Design!$C$22,Design!$C$22,AT77)</f>
        <v>1.7973333333333334</v>
      </c>
    </row>
    <row r="78" spans="1:47" ht="12.75" customHeight="1">
      <c r="A78" s="136">
        <f>Design!$D$13</f>
        <v>105</v>
      </c>
      <c r="B78" s="137">
        <f t="shared" si="10"/>
        <v>2.8395000000000001</v>
      </c>
      <c r="C78" s="138">
        <f>Design!$D$6</f>
        <v>2</v>
      </c>
      <c r="D78" s="193">
        <f ca="1">IF( 100*(Design!$C$22+C78*(IF(ISBLANK(Design!$B$35),Constants!$C$6,Design!$B$35)/1000*(1+Constants!$C$36/100*(M78-25))+O78/1000))/($B78-C78*N78/1000) &gt; Design!$C$29, Design!$C$29, 100*(Design!$C$22+C78*(IF(ISBLANK(Design!$B$35),Constants!$C$6,Design!$B$35)/1000*(1+Constants!$C$36/100*(M78-25))+O78/1000))/($B78-C78*N78/1000) )</f>
        <v>79.757063642861326</v>
      </c>
      <c r="E78" s="139">
        <f ca="1">IF(($B78-C78*IF(ISBLANK(Design!$B$35),Constants!$C$6,Design!$B$35)/1000*(1+Constants!$C$36/100*(M78-25))-Design!$C$22)/(IF(ISBLANK(Design!$B$34),Design!$B$33,Design!$B$34)/1000000)*D78/100/(IF(ISBLANK(Design!$B$26),Design!$B$25,Design!$B$26)*1000000)&lt;0, 0, ($B78-C78*IF(ISBLANK(Design!$B$35),Constants!$C$6,Design!$B$35)/1000*(1+Constants!$C$36/100*(M78-25))-Design!$C$22)/(IF(ISBLANK(Design!$B$34),Design!$B$33,Design!$B$34)/1000000)*D78/100/(IF(ISBLANK(Design!$B$26),Design!$B$25,Design!$B$26)*1000000))</f>
        <v>0.4078333170191229</v>
      </c>
      <c r="F78" s="186">
        <f>$B78*Constants!$C$21/1000+IF(ISBLANK(Design!$B$26),Design!$B$25,Design!$B$26)*1000000*(Constants!$D$26+Constants!$D$27)/1000000000*$B78</f>
        <v>3.2370299999999998E-2</v>
      </c>
      <c r="G78" s="186">
        <f>$B78*C78*($B78/(Constants!$C$28*1000000000)*IF(ISBLANK(Design!$B$26),Design!$B$25,Design!$B$26)*1000000/2+$B78/(Constants!$C$29*1000000000)*IF(ISBLANK(Design!$B$26),Design!$B$25,Design!$B$26)*1000000/2)</f>
        <v>4.8376561500000005E-2</v>
      </c>
      <c r="H78" s="186">
        <f t="shared" ca="1" si="11"/>
        <v>0.4452752815692394</v>
      </c>
      <c r="I78" s="186">
        <f t="shared" ca="1" si="12"/>
        <v>0.11301418049409205</v>
      </c>
      <c r="J78" s="186">
        <f>2*C78*Constants!$C$20/1000000000*Constants!$C$25*IF(ISBLANK(Design!$B$26),Design!$B$25,Design!$B$26)*1000000</f>
        <v>7.1999999999999995E-2</v>
      </c>
      <c r="K78" s="186">
        <f>(Constants!$D$26+Constants!$D$27)/1000000000*$B78*IF(ISBLANK(Design!$B$26),Design!$B$25,Design!$B$26)*1000000</f>
        <v>2.6691299999999998E-2</v>
      </c>
      <c r="L78" s="186">
        <f t="shared" ca="1" si="13"/>
        <v>0.73772762356333144</v>
      </c>
      <c r="M78" s="187">
        <f ca="1">L78*Design!$C$12+$A78</f>
        <v>140.41092593103991</v>
      </c>
      <c r="N78" s="187">
        <f ca="1">Constants!$D$22+Constants!$D$22*Constants!$C$24/100*(M78-25)</f>
        <v>139.09039407669243</v>
      </c>
      <c r="O78" s="187">
        <f ca="1">Constants!$D$23+Constants!$D$23*Constants!$C$24/100*(M78-25)</f>
        <v>113.01094518731261</v>
      </c>
      <c r="P78" s="186">
        <f ca="1">(1-Constants!$C$19/1000000000*Design!$B$26*1000000) * ($B78+C78*O78/1000-C78*N78/1000) - (C78*O78/1000+C78*(1+($A78-25)*Constants!$C$36/100)*IF(ISBLANK(Design!$B$35),Constants!$C$6/1000,Design!$B$35/1000))</f>
        <v>2.2649721416244919</v>
      </c>
      <c r="Q78" s="191">
        <f ca="1">IF(P78&gt;Design!$C$22,Design!$C$22,P78)</f>
        <v>1.7973333333333334</v>
      </c>
      <c r="R78" s="140">
        <f>2*Design!$D$6/3</f>
        <v>1.3333333333333333</v>
      </c>
      <c r="S78" s="202">
        <f ca="1">IF( 100*(Design!$C$22+R78*(IF(ISBLANK(Design!$B$35),Constants!$C$6,Design!$B$35)/1000*(1+Constants!$C$36/100*(AB78-25))+AD78/1000))/($B78-R78*AC78/1000) &gt; Design!$C$29, Design!$C$29, 100*(Design!$C$22+R78*(IF(ISBLANK(Design!$B$35),Constants!$C$6,Design!$B$35)/1000*(1+Constants!$C$36/100*(AB78-25))+AD78/1000))/($B78-R78*AC78/1000) )</f>
        <v>73.166993445543923</v>
      </c>
      <c r="T78" s="141">
        <f ca="1">IF(($B78-R78*IF(ISBLANK(Design!$B$35),Constants!$C$6,Design!$B$35)/1000*(1+Constants!$C$36/100*(AB78-25))-Design!$C$22)/(IF(ISBLANK(Design!$B$34),Design!$B$33,Design!$B$34)/1000000)*S78/100/(IF(ISBLANK(Design!$B$26),Design!$B$25,Design!$B$26)*1000000)&lt;0, 0, ($B78-R78*IF(ISBLANK(Design!$B$35),Constants!$C$6,Design!$B$35)/1000*(1+Constants!$C$36/100*(AB78-25))-Design!$C$22)/(IF(ISBLANK(Design!$B$34),Design!$B$33,Design!$B$34)/1000000)*S78/100/(IF(ISBLANK(Design!$B$26),Design!$B$25,Design!$B$26)*1000000))</f>
        <v>0.37673595311352098</v>
      </c>
      <c r="U78" s="203">
        <f>$B78*Constants!$C$21/1000+IF(ISBLANK(Design!$B$26),Design!$B$25,Design!$B$26)*1000000*(Constants!$D$26+Constants!$D$27)/1000000000*$B78</f>
        <v>3.2370299999999998E-2</v>
      </c>
      <c r="V78" s="203">
        <f>$B78*R78*($B78/(Constants!$C$28*1000000000)*IF(ISBLANK(Design!$B$26),Design!$B$25,Design!$B$26)*1000000/2+$B78/(Constants!$C$29*1000000000)*IF(ISBLANK(Design!$B$26),Design!$B$25,Design!$B$26)*1000000/2)</f>
        <v>3.2251041000000001E-2</v>
      </c>
      <c r="W78" s="203">
        <f t="shared" ca="1" si="14"/>
        <v>0.1703608227123318</v>
      </c>
      <c r="X78" s="203">
        <f t="shared" ca="1" si="15"/>
        <v>6.247753060763403E-2</v>
      </c>
      <c r="Y78" s="203">
        <f>2*R78*Constants!$C$20/1000000000*Constants!$C$25*IF(ISBLANK(Design!$B$26),Design!$B$25,Design!$B$26)*1000000</f>
        <v>4.8000000000000001E-2</v>
      </c>
      <c r="Z78" s="203">
        <f>(Constants!$D$26+Constants!$D$27)/1000000000*$B78*IF(ISBLANK(Design!$B$26),Design!$B$25,Design!$B$26)*1000000</f>
        <v>2.6691299999999998E-2</v>
      </c>
      <c r="AA78" s="203">
        <f t="shared" ca="1" si="16"/>
        <v>0.37215099431996579</v>
      </c>
      <c r="AB78" s="204">
        <f ca="1">AA78*Design!$C$12+$A78</f>
        <v>122.86324772735836</v>
      </c>
      <c r="AC78" s="204">
        <f ca="1">Constants!$D$22+Constants!$D$22*Constants!$C$24/100*(AB78-25)</f>
        <v>130.10598283640746</v>
      </c>
      <c r="AD78" s="204">
        <f ca="1">Constants!$D$23+Constants!$D$23*Constants!$C$24/100*(AB78-25)</f>
        <v>105.71111105458108</v>
      </c>
      <c r="AE78" s="203">
        <f ca="1">(1-Constants!$C$19/1000000000*Design!$B$26*1000000) * ($B78+R78*AD78/1000-R78*AC78/1000) - (R78*AD78/1000+R78*(1+($A78-25)*Constants!$C$36/100)*IF(ISBLANK(Design!$B$35),Constants!$C$6/1000,Design!$B$35/1000))</f>
        <v>2.3735860324557003</v>
      </c>
      <c r="AF78" s="308">
        <f ca="1">IF(AE78&gt;Design!$C$22,Design!$C$22,AE78)</f>
        <v>1.7973333333333334</v>
      </c>
      <c r="AG78" s="215">
        <f>Design!$D$6/3</f>
        <v>0.66666666666666663</v>
      </c>
      <c r="AH78" s="216">
        <f ca="1">IF( 100*(Design!$C$22+AG78*(IF(ISBLANK(Design!$B$35),Constants!$C$6,Design!$B$35)/1000*(1+Constants!$C$36/100*(AQ78-25))+AS78/1000))/($B78-AG78*AR78/1000) &gt; Design!$C$29, Design!$C$29, 100*(Design!$C$22+AG78*(IF(ISBLANK(Design!$B$35),Constants!$C$6,Design!$B$35)/1000*(1+Constants!$C$36/100*(AQ78-25))+AS78/1000))/($B78-AG78*AR78/1000) )</f>
        <v>67.878244362417732</v>
      </c>
      <c r="AI78" s="143">
        <f ca="1">IF(($B78-AG78*IF(ISBLANK(Design!$B$35),Constants!$C$6,Design!$B$35)/1000*(1+Constants!$C$36/100*(AQ78-25))-Design!$C$22)/(IF(ISBLANK(Design!$B$34),Design!$B$33,Design!$B$34)/1000000)*AH78/100/(IF(ISBLANK(Design!$B$26),Design!$B$25,Design!$B$26)*1000000)&lt;0, 0, ($B78-AG78*IF(ISBLANK(Design!$B$35),Constants!$C$6,Design!$B$35)/1000*(1+Constants!$C$36/100*(AQ78-25))-Design!$C$22)/(IF(ISBLANK(Design!$B$34),Design!$B$33,Design!$B$34)/1000000)*AH78/100/(IF(ISBLANK(Design!$B$26),Design!$B$25,Design!$B$26)*1000000))</f>
        <v>0.35166506411263698</v>
      </c>
      <c r="AJ78" s="217">
        <f>$B78*Constants!$C$21/1000+IF(ISBLANK(Design!$B$26),Design!$B$25,Design!$B$26)*1000000*(Constants!$D$26+Constants!$D$27)/1000000000*$B78</f>
        <v>3.2370299999999998E-2</v>
      </c>
      <c r="AK78" s="217">
        <f>$B78*AG78*($B78/(Constants!$C$28*1000000000)*IF(ISBLANK(Design!$B$26),Design!$B$25,Design!$B$26)*1000000/2+$B78/(Constants!$C$29*1000000000)*IF(ISBLANK(Design!$B$26),Design!$B$25,Design!$B$26)*1000000/2)</f>
        <v>1.6125520500000001E-2</v>
      </c>
      <c r="AL78" s="217">
        <f t="shared" ca="1" si="17"/>
        <v>3.8520437191895164E-2</v>
      </c>
      <c r="AM78" s="217">
        <f t="shared" ca="1" si="18"/>
        <v>1.822887557203785E-2</v>
      </c>
      <c r="AN78" s="217">
        <f>2*AG78*Constants!$C$20/1000000000*Constants!$C$25*IF(ISBLANK(Design!$B$26),Design!$B$25,Design!$B$26)*1000000</f>
        <v>2.4E-2</v>
      </c>
      <c r="AO78" s="217">
        <f>(Constants!$D$26+Constants!$D$27)/1000000000*$B78*IF(ISBLANK(Design!$B$26),Design!$B$25,Design!$B$26)*1000000</f>
        <v>2.6691299999999998E-2</v>
      </c>
      <c r="AP78" s="217">
        <f t="shared" ca="1" si="19"/>
        <v>0.15593643326393303</v>
      </c>
      <c r="AQ78" s="218">
        <f ca="1">AP78*Design!$C$12+$A78</f>
        <v>112.48494879666879</v>
      </c>
      <c r="AR78" s="218">
        <f ca="1">Constants!$D$22+Constants!$D$22*Constants!$C$24/100*(AQ78-25)</f>
        <v>124.79229378389442</v>
      </c>
      <c r="AS78" s="218">
        <f ca="1">Constants!$D$23+Constants!$D$23*Constants!$C$24/100*(AQ78-25)</f>
        <v>101.39373869941423</v>
      </c>
      <c r="AT78" s="217">
        <f ca="1">(1-Constants!$C$19/1000000000*Design!$B$26*1000000) * ($B78+AG78*AS78/1000-AG78*AR78/1000) - (AG78*AS78/1000+AG78*(1+($A78-25)*Constants!$C$36/100)*IF(ISBLANK(Design!$B$35),Constants!$C$6/1000,Design!$B$35/1000))</f>
        <v>2.4680440544830358</v>
      </c>
      <c r="AU78" s="311">
        <f ca="1">IF(AT78&gt;Design!$C$22,Design!$C$22,AT78)</f>
        <v>1.7973333333333334</v>
      </c>
    </row>
    <row r="79" spans="1:47" ht="12.75" customHeight="1">
      <c r="A79" s="136">
        <f>Design!$D$13</f>
        <v>105</v>
      </c>
      <c r="B79" s="137">
        <f t="shared" si="10"/>
        <v>2.7650000000000001</v>
      </c>
      <c r="C79" s="138">
        <f>Design!$D$6</f>
        <v>2</v>
      </c>
      <c r="D79" s="193">
        <f ca="1">IF( 100*(Design!$C$22+C79*(IF(ISBLANK(Design!$B$35),Constants!$C$6,Design!$B$35)/1000*(1+Constants!$C$36/100*(M79-25))+O79/1000))/($B79-C79*N79/1000) &gt; Design!$C$29, Design!$C$29, 100*(Design!$C$22+C79*(IF(ISBLANK(Design!$B$35),Constants!$C$6,Design!$B$35)/1000*(1+Constants!$C$36/100*(M79-25))+O79/1000))/($B79-C79*N79/1000) )</f>
        <v>82.130807911266643</v>
      </c>
      <c r="E79" s="139">
        <f ca="1">IF(($B79-C79*IF(ISBLANK(Design!$B$35),Constants!$C$6,Design!$B$35)/1000*(1+Constants!$C$36/100*(M79-25))-Design!$C$22)/(IF(ISBLANK(Design!$B$34),Design!$B$33,Design!$B$34)/1000000)*D79/100/(IF(ISBLANK(Design!$B$26),Design!$B$25,Design!$B$26)*1000000)&lt;0, 0, ($B79-C79*IF(ISBLANK(Design!$B$35),Constants!$C$6,Design!$B$35)/1000*(1+Constants!$C$36/100*(M79-25))-Design!$C$22)/(IF(ISBLANK(Design!$B$34),Design!$B$33,Design!$B$34)/1000000)*D79/100/(IF(ISBLANK(Design!$B$26),Design!$B$25,Design!$B$26)*1000000))</f>
        <v>0.38938246649320002</v>
      </c>
      <c r="F79" s="186">
        <f>$B79*Constants!$C$21/1000+IF(ISBLANK(Design!$B$26),Design!$B$25,Design!$B$26)*1000000*(Constants!$D$26+Constants!$D$27)/1000000000*$B79</f>
        <v>3.1520999999999993E-2</v>
      </c>
      <c r="G79" s="186">
        <f>$B79*C79*($B79/(Constants!$C$28*1000000000)*IF(ISBLANK(Design!$B$26),Design!$B$25,Design!$B$26)*1000000/2+$B79/(Constants!$C$29*1000000000)*IF(ISBLANK(Design!$B$26),Design!$B$25,Design!$B$26)*1000000/2)</f>
        <v>4.5871350000000005E-2</v>
      </c>
      <c r="H79" s="186">
        <f t="shared" ca="1" si="11"/>
        <v>0.45800795821500928</v>
      </c>
      <c r="I79" s="186">
        <f t="shared" ca="1" si="12"/>
        <v>9.9648748035630286E-2</v>
      </c>
      <c r="J79" s="186">
        <f>2*C79*Constants!$C$20/1000000000*Constants!$C$25*IF(ISBLANK(Design!$B$26),Design!$B$25,Design!$B$26)*1000000</f>
        <v>7.1999999999999995E-2</v>
      </c>
      <c r="K79" s="186">
        <f>(Constants!$D$26+Constants!$D$27)/1000000000*$B79*IF(ISBLANK(Design!$B$26),Design!$B$25,Design!$B$26)*1000000</f>
        <v>2.5990999999999997E-2</v>
      </c>
      <c r="L79" s="186">
        <f t="shared" ca="1" si="13"/>
        <v>0.7330400562506395</v>
      </c>
      <c r="M79" s="187">
        <f ca="1">L79*Design!$C$12+$A79</f>
        <v>140.18592270003069</v>
      </c>
      <c r="N79" s="187">
        <f ca="1">Constants!$D$22+Constants!$D$22*Constants!$C$24/100*(M79-25)</f>
        <v>138.97519242241572</v>
      </c>
      <c r="O79" s="187">
        <f ca="1">Constants!$D$23+Constants!$D$23*Constants!$C$24/100*(M79-25)</f>
        <v>112.91734384321276</v>
      </c>
      <c r="P79" s="186">
        <f ca="1">(1-Constants!$C$19/1000000000*Design!$B$26*1000000) * ($B79+C79*O79/1000-C79*N79/1000) - (C79*O79/1000+C79*(1+($A79-25)*Constants!$C$36/100)*IF(ISBLANK(Design!$B$35),Constants!$C$6/1000,Design!$B$35/1000))</f>
        <v>2.1981482248710096</v>
      </c>
      <c r="Q79" s="191">
        <f ca="1">IF(P79&gt;Design!$C$22,Design!$C$22,P79)</f>
        <v>1.7973333333333334</v>
      </c>
      <c r="R79" s="140">
        <f>2*Design!$D$6/3</f>
        <v>1.3333333333333333</v>
      </c>
      <c r="S79" s="202">
        <f ca="1">IF( 100*(Design!$C$22+R79*(IF(ISBLANK(Design!$B$35),Constants!$C$6,Design!$B$35)/1000*(1+Constants!$C$36/100*(AB79-25))+AD79/1000))/($B79-R79*AC79/1000) &gt; Design!$C$29, Design!$C$29, 100*(Design!$C$22+R79*(IF(ISBLANK(Design!$B$35),Constants!$C$6,Design!$B$35)/1000*(1+Constants!$C$36/100*(AB79-25))+AD79/1000))/($B79-R79*AC79/1000) )</f>
        <v>75.263187079359923</v>
      </c>
      <c r="T79" s="141">
        <f ca="1">IF(($B79-R79*IF(ISBLANK(Design!$B$35),Constants!$C$6,Design!$B$35)/1000*(1+Constants!$C$36/100*(AB79-25))-Design!$C$22)/(IF(ISBLANK(Design!$B$34),Design!$B$33,Design!$B$34)/1000000)*S79/100/(IF(ISBLANK(Design!$B$26),Design!$B$25,Design!$B$26)*1000000)&lt;0, 0, ($B79-R79*IF(ISBLANK(Design!$B$35),Constants!$C$6,Design!$B$35)/1000*(1+Constants!$C$36/100*(AB79-25))-Design!$C$22)/(IF(ISBLANK(Design!$B$34),Design!$B$33,Design!$B$34)/1000000)*S79/100/(IF(ISBLANK(Design!$B$26),Design!$B$25,Design!$B$26)*1000000))</f>
        <v>0.35949591826830862</v>
      </c>
      <c r="U79" s="203">
        <f>$B79*Constants!$C$21/1000+IF(ISBLANK(Design!$B$26),Design!$B$25,Design!$B$26)*1000000*(Constants!$D$26+Constants!$D$27)/1000000000*$B79</f>
        <v>3.1520999999999993E-2</v>
      </c>
      <c r="V79" s="203">
        <f>$B79*R79*($B79/(Constants!$C$28*1000000000)*IF(ISBLANK(Design!$B$26),Design!$B$25,Design!$B$26)*1000000/2+$B79/(Constants!$C$29*1000000000)*IF(ISBLANK(Design!$B$26),Design!$B$25,Design!$B$26)*1000000/2)</f>
        <v>3.0580900000000001E-2</v>
      </c>
      <c r="W79" s="203">
        <f t="shared" ca="1" si="14"/>
        <v>0.17502181604618824</v>
      </c>
      <c r="X79" s="203">
        <f t="shared" ca="1" si="15"/>
        <v>5.7524562652390657E-2</v>
      </c>
      <c r="Y79" s="203">
        <f>2*R79*Constants!$C$20/1000000000*Constants!$C$25*IF(ISBLANK(Design!$B$26),Design!$B$25,Design!$B$26)*1000000</f>
        <v>4.8000000000000001E-2</v>
      </c>
      <c r="Z79" s="203">
        <f>(Constants!$D$26+Constants!$D$27)/1000000000*$B79*IF(ISBLANK(Design!$B$26),Design!$B$25,Design!$B$26)*1000000</f>
        <v>2.5990999999999997E-2</v>
      </c>
      <c r="AA79" s="203">
        <f t="shared" ca="1" si="16"/>
        <v>0.36863927869857888</v>
      </c>
      <c r="AB79" s="204">
        <f ca="1">AA79*Design!$C$12+$A79</f>
        <v>122.69468537753178</v>
      </c>
      <c r="AC79" s="204">
        <f ca="1">Constants!$D$22+Constants!$D$22*Constants!$C$24/100*(AB79-25)</f>
        <v>130.01967891329627</v>
      </c>
      <c r="AD79" s="204">
        <f ca="1">Constants!$D$23+Constants!$D$23*Constants!$C$24/100*(AB79-25)</f>
        <v>105.64098911705322</v>
      </c>
      <c r="AE79" s="203">
        <f ca="1">(1-Constants!$C$19/1000000000*Design!$B$26*1000000) * ($B79+R79*AD79/1000-R79*AC79/1000) - (R79*AD79/1000+R79*(1+($A79-25)*Constants!$C$36/100)*IF(ISBLANK(Design!$B$35),Constants!$C$6/1000,Design!$B$35/1000))</f>
        <v>2.3066489467551041</v>
      </c>
      <c r="AF79" s="308">
        <f ca="1">IF(AE79&gt;Design!$C$22,Design!$C$22,AE79)</f>
        <v>1.7973333333333334</v>
      </c>
      <c r="AG79" s="215">
        <f>Design!$D$6/3</f>
        <v>0.66666666666666663</v>
      </c>
      <c r="AH79" s="216">
        <f ca="1">IF( 100*(Design!$C$22+AG79*(IF(ISBLANK(Design!$B$35),Constants!$C$6,Design!$B$35)/1000*(1+Constants!$C$36/100*(AQ79-25))+AS79/1000))/($B79-AG79*AR79/1000) &gt; Design!$C$29, Design!$C$29, 100*(Design!$C$22+AG79*(IF(ISBLANK(Design!$B$35),Constants!$C$6,Design!$B$35)/1000*(1+Constants!$C$36/100*(AQ79-25))+AS79/1000))/($B79-AG79*AR79/1000) )</f>
        <v>69.761475653908136</v>
      </c>
      <c r="AI79" s="143">
        <f ca="1">IF(($B79-AG79*IF(ISBLANK(Design!$B$35),Constants!$C$6,Design!$B$35)/1000*(1+Constants!$C$36/100*(AQ79-25))-Design!$C$22)/(IF(ISBLANK(Design!$B$34),Design!$B$33,Design!$B$34)/1000000)*AH79/100/(IF(ISBLANK(Design!$B$26),Design!$B$25,Design!$B$26)*1000000)&lt;0, 0, ($B79-AG79*IF(ISBLANK(Design!$B$35),Constants!$C$6,Design!$B$35)/1000*(1+Constants!$C$36/100*(AQ79-25))-Design!$C$22)/(IF(ISBLANK(Design!$B$34),Design!$B$33,Design!$B$34)/1000000)*AH79/100/(IF(ISBLANK(Design!$B$26),Design!$B$25,Design!$B$26)*1000000))</f>
        <v>0.33543634272504186</v>
      </c>
      <c r="AJ79" s="217">
        <f>$B79*Constants!$C$21/1000+IF(ISBLANK(Design!$B$26),Design!$B$25,Design!$B$26)*1000000*(Constants!$D$26+Constants!$D$27)/1000000000*$B79</f>
        <v>3.1520999999999993E-2</v>
      </c>
      <c r="AK79" s="217">
        <f>$B79*AG79*($B79/(Constants!$C$28*1000000000)*IF(ISBLANK(Design!$B$26),Design!$B$25,Design!$B$26)*1000000/2+$B79/(Constants!$C$29*1000000000)*IF(ISBLANK(Design!$B$26),Design!$B$25,Design!$B$26)*1000000/2)</f>
        <v>1.5290450000000001E-2</v>
      </c>
      <c r="AL79" s="217">
        <f t="shared" ca="1" si="17"/>
        <v>3.9488586175282066E-2</v>
      </c>
      <c r="AM79" s="217">
        <f t="shared" ca="1" si="18"/>
        <v>1.7116561300651322E-2</v>
      </c>
      <c r="AN79" s="217">
        <f>2*AG79*Constants!$C$20/1000000000*Constants!$C$25*IF(ISBLANK(Design!$B$26),Design!$B$25,Design!$B$26)*1000000</f>
        <v>2.4E-2</v>
      </c>
      <c r="AO79" s="217">
        <f>(Constants!$D$26+Constants!$D$27)/1000000000*$B79*IF(ISBLANK(Design!$B$26),Design!$B$25,Design!$B$26)*1000000</f>
        <v>2.5990999999999997E-2</v>
      </c>
      <c r="AP79" s="217">
        <f t="shared" ca="1" si="19"/>
        <v>0.15340759747593338</v>
      </c>
      <c r="AQ79" s="218">
        <f ca="1">AP79*Design!$C$12+$A79</f>
        <v>112.3635646788448</v>
      </c>
      <c r="AR79" s="218">
        <f ca="1">Constants!$D$22+Constants!$D$22*Constants!$C$24/100*(AQ79-25)</f>
        <v>124.73014511556853</v>
      </c>
      <c r="AS79" s="218">
        <f ca="1">Constants!$D$23+Constants!$D$23*Constants!$C$24/100*(AQ79-25)</f>
        <v>101.34324290639944</v>
      </c>
      <c r="AT79" s="217">
        <f ca="1">(1-Constants!$C$19/1000000000*Design!$B$26*1000000) * ($B79+AG79*AS79/1000-AG79*AR79/1000) - (AG79*AS79/1000+AG79*(1+($A79-25)*Constants!$C$36/100)*IF(ISBLANK(Design!$B$35),Constants!$C$6/1000,Design!$B$35/1000))</f>
        <v>2.4010347100702321</v>
      </c>
      <c r="AU79" s="311">
        <f ca="1">IF(AT79&gt;Design!$C$22,Design!$C$22,AT79)</f>
        <v>1.7973333333333334</v>
      </c>
    </row>
    <row r="80" spans="1:47" ht="12.75" customHeight="1">
      <c r="A80" s="136">
        <f>Design!$D$13</f>
        <v>105</v>
      </c>
      <c r="B80" s="137">
        <f t="shared" si="10"/>
        <v>2.6905000000000001</v>
      </c>
      <c r="C80" s="138">
        <f>Design!$D$6</f>
        <v>2</v>
      </c>
      <c r="D80" s="193">
        <f ca="1">IF( 100*(Design!$C$22+C80*(IF(ISBLANK(Design!$B$35),Constants!$C$6,Design!$B$35)/1000*(1+Constants!$C$36/100*(M80-25))+O80/1000))/($B80-C80*N80/1000) &gt; Design!$C$29, Design!$C$29, 100*(Design!$C$22+C80*(IF(ISBLANK(Design!$B$35),Constants!$C$6,Design!$B$35)/1000*(1+Constants!$C$36/100*(M80-25))+O80/1000))/($B80-C80*N80/1000) )</f>
        <v>84</v>
      </c>
      <c r="E80" s="139">
        <f ca="1">IF(($B80-C80*IF(ISBLANK(Design!$B$35),Constants!$C$6,Design!$B$35)/1000*(1+Constants!$C$36/100*(M80-25))-Design!$C$22)/(IF(ISBLANK(Design!$B$34),Design!$B$33,Design!$B$34)/1000000)*D80/100/(IF(ISBLANK(Design!$B$26),Design!$B$25,Design!$B$26)*1000000)&lt;0, 0, ($B80-C80*IF(ISBLANK(Design!$B$35),Constants!$C$6,Design!$B$35)/1000*(1+Constants!$C$36/100*(M80-25))-Design!$C$22)/(IF(ISBLANK(Design!$B$34),Design!$B$33,Design!$B$34)/1000000)*D80/100/(IF(ISBLANK(Design!$B$26),Design!$B$25,Design!$B$26)*1000000))</f>
        <v>0.36695924167804189</v>
      </c>
      <c r="F80" s="186">
        <f>$B80*Constants!$C$21/1000+IF(ISBLANK(Design!$B$26),Design!$B$25,Design!$B$26)*1000000*(Constants!$D$26+Constants!$D$27)/1000000000*$B80</f>
        <v>3.0671699999999996E-2</v>
      </c>
      <c r="G80" s="186">
        <f>$B80*C80*($B80/(Constants!$C$28*1000000000)*IF(ISBLANK(Design!$B$26),Design!$B$25,Design!$B$26)*1000000/2+$B80/(Constants!$C$29*1000000000)*IF(ISBLANK(Design!$B$26),Design!$B$25,Design!$B$26)*1000000/2)</f>
        <v>4.3432741500000004E-2</v>
      </c>
      <c r="H80" s="186">
        <f t="shared" ca="1" si="11"/>
        <v>0.46788223432294512</v>
      </c>
      <c r="I80" s="186">
        <f t="shared" ca="1" si="12"/>
        <v>8.912042558532289E-2</v>
      </c>
      <c r="J80" s="186">
        <f>2*C80*Constants!$C$20/1000000000*Constants!$C$25*IF(ISBLANK(Design!$B$26),Design!$B$25,Design!$B$26)*1000000</f>
        <v>7.1999999999999995E-2</v>
      </c>
      <c r="K80" s="186">
        <f>(Constants!$D$26+Constants!$D$27)/1000000000*$B80*IF(ISBLANK(Design!$B$26),Design!$B$25,Design!$B$26)*1000000</f>
        <v>2.5290699999999996E-2</v>
      </c>
      <c r="L80" s="186">
        <f t="shared" ca="1" si="13"/>
        <v>0.72839780140826793</v>
      </c>
      <c r="M80" s="187">
        <f ca="1">L80*Design!$C$12+$A80</f>
        <v>139.96309446759687</v>
      </c>
      <c r="N80" s="187">
        <f ca="1">Constants!$D$22+Constants!$D$22*Constants!$C$24/100*(M80-25)</f>
        <v>138.86110436740961</v>
      </c>
      <c r="O80" s="187">
        <f ca="1">Constants!$D$23+Constants!$D$23*Constants!$C$24/100*(M80-25)</f>
        <v>112.8246472985203</v>
      </c>
      <c r="P80" s="186">
        <f ca="1">(1-Constants!$C$19/1000000000*Design!$B$26*1000000) * ($B80+C80*O80/1000-C80*N80/1000) - (C80*O80/1000+C80*(1+($A80-25)*Constants!$C$36/100)*IF(ISBLANK(Design!$B$35),Constants!$C$6/1000,Design!$B$35/1000))</f>
        <v>2.1313221226789589</v>
      </c>
      <c r="Q80" s="191">
        <f ca="1">IF(P80&gt;Design!$C$22,Design!$C$22,P80)</f>
        <v>1.7973333333333334</v>
      </c>
      <c r="R80" s="140">
        <f>2*Design!$D$6/3</f>
        <v>1.3333333333333333</v>
      </c>
      <c r="S80" s="202">
        <f ca="1">IF( 100*(Design!$C$22+R80*(IF(ISBLANK(Design!$B$35),Constants!$C$6,Design!$B$35)/1000*(1+Constants!$C$36/100*(AB80-25))+AD80/1000))/($B80-R80*AC80/1000) &gt; Design!$C$29, Design!$C$29, 100*(Design!$C$22+R80*(IF(ISBLANK(Design!$B$35),Constants!$C$6,Design!$B$35)/1000*(1+Constants!$C$36/100*(AB80-25))+AD80/1000))/($B80-R80*AC80/1000) )</f>
        <v>77.48336287469786</v>
      </c>
      <c r="T80" s="141">
        <f ca="1">IF(($B80-R80*IF(ISBLANK(Design!$B$35),Constants!$C$6,Design!$B$35)/1000*(1+Constants!$C$36/100*(AB80-25))-Design!$C$22)/(IF(ISBLANK(Design!$B$34),Design!$B$33,Design!$B$34)/1000000)*S80/100/(IF(ISBLANK(Design!$B$26),Design!$B$25,Design!$B$26)*1000000)&lt;0, 0, ($B80-R80*IF(ISBLANK(Design!$B$35),Constants!$C$6,Design!$B$35)/1000*(1+Constants!$C$36/100*(AB80-25))-Design!$C$22)/(IF(ISBLANK(Design!$B$34),Design!$B$33,Design!$B$34)/1000000)*S80/100/(IF(ISBLANK(Design!$B$26),Design!$B$25,Design!$B$26)*1000000))</f>
        <v>0.34124033676598475</v>
      </c>
      <c r="U80" s="203">
        <f>$B80*Constants!$C$21/1000+IF(ISBLANK(Design!$B$26),Design!$B$25,Design!$B$26)*1000000*(Constants!$D$26+Constants!$D$27)/1000000000*$B80</f>
        <v>3.0671699999999996E-2</v>
      </c>
      <c r="V80" s="203">
        <f>$B80*R80*($B80/(Constants!$C$28*1000000000)*IF(ISBLANK(Design!$B$26),Design!$B$25,Design!$B$26)*1000000/2+$B80/(Constants!$C$29*1000000000)*IF(ISBLANK(Design!$B$26),Design!$B$25,Design!$B$26)*1000000/2)</f>
        <v>2.8955161000000004E-2</v>
      </c>
      <c r="W80" s="203">
        <f t="shared" ca="1" si="14"/>
        <v>0.17995937669899467</v>
      </c>
      <c r="X80" s="203">
        <f t="shared" ca="1" si="15"/>
        <v>5.229612954434662E-2</v>
      </c>
      <c r="Y80" s="203">
        <f>2*R80*Constants!$C$20/1000000000*Constants!$C$25*IF(ISBLANK(Design!$B$26),Design!$B$25,Design!$B$26)*1000000</f>
        <v>4.8000000000000001E-2</v>
      </c>
      <c r="Z80" s="203">
        <f>(Constants!$D$26+Constants!$D$27)/1000000000*$B80*IF(ISBLANK(Design!$B$26),Design!$B$25,Design!$B$26)*1000000</f>
        <v>2.5290699999999996E-2</v>
      </c>
      <c r="AA80" s="203">
        <f t="shared" ca="1" si="16"/>
        <v>0.36517306724334125</v>
      </c>
      <c r="AB80" s="204">
        <f ca="1">AA80*Design!$C$12+$A80</f>
        <v>122.52830722768039</v>
      </c>
      <c r="AC80" s="204">
        <f ca="1">Constants!$D$22+Constants!$D$22*Constants!$C$24/100*(AB80-25)</f>
        <v>129.93449330057234</v>
      </c>
      <c r="AD80" s="204">
        <f ca="1">Constants!$D$23+Constants!$D$23*Constants!$C$24/100*(AB80-25)</f>
        <v>105.57177580671504</v>
      </c>
      <c r="AE80" s="203">
        <f ca="1">(1-Constants!$C$19/1000000000*Design!$B$26*1000000) * ($B80+R80*AD80/1000-R80*AC80/1000) - (R80*AD80/1000+R80*(1+($A80-25)*Constants!$C$36/100)*IF(ISBLANK(Design!$B$35),Constants!$C$6/1000,Design!$B$35/1000))</f>
        <v>2.2397103979317516</v>
      </c>
      <c r="AF80" s="308">
        <f ca="1">IF(AE80&gt;Design!$C$22,Design!$C$22,AE80)</f>
        <v>1.7973333333333334</v>
      </c>
      <c r="AG80" s="215">
        <f>Design!$D$6/3</f>
        <v>0.66666666666666663</v>
      </c>
      <c r="AH80" s="216">
        <f ca="1">IF( 100*(Design!$C$22+AG80*(IF(ISBLANK(Design!$B$35),Constants!$C$6,Design!$B$35)/1000*(1+Constants!$C$36/100*(AQ80-25))+AS80/1000))/($B80-AG80*AR80/1000) &gt; Design!$C$29, Design!$C$29, 100*(Design!$C$22+AG80*(IF(ISBLANK(Design!$B$35),Constants!$C$6,Design!$B$35)/1000*(1+Constants!$C$36/100*(AQ80-25))+AS80/1000))/($B80-AG80*AR80/1000) )</f>
        <v>71.752286697970405</v>
      </c>
      <c r="AI80" s="143">
        <f ca="1">IF(($B80-AG80*IF(ISBLANK(Design!$B$35),Constants!$C$6,Design!$B$35)/1000*(1+Constants!$C$36/100*(AQ80-25))-Design!$C$22)/(IF(ISBLANK(Design!$B$34),Design!$B$33,Design!$B$34)/1000000)*AH80/100/(IF(ISBLANK(Design!$B$26),Design!$B$25,Design!$B$26)*1000000)&lt;0, 0, ($B80-AG80*IF(ISBLANK(Design!$B$35),Constants!$C$6,Design!$B$35)/1000*(1+Constants!$C$36/100*(AQ80-25))-Design!$C$22)/(IF(ISBLANK(Design!$B$34),Design!$B$33,Design!$B$34)/1000000)*AH80/100/(IF(ISBLANK(Design!$B$26),Design!$B$25,Design!$B$26)*1000000))</f>
        <v>0.31828185439809464</v>
      </c>
      <c r="AJ80" s="217">
        <f>$B80*Constants!$C$21/1000+IF(ISBLANK(Design!$B$26),Design!$B$25,Design!$B$26)*1000000*(Constants!$D$26+Constants!$D$27)/1000000000*$B80</f>
        <v>3.0671699999999996E-2</v>
      </c>
      <c r="AK80" s="217">
        <f>$B80*AG80*($B80/(Constants!$C$28*1000000000)*IF(ISBLANK(Design!$B$26),Design!$B$25,Design!$B$26)*1000000/2+$B80/(Constants!$C$29*1000000000)*IF(ISBLANK(Design!$B$26),Design!$B$25,Design!$B$26)*1000000/2)</f>
        <v>1.4477580500000002E-2</v>
      </c>
      <c r="AL80" s="217">
        <f t="shared" ca="1" si="17"/>
        <v>4.0511830810074569E-2</v>
      </c>
      <c r="AM80" s="217">
        <f t="shared" ca="1" si="18"/>
        <v>1.5948851733190626E-2</v>
      </c>
      <c r="AN80" s="217">
        <f>2*AG80*Constants!$C$20/1000000000*Constants!$C$25*IF(ISBLANK(Design!$B$26),Design!$B$25,Design!$B$26)*1000000</f>
        <v>2.4E-2</v>
      </c>
      <c r="AO80" s="217">
        <f>(Constants!$D$26+Constants!$D$27)/1000000000*$B80*IF(ISBLANK(Design!$B$26),Design!$B$25,Design!$B$26)*1000000</f>
        <v>2.5290699999999996E-2</v>
      </c>
      <c r="AP80" s="217">
        <f t="shared" ca="1" si="19"/>
        <v>0.15090066304326519</v>
      </c>
      <c r="AQ80" s="218">
        <f ca="1">AP80*Design!$C$12+$A80</f>
        <v>112.24323182607672</v>
      </c>
      <c r="AR80" s="218">
        <f ca="1">Constants!$D$22+Constants!$D$22*Constants!$C$24/100*(AQ80-25)</f>
        <v>124.66853469495129</v>
      </c>
      <c r="AS80" s="218">
        <f ca="1">Constants!$D$23+Constants!$D$23*Constants!$C$24/100*(AQ80-25)</f>
        <v>101.29318443964792</v>
      </c>
      <c r="AT80" s="217">
        <f ca="1">(1-Constants!$C$19/1000000000*Design!$B$26*1000000) * ($B80+AG80*AS80/1000-AG80*AR80/1000) - (AG80*AS80/1000+AG80*(1+($A80-25)*Constants!$C$36/100)*IF(ISBLANK(Design!$B$35),Constants!$C$6/1000,Design!$B$35/1000))</f>
        <v>2.3340250135537195</v>
      </c>
      <c r="AU80" s="311">
        <f ca="1">IF(AT80&gt;Design!$C$22,Design!$C$22,AT80)</f>
        <v>1.7973333333333334</v>
      </c>
    </row>
    <row r="81" spans="1:47" ht="12.75" customHeight="1">
      <c r="A81" s="136">
        <f>Design!$D$13</f>
        <v>105</v>
      </c>
      <c r="B81" s="137">
        <f t="shared" si="10"/>
        <v>2.6160000000000001</v>
      </c>
      <c r="C81" s="138">
        <f>Design!$D$6</f>
        <v>2</v>
      </c>
      <c r="D81" s="193">
        <f ca="1">IF( 100*(Design!$C$22+C81*(IF(ISBLANK(Design!$B$35),Constants!$C$6,Design!$B$35)/1000*(1+Constants!$C$36/100*(M81-25))+O81/1000))/($B81-C81*N81/1000) &gt; Design!$C$29, Design!$C$29, 100*(Design!$C$22+C81*(IF(ISBLANK(Design!$B$35),Constants!$C$6,Design!$B$35)/1000*(1+Constants!$C$36/100*(M81-25))+O81/1000))/($B81-C81*N81/1000) )</f>
        <v>84</v>
      </c>
      <c r="E81" s="139">
        <f ca="1">IF(($B81-C81*IF(ISBLANK(Design!$B$35),Constants!$C$6,Design!$B$35)/1000*(1+Constants!$C$36/100*(M81-25))-Design!$C$22)/(IF(ISBLANK(Design!$B$34),Design!$B$33,Design!$B$34)/1000000)*D81/100/(IF(ISBLANK(Design!$B$26),Design!$B$25,Design!$B$26)*1000000)&lt;0, 0, ($B81-C81*IF(ISBLANK(Design!$B$35),Constants!$C$6,Design!$B$35)/1000*(1+Constants!$C$36/100*(M81-25))-Design!$C$22)/(IF(ISBLANK(Design!$B$34),Design!$B$33,Design!$B$34)/1000000)*D81/100/(IF(ISBLANK(Design!$B$26),Design!$B$25,Design!$B$26)*1000000))</f>
        <v>0.33567415977185017</v>
      </c>
      <c r="F81" s="186">
        <f>$B81*Constants!$C$21/1000+IF(ISBLANK(Design!$B$26),Design!$B$25,Design!$B$26)*1000000*(Constants!$D$26+Constants!$D$27)/1000000000*$B81</f>
        <v>2.9822399999999999E-2</v>
      </c>
      <c r="G81" s="186">
        <f>$B81*C81*($B81/(Constants!$C$28*1000000000)*IF(ISBLANK(Design!$B$26),Design!$B$25,Design!$B$26)*1000000/2+$B81/(Constants!$C$29*1000000000)*IF(ISBLANK(Design!$B$26),Design!$B$25,Design!$B$26)*1000000/2)</f>
        <v>4.1060736000000007E-2</v>
      </c>
      <c r="H81" s="186">
        <f t="shared" ca="1" si="11"/>
        <v>0.46728514114917485</v>
      </c>
      <c r="I81" s="186">
        <f t="shared" ca="1" si="12"/>
        <v>8.9006693552223806E-2</v>
      </c>
      <c r="J81" s="186">
        <f>2*C81*Constants!$C$20/1000000000*Constants!$C$25*IF(ISBLANK(Design!$B$26),Design!$B$25,Design!$B$26)*1000000</f>
        <v>7.1999999999999995E-2</v>
      </c>
      <c r="K81" s="186">
        <f>(Constants!$D$26+Constants!$D$27)/1000000000*$B81*IF(ISBLANK(Design!$B$26),Design!$B$25,Design!$B$26)*1000000</f>
        <v>2.4590399999999995E-2</v>
      </c>
      <c r="L81" s="186">
        <f t="shared" ca="1" si="13"/>
        <v>0.72376537070139868</v>
      </c>
      <c r="M81" s="187">
        <f ca="1">L81*Design!$C$12+$A81</f>
        <v>139.74073779366714</v>
      </c>
      <c r="N81" s="187">
        <f ca="1">Constants!$D$22+Constants!$D$22*Constants!$C$24/100*(M81-25)</f>
        <v>138.74725775035756</v>
      </c>
      <c r="O81" s="187">
        <f ca="1">Constants!$D$23+Constants!$D$23*Constants!$C$24/100*(M81-25)</f>
        <v>112.73214692216553</v>
      </c>
      <c r="P81" s="186">
        <f ca="1">(1-Constants!$C$19/1000000000*Design!$B$26*1000000) * ($B81+C81*O81/1000-C81*N81/1000) - (C81*O81/1000+C81*(1+($A81-25)*Constants!$C$36/100)*IF(ISBLANK(Design!$B$35),Constants!$C$6/1000,Design!$B$35/1000))</f>
        <v>2.064495546664924</v>
      </c>
      <c r="Q81" s="191">
        <f ca="1">IF(P81&gt;Design!$C$22,Design!$C$22,P81)</f>
        <v>1.7973333333333334</v>
      </c>
      <c r="R81" s="140">
        <f>2*Design!$D$6/3</f>
        <v>1.3333333333333333</v>
      </c>
      <c r="S81" s="202">
        <f ca="1">IF( 100*(Design!$C$22+R81*(IF(ISBLANK(Design!$B$35),Constants!$C$6,Design!$B$35)/1000*(1+Constants!$C$36/100*(AB81-25))+AD81/1000))/($B81-R81*AC81/1000) &gt; Design!$C$29, Design!$C$29, 100*(Design!$C$22+R81*(IF(ISBLANK(Design!$B$35),Constants!$C$6,Design!$B$35)/1000*(1+Constants!$C$36/100*(AB81-25))+AD81/1000))/($B81-R81*AC81/1000) )</f>
        <v>79.838852137035346</v>
      </c>
      <c r="T81" s="141">
        <f ca="1">IF(($B81-R81*IF(ISBLANK(Design!$B$35),Constants!$C$6,Design!$B$35)/1000*(1+Constants!$C$36/100*(AB81-25))-Design!$C$22)/(IF(ISBLANK(Design!$B$34),Design!$B$33,Design!$B$34)/1000000)*S81/100/(IF(ISBLANK(Design!$B$26),Design!$B$25,Design!$B$26)*1000000)&lt;0, 0, ($B81-R81*IF(ISBLANK(Design!$B$35),Constants!$C$6,Design!$B$35)/1000*(1+Constants!$C$36/100*(AB81-25))-Design!$C$22)/(IF(ISBLANK(Design!$B$34),Design!$B$33,Design!$B$34)/1000000)*S81/100/(IF(ISBLANK(Design!$B$26),Design!$B$25,Design!$B$26)*1000000))</f>
        <v>0.32187634947176413</v>
      </c>
      <c r="U81" s="203">
        <f>$B81*Constants!$C$21/1000+IF(ISBLANK(Design!$B$26),Design!$B$25,Design!$B$26)*1000000*(Constants!$D$26+Constants!$D$27)/1000000000*$B81</f>
        <v>2.9822399999999999E-2</v>
      </c>
      <c r="V81" s="203">
        <f>$B81*R81*($B81/(Constants!$C$28*1000000000)*IF(ISBLANK(Design!$B$26),Design!$B$25,Design!$B$26)*1000000/2+$B81/(Constants!$C$29*1000000000)*IF(ISBLANK(Design!$B$26),Design!$B$25,Design!$B$26)*1000000/2)</f>
        <v>2.7373824000000001E-2</v>
      </c>
      <c r="W81" s="203">
        <f t="shared" ca="1" si="14"/>
        <v>0.18519924461839926</v>
      </c>
      <c r="X81" s="203">
        <f t="shared" ca="1" si="15"/>
        <v>4.676707210735153E-2</v>
      </c>
      <c r="Y81" s="203">
        <f>2*R81*Constants!$C$20/1000000000*Constants!$C$25*IF(ISBLANK(Design!$B$26),Design!$B$25,Design!$B$26)*1000000</f>
        <v>4.8000000000000001E-2</v>
      </c>
      <c r="Z81" s="203">
        <f>(Constants!$D$26+Constants!$D$27)/1000000000*$B81*IF(ISBLANK(Design!$B$26),Design!$B$25,Design!$B$26)*1000000</f>
        <v>2.4590399999999995E-2</v>
      </c>
      <c r="AA81" s="203">
        <f t="shared" ca="1" si="16"/>
        <v>0.36175294072575082</v>
      </c>
      <c r="AB81" s="204">
        <f ca="1">AA81*Design!$C$12+$A81</f>
        <v>122.36414115483603</v>
      </c>
      <c r="AC81" s="204">
        <f ca="1">Constants!$D$22+Constants!$D$22*Constants!$C$24/100*(AB81-25)</f>
        <v>129.85044027127606</v>
      </c>
      <c r="AD81" s="204">
        <f ca="1">Constants!$D$23+Constants!$D$23*Constants!$C$24/100*(AB81-25)</f>
        <v>105.5034827204118</v>
      </c>
      <c r="AE81" s="203">
        <f ca="1">(1-Constants!$C$19/1000000000*Design!$B$26*1000000) * ($B81+R81*AD81/1000-R81*AC81/1000) - (R81*AD81/1000+R81*(1+($A81-25)*Constants!$C$36/100)*IF(ISBLANK(Design!$B$35),Constants!$C$6/1000,Design!$B$35/1000))</f>
        <v>2.1727703673117471</v>
      </c>
      <c r="AF81" s="308">
        <f ca="1">IF(AE81&gt;Design!$C$22,Design!$C$22,AE81)</f>
        <v>1.7973333333333334</v>
      </c>
      <c r="AG81" s="215">
        <f>Design!$D$6/3</f>
        <v>0.66666666666666663</v>
      </c>
      <c r="AH81" s="216">
        <f ca="1">IF( 100*(Design!$C$22+AG81*(IF(ISBLANK(Design!$B$35),Constants!$C$6,Design!$B$35)/1000*(1+Constants!$C$36/100*(AQ81-25))+AS81/1000))/($B81-AG81*AR81/1000) &gt; Design!$C$29, Design!$C$29, 100*(Design!$C$22+AG81*(IF(ISBLANK(Design!$B$35),Constants!$C$6,Design!$B$35)/1000*(1+Constants!$C$36/100*(AQ81-25))+AS81/1000))/($B81-AG81*AR81/1000) )</f>
        <v>73.860166209798933</v>
      </c>
      <c r="AI81" s="143">
        <f ca="1">IF(($B81-AG81*IF(ISBLANK(Design!$B$35),Constants!$C$6,Design!$B$35)/1000*(1+Constants!$C$36/100*(AQ81-25))-Design!$C$22)/(IF(ISBLANK(Design!$B$34),Design!$B$33,Design!$B$34)/1000000)*AH81/100/(IF(ISBLANK(Design!$B$26),Design!$B$25,Design!$B$26)*1000000)&lt;0, 0, ($B81-AG81*IF(ISBLANK(Design!$B$35),Constants!$C$6,Design!$B$35)/1000*(1+Constants!$C$36/100*(AQ81-25))-Design!$C$22)/(IF(ISBLANK(Design!$B$34),Design!$B$33,Design!$B$34)/1000000)*AH81/100/(IF(ISBLANK(Design!$B$26),Design!$B$25,Design!$B$26)*1000000))</f>
        <v>0.30011993746546783</v>
      </c>
      <c r="AJ81" s="217">
        <f>$B81*Constants!$C$21/1000+IF(ISBLANK(Design!$B$26),Design!$B$25,Design!$B$26)*1000000*(Constants!$D$26+Constants!$D$27)/1000000000*$B81</f>
        <v>2.9822399999999999E-2</v>
      </c>
      <c r="AK81" s="217">
        <f>$B81*AG81*($B81/(Constants!$C$28*1000000000)*IF(ISBLANK(Design!$B$26),Design!$B$25,Design!$B$26)*1000000/2+$B81/(Constants!$C$29*1000000000)*IF(ISBLANK(Design!$B$26),Design!$B$25,Design!$B$26)*1000000/2)</f>
        <v>1.3686912000000001E-2</v>
      </c>
      <c r="AL81" s="217">
        <f t="shared" ca="1" si="17"/>
        <v>4.1595389019785406E-2</v>
      </c>
      <c r="AM81" s="217">
        <f t="shared" ca="1" si="18"/>
        <v>1.4721014197659556E-2</v>
      </c>
      <c r="AN81" s="217">
        <f>2*AG81*Constants!$C$20/1000000000*Constants!$C$25*IF(ISBLANK(Design!$B$26),Design!$B$25,Design!$B$26)*1000000</f>
        <v>2.4E-2</v>
      </c>
      <c r="AO81" s="217">
        <f>(Constants!$D$26+Constants!$D$27)/1000000000*$B81*IF(ISBLANK(Design!$B$26),Design!$B$25,Design!$B$26)*1000000</f>
        <v>2.4590399999999995E-2</v>
      </c>
      <c r="AP81" s="217">
        <f t="shared" ca="1" si="19"/>
        <v>0.14841611521744494</v>
      </c>
      <c r="AQ81" s="218">
        <f ca="1">AP81*Design!$C$12+$A81</f>
        <v>112.12397353043735</v>
      </c>
      <c r="AR81" s="218">
        <f ca="1">Constants!$D$22+Constants!$D$22*Constants!$C$24/100*(AQ81-25)</f>
        <v>124.60747444758393</v>
      </c>
      <c r="AS81" s="218">
        <f ca="1">Constants!$D$23+Constants!$D$23*Constants!$C$24/100*(AQ81-25)</f>
        <v>101.24357298866195</v>
      </c>
      <c r="AT81" s="217">
        <f ca="1">(1-Constants!$C$19/1000000000*Design!$B$26*1000000) * ($B81+AG81*AS81/1000-AG81*AR81/1000) - (AG81*AS81/1000+AG81*(1+($A81-25)*Constants!$C$36/100)*IF(ISBLANK(Design!$B$35),Constants!$C$6/1000,Design!$B$35/1000))</f>
        <v>2.267014957132206</v>
      </c>
      <c r="AU81" s="311">
        <f ca="1">IF(AT81&gt;Design!$C$22,Design!$C$22,AT81)</f>
        <v>1.7973333333333334</v>
      </c>
    </row>
    <row r="82" spans="1:47" ht="12.75" customHeight="1">
      <c r="A82" s="136">
        <f>Design!$D$13</f>
        <v>105</v>
      </c>
      <c r="B82" s="137">
        <f t="shared" si="10"/>
        <v>2.5415000000000001</v>
      </c>
      <c r="C82" s="138">
        <f>Design!$D$6</f>
        <v>2</v>
      </c>
      <c r="D82" s="193">
        <f ca="1">IF( 100*(Design!$C$22+C82*(IF(ISBLANK(Design!$B$35),Constants!$C$6,Design!$B$35)/1000*(1+Constants!$C$36/100*(M82-25))+O82/1000))/($B82-C82*N82/1000) &gt; Design!$C$29, Design!$C$29, 100*(Design!$C$22+C82*(IF(ISBLANK(Design!$B$35),Constants!$C$6,Design!$B$35)/1000*(1+Constants!$C$36/100*(M82-25))+O82/1000))/($B82-C82*N82/1000) )</f>
        <v>84</v>
      </c>
      <c r="E82" s="139">
        <f ca="1">IF(($B82-C82*IF(ISBLANK(Design!$B$35),Constants!$C$6,Design!$B$35)/1000*(1+Constants!$C$36/100*(M82-25))-Design!$C$22)/(IF(ISBLANK(Design!$B$34),Design!$B$33,Design!$B$34)/1000000)*D82/100/(IF(ISBLANK(Design!$B$26),Design!$B$25,Design!$B$26)*1000000)&lt;0, 0, ($B82-C82*IF(ISBLANK(Design!$B$35),Constants!$C$6,Design!$B$35)/1000*(1+Constants!$C$36/100*(M82-25))-Design!$C$22)/(IF(ISBLANK(Design!$B$34),Design!$B$33,Design!$B$34)/1000000)*D82/100/(IF(ISBLANK(Design!$B$26),Design!$B$25,Design!$B$26)*1000000))</f>
        <v>0.30438897230738582</v>
      </c>
      <c r="F82" s="186">
        <f>$B82*Constants!$C$21/1000+IF(ISBLANK(Design!$B$26),Design!$B$25,Design!$B$26)*1000000*(Constants!$D$26+Constants!$D$27)/1000000000*$B82</f>
        <v>2.8973099999999998E-2</v>
      </c>
      <c r="G82" s="186">
        <f>$B82*C82*($B82/(Constants!$C$28*1000000000)*IF(ISBLANK(Design!$B$26),Design!$B$25,Design!$B$26)*1000000/2+$B82/(Constants!$C$29*1000000000)*IF(ISBLANK(Design!$B$26),Design!$B$25,Design!$B$26)*1000000/2)</f>
        <v>3.8755333499999996E-2</v>
      </c>
      <c r="H82" s="186">
        <f t="shared" ca="1" si="11"/>
        <v>0.46671562014736401</v>
      </c>
      <c r="I82" s="186">
        <f t="shared" ca="1" si="12"/>
        <v>8.8898213361402675E-2</v>
      </c>
      <c r="J82" s="186">
        <f>2*C82*Constants!$C$20/1000000000*Constants!$C$25*IF(ISBLANK(Design!$B$26),Design!$B$25,Design!$B$26)*1000000</f>
        <v>7.1999999999999995E-2</v>
      </c>
      <c r="K82" s="186">
        <f>(Constants!$D$26+Constants!$D$27)/1000000000*$B82*IF(ISBLANK(Design!$B$26),Design!$B$25,Design!$B$26)*1000000</f>
        <v>2.3890099999999997E-2</v>
      </c>
      <c r="L82" s="186">
        <f t="shared" ca="1" si="13"/>
        <v>0.71923236700876669</v>
      </c>
      <c r="M82" s="187">
        <f ca="1">L82*Design!$C$12+$A82</f>
        <v>139.52315361642081</v>
      </c>
      <c r="N82" s="187">
        <f ca="1">Constants!$D$22+Constants!$D$22*Constants!$C$24/100*(M82-25)</f>
        <v>138.63585465160747</v>
      </c>
      <c r="O82" s="187">
        <f ca="1">Constants!$D$23+Constants!$D$23*Constants!$C$24/100*(M82-25)</f>
        <v>112.64163190443107</v>
      </c>
      <c r="P82" s="186">
        <f ca="1">(1-Constants!$C$19/1000000000*Design!$B$26*1000000) * ($B82+C82*O82/1000-C82*N82/1000) - (C82*O82/1000+C82*(1+($A82-25)*Constants!$C$36/100)*IF(ISBLANK(Design!$B$35),Constants!$C$6/1000,Design!$B$35/1000))</f>
        <v>1.9976641752462201</v>
      </c>
      <c r="Q82" s="191">
        <f ca="1">IF(P82&gt;Design!$C$22,Design!$C$22,P82)</f>
        <v>1.7973333333333334</v>
      </c>
      <c r="R82" s="140">
        <f>2*Design!$D$6/3</f>
        <v>1.3333333333333333</v>
      </c>
      <c r="S82" s="202">
        <f ca="1">IF( 100*(Design!$C$22+R82*(IF(ISBLANK(Design!$B$35),Constants!$C$6,Design!$B$35)/1000*(1+Constants!$C$36/100*(AB82-25))+AD82/1000))/($B82-R82*AC82/1000) &gt; Design!$C$29, Design!$C$29, 100*(Design!$C$22+R82*(IF(ISBLANK(Design!$B$35),Constants!$C$6,Design!$B$35)/1000*(1+Constants!$C$36/100*(AB82-25))+AD82/1000))/($B82-R82*AC82/1000) )</f>
        <v>82.342410675241254</v>
      </c>
      <c r="T82" s="141">
        <f ca="1">IF(($B82-R82*IF(ISBLANK(Design!$B$35),Constants!$C$6,Design!$B$35)/1000*(1+Constants!$C$36/100*(AB82-25))-Design!$C$22)/(IF(ISBLANK(Design!$B$34),Design!$B$33,Design!$B$34)/1000000)*S82/100/(IF(ISBLANK(Design!$B$26),Design!$B$25,Design!$B$26)*1000000)&lt;0, 0, ($B82-R82*IF(ISBLANK(Design!$B$35),Constants!$C$6,Design!$B$35)/1000*(1+Constants!$C$36/100*(AB82-25))-Design!$C$22)/(IF(ISBLANK(Design!$B$34),Design!$B$33,Design!$B$34)/1000000)*S82/100/(IF(ISBLANK(Design!$B$26),Design!$B$25,Design!$B$26)*1000000))</f>
        <v>0.30129942685494826</v>
      </c>
      <c r="U82" s="203">
        <f>$B82*Constants!$C$21/1000+IF(ISBLANK(Design!$B$26),Design!$B$25,Design!$B$26)*1000000*(Constants!$D$26+Constants!$D$27)/1000000000*$B82</f>
        <v>2.8973099999999998E-2</v>
      </c>
      <c r="V82" s="203">
        <f>$B82*R82*($B82/(Constants!$C$28*1000000000)*IF(ISBLANK(Design!$B$26),Design!$B$25,Design!$B$26)*1000000/2+$B82/(Constants!$C$29*1000000000)*IF(ISBLANK(Design!$B$26),Design!$B$25,Design!$B$26)*1000000/2)</f>
        <v>2.5836888999999995E-2</v>
      </c>
      <c r="W82" s="203">
        <f t="shared" ca="1" si="14"/>
        <v>0.19077052764266816</v>
      </c>
      <c r="X82" s="203">
        <f t="shared" ca="1" si="15"/>
        <v>4.0909023731007035E-2</v>
      </c>
      <c r="Y82" s="203">
        <f>2*R82*Constants!$C$20/1000000000*Constants!$C$25*IF(ISBLANK(Design!$B$26),Design!$B$25,Design!$B$26)*1000000</f>
        <v>4.8000000000000001E-2</v>
      </c>
      <c r="Z82" s="203">
        <f>(Constants!$D$26+Constants!$D$27)/1000000000*$B82*IF(ISBLANK(Design!$B$26),Design!$B$25,Design!$B$26)*1000000</f>
        <v>2.3890099999999997E-2</v>
      </c>
      <c r="AA82" s="203">
        <f t="shared" ca="1" si="16"/>
        <v>0.3583796403736752</v>
      </c>
      <c r="AB82" s="204">
        <f ca="1">AA82*Design!$C$12+$A82</f>
        <v>122.20222273793641</v>
      </c>
      <c r="AC82" s="204">
        <f ca="1">Constants!$D$22+Constants!$D$22*Constants!$C$24/100*(AB82-25)</f>
        <v>129.76753804182346</v>
      </c>
      <c r="AD82" s="204">
        <f ca="1">Constants!$D$23+Constants!$D$23*Constants!$C$24/100*(AB82-25)</f>
        <v>105.43612465898156</v>
      </c>
      <c r="AE82" s="203">
        <f ca="1">(1-Constants!$C$19/1000000000*Design!$B$26*1000000) * ($B82+R82*AD82/1000-R82*AC82/1000) - (R82*AD82/1000+R82*(1+($A82-25)*Constants!$C$36/100)*IF(ISBLANK(Design!$B$35),Constants!$C$6/1000,Design!$B$35/1000))</f>
        <v>2.105828831061948</v>
      </c>
      <c r="AF82" s="308">
        <f ca="1">IF(AE82&gt;Design!$C$22,Design!$C$22,AE82)</f>
        <v>1.7973333333333334</v>
      </c>
      <c r="AG82" s="215">
        <f>Design!$D$6/3</f>
        <v>0.66666666666666663</v>
      </c>
      <c r="AH82" s="216">
        <f ca="1">IF( 100*(Design!$C$22+AG82*(IF(ISBLANK(Design!$B$35),Constants!$C$6,Design!$B$35)/1000*(1+Constants!$C$36/100*(AQ82-25))+AS82/1000))/($B82-AG82*AR82/1000) &gt; Design!$C$29, Design!$C$29, 100*(Design!$C$22+AG82*(IF(ISBLANK(Design!$B$35),Constants!$C$6,Design!$B$35)/1000*(1+Constants!$C$36/100*(AQ82-25))+AS82/1000))/($B82-AG82*AR82/1000) )</f>
        <v>76.095752702830623</v>
      </c>
      <c r="AI82" s="143">
        <f ca="1">IF(($B82-AG82*IF(ISBLANK(Design!$B$35),Constants!$C$6,Design!$B$35)/1000*(1+Constants!$C$36/100*(AQ82-25))-Design!$C$22)/(IF(ISBLANK(Design!$B$34),Design!$B$33,Design!$B$34)/1000000)*AH82/100/(IF(ISBLANK(Design!$B$26),Design!$B$25,Design!$B$26)*1000000)&lt;0, 0, ($B82-AG82*IF(ISBLANK(Design!$B$35),Constants!$C$6,Design!$B$35)/1000*(1+Constants!$C$36/100*(AQ82-25))-Design!$C$22)/(IF(ISBLANK(Design!$B$34),Design!$B$33,Design!$B$34)/1000000)*AH82/100/(IF(ISBLANK(Design!$B$26),Design!$B$25,Design!$B$26)*1000000))</f>
        <v>0.28085903609926455</v>
      </c>
      <c r="AJ82" s="217">
        <f>$B82*Constants!$C$21/1000+IF(ISBLANK(Design!$B$26),Design!$B$25,Design!$B$26)*1000000*(Constants!$D$26+Constants!$D$27)/1000000000*$B82</f>
        <v>2.8973099999999998E-2</v>
      </c>
      <c r="AK82" s="217">
        <f>$B82*AG82*($B82/(Constants!$C$28*1000000000)*IF(ISBLANK(Design!$B$26),Design!$B$25,Design!$B$26)*1000000/2+$B82/(Constants!$C$29*1000000000)*IF(ISBLANK(Design!$B$26),Design!$B$25,Design!$B$26)*1000000/2)</f>
        <v>1.2918444499999997E-2</v>
      </c>
      <c r="AL82" s="217">
        <f t="shared" ca="1" si="17"/>
        <v>4.27452066974124E-2</v>
      </c>
      <c r="AM82" s="217">
        <f t="shared" ca="1" si="18"/>
        <v>1.3427713839087342E-2</v>
      </c>
      <c r="AN82" s="217">
        <f>2*AG82*Constants!$C$20/1000000000*Constants!$C$25*IF(ISBLANK(Design!$B$26),Design!$B$25,Design!$B$26)*1000000</f>
        <v>2.4E-2</v>
      </c>
      <c r="AO82" s="217">
        <f>(Constants!$D$26+Constants!$D$27)/1000000000*$B82*IF(ISBLANK(Design!$B$26),Design!$B$25,Design!$B$26)*1000000</f>
        <v>2.3890099999999997E-2</v>
      </c>
      <c r="AP82" s="217">
        <f t="shared" ca="1" si="19"/>
        <v>0.14595456503649973</v>
      </c>
      <c r="AQ82" s="218">
        <f ca="1">AP82*Design!$C$12+$A82</f>
        <v>112.00581912175198</v>
      </c>
      <c r="AR82" s="218">
        <f ca="1">Constants!$D$22+Constants!$D$22*Constants!$C$24/100*(AQ82-25)</f>
        <v>124.54697939033701</v>
      </c>
      <c r="AS82" s="218">
        <f ca="1">Constants!$D$23+Constants!$D$23*Constants!$C$24/100*(AQ82-25)</f>
        <v>101.19442075464883</v>
      </c>
      <c r="AT82" s="217">
        <f ca="1">(1-Constants!$C$19/1000000000*Design!$B$26*1000000) * ($B82+AG82*AS82/1000-AG82*AR82/1000) - (AG82*AS82/1000+AG82*(1+($A82-25)*Constants!$C$36/100)*IF(ISBLANK(Design!$B$35),Constants!$C$6/1000,Design!$B$35/1000))</f>
        <v>2.200004530982155</v>
      </c>
      <c r="AU82" s="311">
        <f ca="1">IF(AT82&gt;Design!$C$22,Design!$C$22,AT82)</f>
        <v>1.7973333333333334</v>
      </c>
    </row>
    <row r="83" spans="1:47" ht="12.75" customHeight="1">
      <c r="A83" s="136">
        <f>Design!$D$13</f>
        <v>105</v>
      </c>
      <c r="B83" s="137">
        <f t="shared" si="10"/>
        <v>2.4670000000000001</v>
      </c>
      <c r="C83" s="138">
        <f>Design!$D$6</f>
        <v>2</v>
      </c>
      <c r="D83" s="193">
        <f ca="1">IF( 100*(Design!$C$22+C83*(IF(ISBLANK(Design!$B$35),Constants!$C$6,Design!$B$35)/1000*(1+Constants!$C$36/100*(M83-25))+O83/1000))/($B83-C83*N83/1000) &gt; Design!$C$29, Design!$C$29, 100*(Design!$C$22+C83*(IF(ISBLANK(Design!$B$35),Constants!$C$6,Design!$B$35)/1000*(1+Constants!$C$36/100*(M83-25))+O83/1000))/($B83-C83*N83/1000) )</f>
        <v>84</v>
      </c>
      <c r="E83" s="139">
        <f ca="1">IF(($B83-C83*IF(ISBLANK(Design!$B$35),Constants!$C$6,Design!$B$35)/1000*(1+Constants!$C$36/100*(M83-25))-Design!$C$22)/(IF(ISBLANK(Design!$B$34),Design!$B$33,Design!$B$34)/1000000)*D83/100/(IF(ISBLANK(Design!$B$26),Design!$B$25,Design!$B$26)*1000000)&lt;0, 0, ($B83-C83*IF(ISBLANK(Design!$B$35),Constants!$C$6,Design!$B$35)/1000*(1+Constants!$C$36/100*(M83-25))-Design!$C$22)/(IF(ISBLANK(Design!$B$34),Design!$B$33,Design!$B$34)/1000000)*D83/100/(IF(ISBLANK(Design!$B$26),Design!$B$25,Design!$B$26)*1000000))</f>
        <v>0.27310367936298341</v>
      </c>
      <c r="F83" s="186">
        <f>$B83*Constants!$C$21/1000+IF(ISBLANK(Design!$B$26),Design!$B$25,Design!$B$26)*1000000*(Constants!$D$26+Constants!$D$27)/1000000000*$B83</f>
        <v>2.8123799999999997E-2</v>
      </c>
      <c r="G83" s="186">
        <f>$B83*C83*($B83/(Constants!$C$28*1000000000)*IF(ISBLANK(Design!$B$26),Design!$B$25,Design!$B$26)*1000000/2+$B83/(Constants!$C$29*1000000000)*IF(ISBLANK(Design!$B$26),Design!$B$25,Design!$B$26)*1000000/2)</f>
        <v>3.651653400000001E-2</v>
      </c>
      <c r="H83" s="186">
        <f t="shared" ca="1" si="11"/>
        <v>0.46617360933865998</v>
      </c>
      <c r="I83" s="186">
        <f t="shared" ca="1" si="12"/>
        <v>8.879497320736382E-2</v>
      </c>
      <c r="J83" s="186">
        <f>2*C83*Constants!$C$20/1000000000*Constants!$C$25*IF(ISBLANK(Design!$B$26),Design!$B$25,Design!$B$26)*1000000</f>
        <v>7.1999999999999995E-2</v>
      </c>
      <c r="K83" s="186">
        <f>(Constants!$D$26+Constants!$D$27)/1000000000*$B83*IF(ISBLANK(Design!$B$26),Design!$B$25,Design!$B$26)*1000000</f>
        <v>2.3189799999999997E-2</v>
      </c>
      <c r="L83" s="186">
        <f t="shared" ca="1" si="13"/>
        <v>0.71479871654602378</v>
      </c>
      <c r="M83" s="187">
        <f ca="1">L83*Design!$C$12+$A83</f>
        <v>139.31033839420914</v>
      </c>
      <c r="N83" s="187">
        <f ca="1">Constants!$D$22+Constants!$D$22*Constants!$C$24/100*(M83-25)</f>
        <v>138.52689325783507</v>
      </c>
      <c r="O83" s="187">
        <f ca="1">Constants!$D$23+Constants!$D$23*Constants!$C$24/100*(M83-25)</f>
        <v>112.55310077199101</v>
      </c>
      <c r="P83" s="186">
        <f ca="1">(1-Constants!$C$19/1000000000*Design!$B$26*1000000) * ($B83+C83*O83/1000-C83*N83/1000) - (C83*O83/1000+C83*(1+($A83-25)*Constants!$C$36/100)*IF(ISBLANK(Design!$B$35),Constants!$C$6/1000,Design!$B$35/1000))</f>
        <v>1.9308280119814991</v>
      </c>
      <c r="Q83" s="191">
        <f ca="1">IF(P83&gt;Design!$C$22,Design!$C$22,P83)</f>
        <v>1.7973333333333334</v>
      </c>
      <c r="R83" s="140">
        <f>2*Design!$D$6/3</f>
        <v>1.3333333333333333</v>
      </c>
      <c r="S83" s="202">
        <f ca="1">IF( 100*(Design!$C$22+R83*(IF(ISBLANK(Design!$B$35),Constants!$C$6,Design!$B$35)/1000*(1+Constants!$C$36/100*(AB83-25))+AD83/1000))/($B83-R83*AC83/1000) &gt; Design!$C$29, Design!$C$29, 100*(Design!$C$22+R83*(IF(ISBLANK(Design!$B$35),Constants!$C$6,Design!$B$35)/1000*(1+Constants!$C$36/100*(AB83-25))+AD83/1000))/($B83-R83*AC83/1000) )</f>
        <v>84</v>
      </c>
      <c r="T83" s="141">
        <f ca="1">IF(($B83-R83*IF(ISBLANK(Design!$B$35),Constants!$C$6,Design!$B$35)/1000*(1+Constants!$C$36/100*(AB83-25))-Design!$C$22)/(IF(ISBLANK(Design!$B$34),Design!$B$33,Design!$B$34)/1000000)*S83/100/(IF(ISBLANK(Design!$B$26),Design!$B$25,Design!$B$26)*1000000)&lt;0, 0, ($B83-R83*IF(ISBLANK(Design!$B$35),Constants!$C$6,Design!$B$35)/1000*(1+Constants!$C$36/100*(AB83-25))-Design!$C$22)/(IF(ISBLANK(Design!$B$34),Design!$B$33,Design!$B$34)/1000000)*S83/100/(IF(ISBLANK(Design!$B$26),Design!$B$25,Design!$B$26)*1000000))</f>
        <v>0.27607708669678926</v>
      </c>
      <c r="U83" s="203">
        <f>$B83*Constants!$C$21/1000+IF(ISBLANK(Design!$B$26),Design!$B$25,Design!$B$26)*1000000*(Constants!$D$26+Constants!$D$27)/1000000000*$B83</f>
        <v>2.8123799999999997E-2</v>
      </c>
      <c r="V83" s="203">
        <f>$B83*R83*($B83/(Constants!$C$28*1000000000)*IF(ISBLANK(Design!$B$26),Design!$B$25,Design!$B$26)*1000000/2+$B83/(Constants!$C$29*1000000000)*IF(ISBLANK(Design!$B$26),Design!$B$25,Design!$B$26)*1000000/2)</f>
        <v>2.4344356000000004E-2</v>
      </c>
      <c r="W83" s="203">
        <f t="shared" ca="1" si="14"/>
        <v>0.19435528875506433</v>
      </c>
      <c r="X83" s="203">
        <f t="shared" ca="1" si="15"/>
        <v>3.7020055000964648E-2</v>
      </c>
      <c r="Y83" s="203">
        <f>2*R83*Constants!$C$20/1000000000*Constants!$C$25*IF(ISBLANK(Design!$B$26),Design!$B$25,Design!$B$26)*1000000</f>
        <v>4.8000000000000001E-2</v>
      </c>
      <c r="Z83" s="203">
        <f>(Constants!$D$26+Constants!$D$27)/1000000000*$B83*IF(ISBLANK(Design!$B$26),Design!$B$25,Design!$B$26)*1000000</f>
        <v>2.3189799999999997E-2</v>
      </c>
      <c r="AA83" s="203">
        <f t="shared" ca="1" si="16"/>
        <v>0.35503329975602899</v>
      </c>
      <c r="AB83" s="204">
        <f ca="1">AA83*Design!$C$12+$A83</f>
        <v>122.04159838828939</v>
      </c>
      <c r="AC83" s="204">
        <f ca="1">Constants!$D$22+Constants!$D$22*Constants!$C$24/100*(AB83-25)</f>
        <v>129.68529837480418</v>
      </c>
      <c r="AD83" s="204">
        <f ca="1">Constants!$D$23+Constants!$D$23*Constants!$C$24/100*(AB83-25)</f>
        <v>105.3693049295284</v>
      </c>
      <c r="AE83" s="203">
        <f ca="1">(1-Constants!$C$19/1000000000*Design!$B$26*1000000) * ($B83+R83*AD83/1000-R83*AC83/1000) - (R83*AD83/1000+R83*(1+($A83-25)*Constants!$C$36/100)*IF(ISBLANK(Design!$B$35),Constants!$C$6/1000,Design!$B$35/1000))</f>
        <v>2.0388864279596315</v>
      </c>
      <c r="AF83" s="308">
        <f ca="1">IF(AE83&gt;Design!$C$22,Design!$C$22,AE83)</f>
        <v>1.7973333333333334</v>
      </c>
      <c r="AG83" s="215">
        <f>Design!$D$6/3</f>
        <v>0.66666666666666663</v>
      </c>
      <c r="AH83" s="216">
        <f ca="1">IF( 100*(Design!$C$22+AG83*(IF(ISBLANK(Design!$B$35),Constants!$C$6,Design!$B$35)/1000*(1+Constants!$C$36/100*(AQ83-25))+AS83/1000))/($B83-AG83*AR83/1000) &gt; Design!$C$29, Design!$C$29, 100*(Design!$C$22+AG83*(IF(ISBLANK(Design!$B$35),Constants!$C$6,Design!$B$35)/1000*(1+Constants!$C$36/100*(AQ83-25))+AS83/1000))/($B83-AG83*AR83/1000) )</f>
        <v>78.471014111301585</v>
      </c>
      <c r="AI83" s="143">
        <f ca="1">IF(($B83-AG83*IF(ISBLANK(Design!$B$35),Constants!$C$6,Design!$B$35)/1000*(1+Constants!$C$36/100*(AQ83-25))-Design!$C$22)/(IF(ISBLANK(Design!$B$34),Design!$B$33,Design!$B$34)/1000000)*AH83/100/(IF(ISBLANK(Design!$B$26),Design!$B$25,Design!$B$26)*1000000)&lt;0, 0, ($B83-AG83*IF(ISBLANK(Design!$B$35),Constants!$C$6,Design!$B$35)/1000*(1+Constants!$C$36/100*(AQ83-25))-Design!$C$22)/(IF(ISBLANK(Design!$B$34),Design!$B$33,Design!$B$34)/1000000)*AH83/100/(IF(ISBLANK(Design!$B$26),Design!$B$25,Design!$B$26)*1000000))</f>
        <v>0.26039615489673823</v>
      </c>
      <c r="AJ83" s="217">
        <f>$B83*Constants!$C$21/1000+IF(ISBLANK(Design!$B$26),Design!$B$25,Design!$B$26)*1000000*(Constants!$D$26+Constants!$D$27)/1000000000*$B83</f>
        <v>2.8123799999999997E-2</v>
      </c>
      <c r="AK83" s="217">
        <f>$B83*AG83*($B83/(Constants!$C$28*1000000000)*IF(ISBLANK(Design!$B$26),Design!$B$25,Design!$B$26)*1000000/2+$B83/(Constants!$C$29*1000000000)*IF(ISBLANK(Design!$B$26),Design!$B$25,Design!$B$26)*1000000/2)</f>
        <v>1.2172178000000002E-2</v>
      </c>
      <c r="AL83" s="217">
        <f t="shared" ca="1" si="17"/>
        <v>4.3968095297798646E-2</v>
      </c>
      <c r="AM83" s="217">
        <f t="shared" ca="1" si="18"/>
        <v>1.2062906462208246E-2</v>
      </c>
      <c r="AN83" s="217">
        <f>2*AG83*Constants!$C$20/1000000000*Constants!$C$25*IF(ISBLANK(Design!$B$26),Design!$B$25,Design!$B$26)*1000000</f>
        <v>2.4E-2</v>
      </c>
      <c r="AO83" s="217">
        <f>(Constants!$D$26+Constants!$D$27)/1000000000*$B83*IF(ISBLANK(Design!$B$26),Design!$B$25,Design!$B$26)*1000000</f>
        <v>2.3189799999999997E-2</v>
      </c>
      <c r="AP83" s="217">
        <f t="shared" ca="1" si="19"/>
        <v>0.14351677976000687</v>
      </c>
      <c r="AQ83" s="218">
        <f ca="1">AP83*Design!$C$12+$A83</f>
        <v>111.88880542848032</v>
      </c>
      <c r="AR83" s="218">
        <f ca="1">Constants!$D$22+Constants!$D$22*Constants!$C$24/100*(AQ83-25)</f>
        <v>124.48706837938192</v>
      </c>
      <c r="AS83" s="218">
        <f ca="1">Constants!$D$23+Constants!$D$23*Constants!$C$24/100*(AQ83-25)</f>
        <v>101.14574305824782</v>
      </c>
      <c r="AT83" s="217">
        <f ca="1">(1-Constants!$C$19/1000000000*Design!$B$26*1000000) * ($B83+AG83*AS83/1000-AG83*AR83/1000) - (AG83*AS83/1000+AG83*(1+($A83-25)*Constants!$C$36/100)*IF(ISBLANK(Design!$B$35),Constants!$C$6/1000,Design!$B$35/1000))</f>
        <v>2.1329937227684881</v>
      </c>
      <c r="AU83" s="311">
        <f ca="1">IF(AT83&gt;Design!$C$22,Design!$C$22,AT83)</f>
        <v>1.7973333333333334</v>
      </c>
    </row>
    <row r="84" spans="1:47" ht="12.75" customHeight="1">
      <c r="A84" s="136">
        <f>Design!$D$13</f>
        <v>105</v>
      </c>
      <c r="B84" s="137">
        <f t="shared" si="10"/>
        <v>2.3925000000000001</v>
      </c>
      <c r="C84" s="138">
        <f>Design!$D$6</f>
        <v>2</v>
      </c>
      <c r="D84" s="193">
        <f ca="1">IF( 100*(Design!$C$22+C84*(IF(ISBLANK(Design!$B$35),Constants!$C$6,Design!$B$35)/1000*(1+Constants!$C$36/100*(M84-25))+O84/1000))/($B84-C84*N84/1000) &gt; Design!$C$29, Design!$C$29, 100*(Design!$C$22+C84*(IF(ISBLANK(Design!$B$35),Constants!$C$6,Design!$B$35)/1000*(1+Constants!$C$36/100*(M84-25))+O84/1000))/($B84-C84*N84/1000) )</f>
        <v>84</v>
      </c>
      <c r="E84" s="139">
        <f ca="1">IF(($B84-C84*IF(ISBLANK(Design!$B$35),Constants!$C$6,Design!$B$35)/1000*(1+Constants!$C$36/100*(M84-25))-Design!$C$22)/(IF(ISBLANK(Design!$B$34),Design!$B$33,Design!$B$34)/1000000)*D84/100/(IF(ISBLANK(Design!$B$26),Design!$B$25,Design!$B$26)*1000000)&lt;0, 0, ($B84-C84*IF(ISBLANK(Design!$B$35),Constants!$C$6,Design!$B$35)/1000*(1+Constants!$C$36/100*(M84-25))-Design!$C$22)/(IF(ISBLANK(Design!$B$34),Design!$B$33,Design!$B$34)/1000000)*D84/100/(IF(ISBLANK(Design!$B$26),Design!$B$25,Design!$B$26)*1000000))</f>
        <v>0.24181828101415037</v>
      </c>
      <c r="F84" s="186">
        <f>$B84*Constants!$C$21/1000+IF(ISBLANK(Design!$B$26),Design!$B$25,Design!$B$26)*1000000*(Constants!$D$26+Constants!$D$27)/1000000000*$B84</f>
        <v>2.72745E-2</v>
      </c>
      <c r="G84" s="186">
        <f>$B84*C84*($B84/(Constants!$C$28*1000000000)*IF(ISBLANK(Design!$B$26),Design!$B$25,Design!$B$26)*1000000/2+$B84/(Constants!$C$29*1000000000)*IF(ISBLANK(Design!$B$26),Design!$B$25,Design!$B$26)*1000000/2)</f>
        <v>3.4344337500000002E-2</v>
      </c>
      <c r="H84" s="186">
        <f t="shared" ca="1" si="11"/>
        <v>0.46565904898059507</v>
      </c>
      <c r="I84" s="186">
        <f t="shared" ca="1" si="12"/>
        <v>8.8696961710589564E-2</v>
      </c>
      <c r="J84" s="186">
        <f>2*C84*Constants!$C$20/1000000000*Constants!$C$25*IF(ISBLANK(Design!$B$26),Design!$B$25,Design!$B$26)*1000000</f>
        <v>7.1999999999999995E-2</v>
      </c>
      <c r="K84" s="186">
        <f>(Constants!$D$26+Constants!$D$27)/1000000000*$B84*IF(ISBLANK(Design!$B$26),Design!$B$25,Design!$B$26)*1000000</f>
        <v>2.2489499999999999E-2</v>
      </c>
      <c r="L84" s="186">
        <f t="shared" ca="1" si="13"/>
        <v>0.71046434819118465</v>
      </c>
      <c r="M84" s="187">
        <f ca="1">L84*Design!$C$12+$A84</f>
        <v>139.10228871317685</v>
      </c>
      <c r="N84" s="187">
        <f ca="1">Constants!$D$22+Constants!$D$22*Constants!$C$24/100*(M84-25)</f>
        <v>138.42037182114655</v>
      </c>
      <c r="O84" s="187">
        <f ca="1">Constants!$D$23+Constants!$D$23*Constants!$C$24/100*(M84-25)</f>
        <v>112.46655210468157</v>
      </c>
      <c r="P84" s="186">
        <f ca="1">(1-Constants!$C$19/1000000000*Design!$B$26*1000000) * ($B84+C84*O84/1000-C84*N84/1000) - (C84*O84/1000+C84*(1+($A84-25)*Constants!$C$36/100)*IF(ISBLANK(Design!$B$35),Constants!$C$6/1000,Design!$B$35/1000))</f>
        <v>1.863987060301</v>
      </c>
      <c r="Q84" s="191">
        <f ca="1">IF(P84&gt;Design!$C$22,Design!$C$22,P84)</f>
        <v>1.7973333333333334</v>
      </c>
      <c r="R84" s="140">
        <f>2*Design!$D$6/3</f>
        <v>1.3333333333333333</v>
      </c>
      <c r="S84" s="202">
        <f ca="1">IF( 100*(Design!$C$22+R84*(IF(ISBLANK(Design!$B$35),Constants!$C$6,Design!$B$35)/1000*(1+Constants!$C$36/100*(AB84-25))+AD84/1000))/($B84-R84*AC84/1000) &gt; Design!$C$29, Design!$C$29, 100*(Design!$C$22+R84*(IF(ISBLANK(Design!$B$35),Constants!$C$6,Design!$B$35)/1000*(1+Constants!$C$36/100*(AB84-25))+AD84/1000))/($B84-R84*AC84/1000) )</f>
        <v>84</v>
      </c>
      <c r="T84" s="141">
        <f ca="1">IF(($B84-R84*IF(ISBLANK(Design!$B$35),Constants!$C$6,Design!$B$35)/1000*(1+Constants!$C$36/100*(AB84-25))-Design!$C$22)/(IF(ISBLANK(Design!$B$34),Design!$B$33,Design!$B$34)/1000000)*S84/100/(IF(ISBLANK(Design!$B$26),Design!$B$25,Design!$B$26)*1000000)&lt;0, 0, ($B84-R84*IF(ISBLANK(Design!$B$35),Constants!$C$6,Design!$B$35)/1000*(1+Constants!$C$36/100*(AB84-25))-Design!$C$22)/(IF(ISBLANK(Design!$B$34),Design!$B$33,Design!$B$34)/1000000)*S84/100/(IF(ISBLANK(Design!$B$26),Design!$B$25,Design!$B$26)*1000000))</f>
        <v>0.24478943600775038</v>
      </c>
      <c r="U84" s="203">
        <f>$B84*Constants!$C$21/1000+IF(ISBLANK(Design!$B$26),Design!$B$25,Design!$B$26)*1000000*(Constants!$D$26+Constants!$D$27)/1000000000*$B84</f>
        <v>2.72745E-2</v>
      </c>
      <c r="V84" s="203">
        <f>$B84*R84*($B84/(Constants!$C$28*1000000000)*IF(ISBLANK(Design!$B$26),Design!$B$25,Design!$B$26)*1000000/2+$B84/(Constants!$C$29*1000000000)*IF(ISBLANK(Design!$B$26),Design!$B$25,Design!$B$26)*1000000/2)</f>
        <v>2.2896224999999999E-2</v>
      </c>
      <c r="W84" s="203">
        <f t="shared" ca="1" si="14"/>
        <v>0.1940851876054499</v>
      </c>
      <c r="X84" s="203">
        <f t="shared" ca="1" si="15"/>
        <v>3.6968607162942854E-2</v>
      </c>
      <c r="Y84" s="203">
        <f>2*R84*Constants!$C$20/1000000000*Constants!$C$25*IF(ISBLANK(Design!$B$26),Design!$B$25,Design!$B$26)*1000000</f>
        <v>4.8000000000000001E-2</v>
      </c>
      <c r="Z84" s="203">
        <f>(Constants!$D$26+Constants!$D$27)/1000000000*$B84*IF(ISBLANK(Design!$B$26),Design!$B$25,Design!$B$26)*1000000</f>
        <v>2.2489499999999999E-2</v>
      </c>
      <c r="AA84" s="203">
        <f t="shared" ca="1" si="16"/>
        <v>0.35171401976839273</v>
      </c>
      <c r="AB84" s="204">
        <f ca="1">AA84*Design!$C$12+$A84</f>
        <v>121.88227294888284</v>
      </c>
      <c r="AC84" s="204">
        <f ca="1">Constants!$D$22+Constants!$D$22*Constants!$C$24/100*(AB84-25)</f>
        <v>129.60372374982802</v>
      </c>
      <c r="AD84" s="204">
        <f ca="1">Constants!$D$23+Constants!$D$23*Constants!$C$24/100*(AB84-25)</f>
        <v>105.30302554673526</v>
      </c>
      <c r="AE84" s="203">
        <f ca="1">(1-Constants!$C$19/1000000000*Design!$B$26*1000000) * ($B84+R84*AD84/1000-R84*AC84/1000) - (R84*AD84/1000+R84*(1+($A84-25)*Constants!$C$36/100)*IF(ISBLANK(Design!$B$35),Constants!$C$6/1000,Design!$B$35/1000))</f>
        <v>1.9719431547606421</v>
      </c>
      <c r="AF84" s="308">
        <f ca="1">IF(AE84&gt;Design!$C$22,Design!$C$22,AE84)</f>
        <v>1.7973333333333334</v>
      </c>
      <c r="AG84" s="215">
        <f>Design!$D$6/3</f>
        <v>0.66666666666666663</v>
      </c>
      <c r="AH84" s="216">
        <f ca="1">IF( 100*(Design!$C$22+AG84*(IF(ISBLANK(Design!$B$35),Constants!$C$6,Design!$B$35)/1000*(1+Constants!$C$36/100*(AQ84-25))+AS84/1000))/($B84-AG84*AR84/1000) &gt; Design!$C$29, Design!$C$29, 100*(Design!$C$22+AG84*(IF(ISBLANK(Design!$B$35),Constants!$C$6,Design!$B$35)/1000*(1+Constants!$C$36/100*(AQ84-25))+AS84/1000))/($B84-AG84*AR84/1000) )</f>
        <v>80.999462177724695</v>
      </c>
      <c r="AI84" s="143">
        <f ca="1">IF(($B84-AG84*IF(ISBLANK(Design!$B$35),Constants!$C$6,Design!$B$35)/1000*(1+Constants!$C$36/100*(AQ84-25))-Design!$C$22)/(IF(ISBLANK(Design!$B$34),Design!$B$33,Design!$B$34)/1000000)*AH84/100/(IF(ISBLANK(Design!$B$26),Design!$B$25,Design!$B$26)*1000000)&lt;0, 0, ($B84-AG84*IF(ISBLANK(Design!$B$35),Constants!$C$6,Design!$B$35)/1000*(1+Constants!$C$36/100*(AQ84-25))-Design!$C$22)/(IF(ISBLANK(Design!$B$34),Design!$B$33,Design!$B$34)/1000000)*AH84/100/(IF(ISBLANK(Design!$B$26),Design!$B$25,Design!$B$26)*1000000))</f>
        <v>0.23861501442695346</v>
      </c>
      <c r="AJ84" s="217">
        <f>$B84*Constants!$C$21/1000+IF(ISBLANK(Design!$B$26),Design!$B$25,Design!$B$26)*1000000*(Constants!$D$26+Constants!$D$27)/1000000000*$B84</f>
        <v>2.72745E-2</v>
      </c>
      <c r="AK84" s="217">
        <f>$B84*AG84*($B84/(Constants!$C$28*1000000000)*IF(ISBLANK(Design!$B$26),Design!$B$25,Design!$B$26)*1000000/2+$B84/(Constants!$C$29*1000000000)*IF(ISBLANK(Design!$B$26),Design!$B$25,Design!$B$26)*1000000/2)</f>
        <v>1.14481125E-2</v>
      </c>
      <c r="AL84" s="217">
        <f t="shared" ca="1" si="17"/>
        <v>4.5271902570358478E-2</v>
      </c>
      <c r="AM84" s="217">
        <f t="shared" ca="1" si="18"/>
        <v>1.0619706278877197E-2</v>
      </c>
      <c r="AN84" s="217">
        <f>2*AG84*Constants!$C$20/1000000000*Constants!$C$25*IF(ISBLANK(Design!$B$26),Design!$B$25,Design!$B$26)*1000000</f>
        <v>2.4E-2</v>
      </c>
      <c r="AO84" s="217">
        <f>(Constants!$D$26+Constants!$D$27)/1000000000*$B84*IF(ISBLANK(Design!$B$26),Design!$B$25,Design!$B$26)*1000000</f>
        <v>2.2489499999999999E-2</v>
      </c>
      <c r="AP84" s="217">
        <f t="shared" ca="1" si="19"/>
        <v>0.14110372134923568</v>
      </c>
      <c r="AQ84" s="218">
        <f ca="1">AP84*Design!$C$12+$A84</f>
        <v>111.77297862476331</v>
      </c>
      <c r="AR84" s="218">
        <f ca="1">Constants!$D$22+Constants!$D$22*Constants!$C$24/100*(AQ84-25)</f>
        <v>124.42776505587881</v>
      </c>
      <c r="AS84" s="218">
        <f ca="1">Constants!$D$23+Constants!$D$23*Constants!$C$24/100*(AQ84-25)</f>
        <v>101.09755910790153</v>
      </c>
      <c r="AT84" s="217">
        <f ca="1">(1-Constants!$C$19/1000000000*Design!$B$26*1000000) * ($B84+AG84*AS84/1000-AG84*AR84/1000) - (AG84*AS84/1000+AG84*(1+($A84-25)*Constants!$C$36/100)*IF(ISBLANK(Design!$B$35),Constants!$C$6/1000,Design!$B$35/1000))</f>
        <v>2.0659825170259465</v>
      </c>
      <c r="AU84" s="311">
        <f ca="1">IF(AT84&gt;Design!$C$22,Design!$C$22,AT84)</f>
        <v>1.7973333333333334</v>
      </c>
    </row>
    <row r="85" spans="1:47" ht="12.75" customHeight="1">
      <c r="A85" s="136">
        <f>Design!$D$13</f>
        <v>105</v>
      </c>
      <c r="B85" s="137">
        <f t="shared" si="10"/>
        <v>2.3180000000000001</v>
      </c>
      <c r="C85" s="138">
        <f>Design!$D$6</f>
        <v>2</v>
      </c>
      <c r="D85" s="193">
        <f ca="1">IF( 100*(Design!$C$22+C85*(IF(ISBLANK(Design!$B$35),Constants!$C$6,Design!$B$35)/1000*(1+Constants!$C$36/100*(M85-25))+O85/1000))/($B85-C85*N85/1000) &gt; Design!$C$29, Design!$C$29, 100*(Design!$C$22+C85*(IF(ISBLANK(Design!$B$35),Constants!$C$6,Design!$B$35)/1000*(1+Constants!$C$36/100*(M85-25))+O85/1000))/($B85-C85*N85/1000) )</f>
        <v>84</v>
      </c>
      <c r="E85" s="139">
        <f ca="1">IF(($B85-C85*IF(ISBLANK(Design!$B$35),Constants!$C$6,Design!$B$35)/1000*(1+Constants!$C$36/100*(M85-25))-Design!$C$22)/(IF(ISBLANK(Design!$B$34),Design!$B$33,Design!$B$34)/1000000)*D85/100/(IF(ISBLANK(Design!$B$26),Design!$B$25,Design!$B$26)*1000000)&lt;0, 0, ($B85-C85*IF(ISBLANK(Design!$B$35),Constants!$C$6,Design!$B$35)/1000*(1+Constants!$C$36/100*(M85-25))-Design!$C$22)/(IF(ISBLANK(Design!$B$34),Design!$B$33,Design!$B$34)/1000000)*D85/100/(IF(ISBLANK(Design!$B$26),Design!$B$25,Design!$B$26)*1000000))</f>
        <v>0.21053277733357223</v>
      </c>
      <c r="F85" s="186">
        <f>$B85*Constants!$C$21/1000+IF(ISBLANK(Design!$B$26),Design!$B$25,Design!$B$26)*1000000*(Constants!$D$26+Constants!$D$27)/1000000000*$B85</f>
        <v>2.6425199999999999E-2</v>
      </c>
      <c r="G85" s="186">
        <f>$B85*C85*($B85/(Constants!$C$28*1000000000)*IF(ISBLANK(Design!$B$26),Design!$B$25,Design!$B$26)*1000000/2+$B85/(Constants!$C$29*1000000000)*IF(ISBLANK(Design!$B$26),Design!$B$25,Design!$B$26)*1000000/2)</f>
        <v>3.2238744E-2</v>
      </c>
      <c r="H85" s="186">
        <f t="shared" ca="1" si="11"/>
        <v>0.46517188156401668</v>
      </c>
      <c r="I85" s="186">
        <f t="shared" ca="1" si="12"/>
        <v>8.8604167916955578E-2</v>
      </c>
      <c r="J85" s="186">
        <f>2*C85*Constants!$C$20/1000000000*Constants!$C$25*IF(ISBLANK(Design!$B$26),Design!$B$25,Design!$B$26)*1000000</f>
        <v>7.1999999999999995E-2</v>
      </c>
      <c r="K85" s="186">
        <f>(Constants!$D$26+Constants!$D$27)/1000000000*$B85*IF(ISBLANK(Design!$B$26),Design!$B$25,Design!$B$26)*1000000</f>
        <v>2.1789199999999995E-2</v>
      </c>
      <c r="L85" s="186">
        <f t="shared" ca="1" si="13"/>
        <v>0.70622919348097213</v>
      </c>
      <c r="M85" s="187">
        <f ca="1">L85*Design!$C$12+$A85</f>
        <v>138.89900128708666</v>
      </c>
      <c r="N85" s="187">
        <f ca="1">Constants!$D$22+Constants!$D$22*Constants!$C$24/100*(M85-25)</f>
        <v>138.31628865898836</v>
      </c>
      <c r="O85" s="187">
        <f ca="1">Constants!$D$23+Constants!$D$23*Constants!$C$24/100*(M85-25)</f>
        <v>112.38198453542805</v>
      </c>
      <c r="P85" s="186">
        <f ca="1">(1-Constants!$C$19/1000000000*Design!$B$26*1000000) * ($B85+C85*O85/1000-C85*N85/1000) - (C85*O85/1000+C85*(1+($A85-25)*Constants!$C$36/100)*IF(ISBLANK(Design!$B$35),Constants!$C$6/1000,Design!$B$35/1000))</f>
        <v>1.7971413235067357</v>
      </c>
      <c r="Q85" s="191">
        <f ca="1">IF(P85&gt;Design!$C$22,Design!$C$22,P85)</f>
        <v>1.7971413235067357</v>
      </c>
      <c r="R85" s="140">
        <f>2*Design!$D$6/3</f>
        <v>1.3333333333333333</v>
      </c>
      <c r="S85" s="202">
        <f ca="1">IF( 100*(Design!$C$22+R85*(IF(ISBLANK(Design!$B$35),Constants!$C$6,Design!$B$35)/1000*(1+Constants!$C$36/100*(AB85-25))+AD85/1000))/($B85-R85*AC85/1000) &gt; Design!$C$29, Design!$C$29, 100*(Design!$C$22+R85*(IF(ISBLANK(Design!$B$35),Constants!$C$6,Design!$B$35)/1000*(1+Constants!$C$36/100*(AB85-25))+AD85/1000))/($B85-R85*AC85/1000) )</f>
        <v>84</v>
      </c>
      <c r="T85" s="141">
        <f ca="1">IF(($B85-R85*IF(ISBLANK(Design!$B$35),Constants!$C$6,Design!$B$35)/1000*(1+Constants!$C$36/100*(AB85-25))-Design!$C$22)/(IF(ISBLANK(Design!$B$34),Design!$B$33,Design!$B$34)/1000000)*S85/100/(IF(ISBLANK(Design!$B$26),Design!$B$25,Design!$B$26)*1000000)&lt;0, 0, ($B85-R85*IF(ISBLANK(Design!$B$35),Constants!$C$6,Design!$B$35)/1000*(1+Constants!$C$36/100*(AB85-25))-Design!$C$22)/(IF(ISBLANK(Design!$B$34),Design!$B$33,Design!$B$34)/1000000)*S85/100/(IF(ISBLANK(Design!$B$26),Design!$B$25,Design!$B$26)*1000000))</f>
        <v>0.21350173664762429</v>
      </c>
      <c r="U85" s="203">
        <f>$B85*Constants!$C$21/1000+IF(ISBLANK(Design!$B$26),Design!$B$25,Design!$B$26)*1000000*(Constants!$D$26+Constants!$D$27)/1000000000*$B85</f>
        <v>2.6425199999999999E-2</v>
      </c>
      <c r="V85" s="203">
        <f>$B85*R85*($B85/(Constants!$C$28*1000000000)*IF(ISBLANK(Design!$B$26),Design!$B$25,Design!$B$26)*1000000/2+$B85/(Constants!$C$29*1000000000)*IF(ISBLANK(Design!$B$26),Design!$B$25,Design!$B$26)*1000000/2)</f>
        <v>2.1492496E-2</v>
      </c>
      <c r="W85" s="203">
        <f t="shared" ca="1" si="14"/>
        <v>0.19383555230470267</v>
      </c>
      <c r="X85" s="203">
        <f t="shared" ca="1" si="15"/>
        <v>3.6921057581848139E-2</v>
      </c>
      <c r="Y85" s="203">
        <f>2*R85*Constants!$C$20/1000000000*Constants!$C$25*IF(ISBLANK(Design!$B$26),Design!$B$25,Design!$B$26)*1000000</f>
        <v>4.8000000000000001E-2</v>
      </c>
      <c r="Z85" s="203">
        <f>(Constants!$D$26+Constants!$D$27)/1000000000*$B85*IF(ISBLANK(Design!$B$26),Design!$B$25,Design!$B$26)*1000000</f>
        <v>2.1789199999999995E-2</v>
      </c>
      <c r="AA85" s="203">
        <f t="shared" ca="1" si="16"/>
        <v>0.34846350588655084</v>
      </c>
      <c r="AB85" s="204">
        <f ca="1">AA85*Design!$C$12+$A85</f>
        <v>121.72624828255444</v>
      </c>
      <c r="AC85" s="204">
        <f ca="1">Constants!$D$22+Constants!$D$22*Constants!$C$24/100*(AB85-25)</f>
        <v>129.52383912066787</v>
      </c>
      <c r="AD85" s="204">
        <f ca="1">Constants!$D$23+Constants!$D$23*Constants!$C$24/100*(AB85-25)</f>
        <v>105.23811928554265</v>
      </c>
      <c r="AE85" s="203">
        <f ca="1">(1-Constants!$C$19/1000000000*Design!$B$26*1000000) * ($B85+R85*AD85/1000-R85*AC85/1000) - (R85*AD85/1000+R85*(1+($A85-25)*Constants!$C$36/100)*IF(ISBLANK(Design!$B$35),Constants!$C$6/1000,Design!$B$35/1000))</f>
        <v>1.904997670483793</v>
      </c>
      <c r="AF85" s="308">
        <f ca="1">IF(AE85&gt;Design!$C$22,Design!$C$22,AE85)</f>
        <v>1.7973333333333334</v>
      </c>
      <c r="AG85" s="215">
        <f>Design!$D$6/3</f>
        <v>0.66666666666666663</v>
      </c>
      <c r="AH85" s="216">
        <f ca="1">IF( 100*(Design!$C$22+AG85*(IF(ISBLANK(Design!$B$35),Constants!$C$6,Design!$B$35)/1000*(1+Constants!$C$36/100*(AQ85-25))+AS85/1000))/($B85-AG85*AR85/1000) &gt; Design!$C$29, Design!$C$29, 100*(Design!$C$22+AG85*(IF(ISBLANK(Design!$B$35),Constants!$C$6,Design!$B$35)/1000*(1+Constants!$C$36/100*(AQ85-25))+AS85/1000))/($B85-AG85*AR85/1000) )</f>
        <v>83.696409718723316</v>
      </c>
      <c r="AI85" s="143">
        <f ca="1">IF(($B85-AG85*IF(ISBLANK(Design!$B$35),Constants!$C$6,Design!$B$35)/1000*(1+Constants!$C$36/100*(AQ85-25))-Design!$C$22)/(IF(ISBLANK(Design!$B$34),Design!$B$33,Design!$B$34)/1000000)*AH85/100/(IF(ISBLANK(Design!$B$26),Design!$B$25,Design!$B$26)*1000000)&lt;0, 0, ($B85-AG85*IF(ISBLANK(Design!$B$35),Constants!$C$6,Design!$B$35)/1000*(1+Constants!$C$36/100*(AQ85-25))-Design!$C$22)/(IF(ISBLANK(Design!$B$34),Design!$B$33,Design!$B$34)/1000000)*AH85/100/(IF(ISBLANK(Design!$B$26),Design!$B$25,Design!$B$26)*1000000))</f>
        <v>0.21538383796668351</v>
      </c>
      <c r="AJ85" s="217">
        <f>$B85*Constants!$C$21/1000+IF(ISBLANK(Design!$B$26),Design!$B$25,Design!$B$26)*1000000*(Constants!$D$26+Constants!$D$27)/1000000000*$B85</f>
        <v>2.6425199999999999E-2</v>
      </c>
      <c r="AK85" s="217">
        <f>$B85*AG85*($B85/(Constants!$C$28*1000000000)*IF(ISBLANK(Design!$B$26),Design!$B$25,Design!$B$26)*1000000/2+$B85/(Constants!$C$29*1000000000)*IF(ISBLANK(Design!$B$26),Design!$B$25,Design!$B$26)*1000000/2)</f>
        <v>1.0746248E-2</v>
      </c>
      <c r="AL85" s="217">
        <f t="shared" ca="1" si="17"/>
        <v>4.6665726169967801E-2</v>
      </c>
      <c r="AM85" s="217">
        <f t="shared" ca="1" si="18"/>
        <v>9.0902212198859331E-3</v>
      </c>
      <c r="AN85" s="217">
        <f>2*AG85*Constants!$C$20/1000000000*Constants!$C$25*IF(ISBLANK(Design!$B$26),Design!$B$25,Design!$B$26)*1000000</f>
        <v>2.4E-2</v>
      </c>
      <c r="AO85" s="217">
        <f>(Constants!$D$26+Constants!$D$27)/1000000000*$B85*IF(ISBLANK(Design!$B$26),Design!$B$25,Design!$B$26)*1000000</f>
        <v>2.1789199999999995E-2</v>
      </c>
      <c r="AP85" s="217">
        <f t="shared" ca="1" si="19"/>
        <v>0.13871659538985376</v>
      </c>
      <c r="AQ85" s="218">
        <f ca="1">AP85*Design!$C$12+$A85</f>
        <v>111.65839657871298</v>
      </c>
      <c r="AR85" s="218">
        <f ca="1">Constants!$D$22+Constants!$D$22*Constants!$C$24/100*(AQ85-25)</f>
        <v>124.36909904830105</v>
      </c>
      <c r="AS85" s="218">
        <f ca="1">Constants!$D$23+Constants!$D$23*Constants!$C$24/100*(AQ85-25)</f>
        <v>101.0498929767446</v>
      </c>
      <c r="AT85" s="217">
        <f ca="1">(1-Constants!$C$19/1000000000*Design!$B$26*1000000) * ($B85+AG85*AS85/1000-AG85*AR85/1000) - (AG85*AS85/1000+AG85*(1+($A85-25)*Constants!$C$36/100)*IF(ISBLANK(Design!$B$35),Constants!$C$6/1000,Design!$B$35/1000))</f>
        <v>1.9989708943725701</v>
      </c>
      <c r="AU85" s="311">
        <f ca="1">IF(AT85&gt;Design!$C$22,Design!$C$22,AT85)</f>
        <v>1.7973333333333334</v>
      </c>
    </row>
    <row r="86" spans="1:47" ht="12.75" customHeight="1">
      <c r="A86" s="136">
        <f>Design!$D$13</f>
        <v>105</v>
      </c>
      <c r="B86" s="137">
        <f t="shared" si="10"/>
        <v>2.2435</v>
      </c>
      <c r="C86" s="138">
        <f>Design!$D$6</f>
        <v>2</v>
      </c>
      <c r="D86" s="193">
        <f ca="1">IF( 100*(Design!$C$22+C86*(IF(ISBLANK(Design!$B$35),Constants!$C$6,Design!$B$35)/1000*(1+Constants!$C$36/100*(M86-25))+O86/1000))/($B86-C86*N86/1000) &gt; Design!$C$29, Design!$C$29, 100*(Design!$C$22+C86*(IF(ISBLANK(Design!$B$35),Constants!$C$6,Design!$B$35)/1000*(1+Constants!$C$36/100*(M86-25))+O86/1000))/($B86-C86*N86/1000) )</f>
        <v>84</v>
      </c>
      <c r="E86" s="139">
        <f ca="1">IF(($B86-C86*IF(ISBLANK(Design!$B$35),Constants!$C$6,Design!$B$35)/1000*(1+Constants!$C$36/100*(M86-25))-Design!$C$22)/(IF(ISBLANK(Design!$B$34),Design!$B$33,Design!$B$34)/1000000)*D86/100/(IF(ISBLANK(Design!$B$26),Design!$B$25,Design!$B$26)*1000000)&lt;0, 0, ($B86-C86*IF(ISBLANK(Design!$B$35),Constants!$C$6,Design!$B$35)/1000*(1+Constants!$C$36/100*(M86-25))-Design!$C$22)/(IF(ISBLANK(Design!$B$34),Design!$B$33,Design!$B$34)/1000000)*D86/100/(IF(ISBLANK(Design!$B$26),Design!$B$25,Design!$B$26)*1000000))</f>
        <v>0.17924716839111485</v>
      </c>
      <c r="F86" s="186">
        <f>$B86*Constants!$C$21/1000+IF(ISBLANK(Design!$B$26),Design!$B$25,Design!$B$26)*1000000*(Constants!$D$26+Constants!$D$27)/1000000000*$B86</f>
        <v>2.5575899999999999E-2</v>
      </c>
      <c r="G86" s="186">
        <f>$B86*C86*($B86/(Constants!$C$28*1000000000)*IF(ISBLANK(Design!$B$26),Design!$B$25,Design!$B$26)*1000000/2+$B86/(Constants!$C$29*1000000000)*IF(ISBLANK(Design!$B$26),Design!$B$25,Design!$B$26)*1000000/2)</f>
        <v>3.0199753499999999E-2</v>
      </c>
      <c r="H86" s="186">
        <f t="shared" ca="1" si="11"/>
        <v>0.46471205181017133</v>
      </c>
      <c r="I86" s="186">
        <f t="shared" ca="1" si="12"/>
        <v>8.8516581297175503E-2</v>
      </c>
      <c r="J86" s="186">
        <f>2*C86*Constants!$C$20/1000000000*Constants!$C$25*IF(ISBLANK(Design!$B$26),Design!$B$25,Design!$B$26)*1000000</f>
        <v>7.1999999999999995E-2</v>
      </c>
      <c r="K86" s="186">
        <f>(Constants!$D$26+Constants!$D$27)/1000000000*$B86*IF(ISBLANK(Design!$B$26),Design!$B$25,Design!$B$26)*1000000</f>
        <v>2.1088899999999997E-2</v>
      </c>
      <c r="L86" s="186">
        <f t="shared" ca="1" si="13"/>
        <v>0.70209318660734676</v>
      </c>
      <c r="M86" s="187">
        <f ca="1">L86*Design!$C$12+$A86</f>
        <v>138.70047295715264</v>
      </c>
      <c r="N86" s="187">
        <f ca="1">Constants!$D$22+Constants!$D$22*Constants!$C$24/100*(M86-25)</f>
        <v>138.21464215406215</v>
      </c>
      <c r="O86" s="187">
        <f ca="1">Constants!$D$23+Constants!$D$23*Constants!$C$24/100*(M86-25)</f>
        <v>112.2993967501755</v>
      </c>
      <c r="P86" s="186">
        <f ca="1">(1-Constants!$C$19/1000000000*Design!$B$26*1000000) * ($B86+C86*O86/1000-C86*N86/1000) - (C86*O86/1000+C86*(1+($A86-25)*Constants!$C$36/100)*IF(ISBLANK(Design!$B$35),Constants!$C$6/1000,Design!$B$35/1000))</f>
        <v>1.7302908047726531</v>
      </c>
      <c r="Q86" s="191">
        <f ca="1">IF(P86&gt;Design!$C$22,Design!$C$22,P86)</f>
        <v>1.7302908047726531</v>
      </c>
      <c r="R86" s="140">
        <f>2*Design!$D$6/3</f>
        <v>1.3333333333333333</v>
      </c>
      <c r="S86" s="202">
        <f ca="1">IF( 100*(Design!$C$22+R86*(IF(ISBLANK(Design!$B$35),Constants!$C$6,Design!$B$35)/1000*(1+Constants!$C$36/100*(AB86-25))+AD86/1000))/($B86-R86*AC86/1000) &gt; Design!$C$29, Design!$C$29, 100*(Design!$C$22+R86*(IF(ISBLANK(Design!$B$35),Constants!$C$6,Design!$B$35)/1000*(1+Constants!$C$36/100*(AB86-25))+AD86/1000))/($B86-R86*AC86/1000) )</f>
        <v>84</v>
      </c>
      <c r="T86" s="141">
        <f ca="1">IF(($B86-R86*IF(ISBLANK(Design!$B$35),Constants!$C$6,Design!$B$35)/1000*(1+Constants!$C$36/100*(AB86-25))-Design!$C$22)/(IF(ISBLANK(Design!$B$34),Design!$B$33,Design!$B$34)/1000000)*S86/100/(IF(ISBLANK(Design!$B$26),Design!$B$25,Design!$B$26)*1000000)&lt;0, 0, ($B86-R86*IF(ISBLANK(Design!$B$35),Constants!$C$6,Design!$B$35)/1000*(1+Constants!$C$36/100*(AB86-25))-Design!$C$22)/(IF(ISBLANK(Design!$B$34),Design!$B$33,Design!$B$34)/1000000)*S86/100/(IF(ISBLANK(Design!$B$26),Design!$B$25,Design!$B$26)*1000000))</f>
        <v>0.18221398864976215</v>
      </c>
      <c r="U86" s="203">
        <f>$B86*Constants!$C$21/1000+IF(ISBLANK(Design!$B$26),Design!$B$25,Design!$B$26)*1000000*(Constants!$D$26+Constants!$D$27)/1000000000*$B86</f>
        <v>2.5575899999999999E-2</v>
      </c>
      <c r="V86" s="203">
        <f>$B86*R86*($B86/(Constants!$C$28*1000000000)*IF(ISBLANK(Design!$B$26),Design!$B$25,Design!$B$26)*1000000/2+$B86/(Constants!$C$29*1000000000)*IF(ISBLANK(Design!$B$26),Design!$B$25,Design!$B$26)*1000000/2)</f>
        <v>2.0133168999999999E-2</v>
      </c>
      <c r="W86" s="203">
        <f t="shared" ca="1" si="14"/>
        <v>0.19360634327098933</v>
      </c>
      <c r="X86" s="203">
        <f t="shared" ca="1" si="15"/>
        <v>3.6877398718283695E-2</v>
      </c>
      <c r="Y86" s="203">
        <f>2*R86*Constants!$C$20/1000000000*Constants!$C$25*IF(ISBLANK(Design!$B$26),Design!$B$25,Design!$B$26)*1000000</f>
        <v>4.8000000000000001E-2</v>
      </c>
      <c r="Z86" s="203">
        <f>(Constants!$D$26+Constants!$D$27)/1000000000*$B86*IF(ISBLANK(Design!$B$26),Design!$B$25,Design!$B$26)*1000000</f>
        <v>2.1088899999999997E-2</v>
      </c>
      <c r="AA86" s="203">
        <f t="shared" ca="1" si="16"/>
        <v>0.34528171098927302</v>
      </c>
      <c r="AB86" s="204">
        <f ca="1">AA86*Design!$C$12+$A86</f>
        <v>121.57352212748511</v>
      </c>
      <c r="AC86" s="204">
        <f ca="1">Constants!$D$22+Constants!$D$22*Constants!$C$24/100*(AB86-25)</f>
        <v>129.44564332927237</v>
      </c>
      <c r="AD86" s="204">
        <f ca="1">Constants!$D$23+Constants!$D$23*Constants!$C$24/100*(AB86-25)</f>
        <v>105.17458520503381</v>
      </c>
      <c r="AE86" s="203">
        <f ca="1">(1-Constants!$C$19/1000000000*Design!$B$26*1000000) * ($B86+R86*AD86/1000-R86*AC86/1000) - (R86*AD86/1000+R86*(1+($A86-25)*Constants!$C$36/100)*IF(ISBLANK(Design!$B$35),Constants!$C$6/1000,Design!$B$35/1000))</f>
        <v>1.8380499766442022</v>
      </c>
      <c r="AF86" s="308">
        <f ca="1">IF(AE86&gt;Design!$C$22,Design!$C$22,AE86)</f>
        <v>1.7973333333333334</v>
      </c>
      <c r="AG86" s="215">
        <f>Design!$D$6/3</f>
        <v>0.66666666666666663</v>
      </c>
      <c r="AH86" s="216">
        <f ca="1">IF( 100*(Design!$C$22+AG86*(IF(ISBLANK(Design!$B$35),Constants!$C$6,Design!$B$35)/1000*(1+Constants!$C$36/100*(AQ86-25))+AS86/1000))/($B86-AG86*AR86/1000) &gt; Design!$C$29, Design!$C$29, 100*(Design!$C$22+AG86*(IF(ISBLANK(Design!$B$35),Constants!$C$6,Design!$B$35)/1000*(1+Constants!$C$36/100*(AQ86-25))+AS86/1000))/($B86-AG86*AR86/1000) )</f>
        <v>84</v>
      </c>
      <c r="AI86" s="143">
        <f ca="1">IF(($B86-AG86*IF(ISBLANK(Design!$B$35),Constants!$C$6,Design!$B$35)/1000*(1+Constants!$C$36/100*(AQ86-25))-Design!$C$22)/(IF(ISBLANK(Design!$B$34),Design!$B$33,Design!$B$34)/1000000)*AH86/100/(IF(ISBLANK(Design!$B$26),Design!$B$25,Design!$B$26)*1000000)&lt;0, 0, ($B86-AG86*IF(ISBLANK(Design!$B$35),Constants!$C$6,Design!$B$35)/1000*(1+Constants!$C$36/100*(AQ86-25))-Design!$C$22)/(IF(ISBLANK(Design!$B$34),Design!$B$33,Design!$B$34)/1000000)*AH86/100/(IF(ISBLANK(Design!$B$26),Design!$B$25,Design!$B$26)*1000000))</f>
        <v>0.18487593833718208</v>
      </c>
      <c r="AJ86" s="217">
        <f>$B86*Constants!$C$21/1000+IF(ISBLANK(Design!$B$26),Design!$B$25,Design!$B$26)*1000000*(Constants!$D$26+Constants!$D$27)/1000000000*$B86</f>
        <v>2.5575899999999999E-2</v>
      </c>
      <c r="AK86" s="217">
        <f>$B86*AG86*($B86/(Constants!$C$28*1000000000)*IF(ISBLANK(Design!$B$26),Design!$B$25,Design!$B$26)*1000000/2+$B86/(Constants!$C$29*1000000000)*IF(ISBLANK(Design!$B$26),Design!$B$25,Design!$B$26)*1000000/2)</f>
        <v>1.00665845E-2</v>
      </c>
      <c r="AL86" s="217">
        <f t="shared" ca="1" si="17"/>
        <v>4.6706693042329939E-2</v>
      </c>
      <c r="AM86" s="217">
        <f t="shared" ca="1" si="18"/>
        <v>8.8965129604437979E-3</v>
      </c>
      <c r="AN86" s="217">
        <f>2*AG86*Constants!$C$20/1000000000*Constants!$C$25*IF(ISBLANK(Design!$B$26),Design!$B$25,Design!$B$26)*1000000</f>
        <v>2.4E-2</v>
      </c>
      <c r="AO86" s="217">
        <f>(Constants!$D$26+Constants!$D$27)/1000000000*$B86*IF(ISBLANK(Design!$B$26),Design!$B$25,Design!$B$26)*1000000</f>
        <v>2.1088899999999997E-2</v>
      </c>
      <c r="AP86" s="217">
        <f t="shared" ca="1" si="19"/>
        <v>0.13633459050277374</v>
      </c>
      <c r="AQ86" s="218">
        <f ca="1">AP86*Design!$C$12+$A86</f>
        <v>111.54406034413314</v>
      </c>
      <c r="AR86" s="218">
        <f ca="1">Constants!$D$22+Constants!$D$22*Constants!$C$24/100*(AQ86-25)</f>
        <v>124.31055889619617</v>
      </c>
      <c r="AS86" s="218">
        <f ca="1">Constants!$D$23+Constants!$D$23*Constants!$C$24/100*(AQ86-25)</f>
        <v>101.00232910315938</v>
      </c>
      <c r="AT86" s="217">
        <f ca="1">(1-Constants!$C$19/1000000000*Design!$B$26*1000000) * ($B86+AG86*AS86/1000-AG86*AR86/1000) - (AG86*AS86/1000+AG86*(1+($A86-25)*Constants!$C$36/100)*IF(ISBLANK(Design!$B$35),Constants!$C$6/1000,Design!$B$35/1000))</f>
        <v>1.931959189388738</v>
      </c>
      <c r="AU86" s="311">
        <f ca="1">IF(AT86&gt;Design!$C$22,Design!$C$22,AT86)</f>
        <v>1.7973333333333334</v>
      </c>
    </row>
    <row r="87" spans="1:47" ht="12.75" customHeight="1">
      <c r="A87" s="136">
        <f>Design!$D$13</f>
        <v>105</v>
      </c>
      <c r="B87" s="137">
        <f t="shared" si="10"/>
        <v>2.169</v>
      </c>
      <c r="C87" s="138">
        <f>Design!$D$6</f>
        <v>2</v>
      </c>
      <c r="D87" s="193">
        <f ca="1">IF( 100*(Design!$C$22+C87*(IF(ISBLANK(Design!$B$35),Constants!$C$6,Design!$B$35)/1000*(1+Constants!$C$36/100*(M87-25))+O87/1000))/($B87-C87*N87/1000) &gt; Design!$C$29, Design!$C$29, 100*(Design!$C$22+C87*(IF(ISBLANK(Design!$B$35),Constants!$C$6,Design!$B$35)/1000*(1+Constants!$C$36/100*(M87-25))+O87/1000))/($B87-C87*N87/1000) )</f>
        <v>84</v>
      </c>
      <c r="E87" s="139">
        <f ca="1">IF(($B87-C87*IF(ISBLANK(Design!$B$35),Constants!$C$6,Design!$B$35)/1000*(1+Constants!$C$36/100*(M87-25))-Design!$C$22)/(IF(ISBLANK(Design!$B$34),Design!$B$33,Design!$B$34)/1000000)*D87/100/(IF(ISBLANK(Design!$B$26),Design!$B$25,Design!$B$26)*1000000)&lt;0, 0, ($B87-C87*IF(ISBLANK(Design!$B$35),Constants!$C$6,Design!$B$35)/1000*(1+Constants!$C$36/100*(M87-25))-Design!$C$22)/(IF(ISBLANK(Design!$B$34),Design!$B$33,Design!$B$34)/1000000)*D87/100/(IF(ISBLANK(Design!$B$26),Design!$B$25,Design!$B$26)*1000000))</f>
        <v>0.14796145425382887</v>
      </c>
      <c r="F87" s="186">
        <f>$B87*Constants!$C$21/1000+IF(ISBLANK(Design!$B$26),Design!$B$25,Design!$B$26)*1000000*(Constants!$D$26+Constants!$D$27)/1000000000*$B87</f>
        <v>2.4726599999999994E-2</v>
      </c>
      <c r="G87" s="186">
        <f>$B87*C87*($B87/(Constants!$C$28*1000000000)*IF(ISBLANK(Design!$B$26),Design!$B$25,Design!$B$26)*1000000/2+$B87/(Constants!$C$29*1000000000)*IF(ISBLANK(Design!$B$26),Design!$B$25,Design!$B$26)*1000000/2)</f>
        <v>2.8227366E-2</v>
      </c>
      <c r="H87" s="186">
        <f t="shared" ca="1" si="11"/>
        <v>0.46427950666793416</v>
      </c>
      <c r="I87" s="186">
        <f t="shared" ca="1" si="12"/>
        <v>8.8434191746273191E-2</v>
      </c>
      <c r="J87" s="186">
        <f>2*C87*Constants!$C$20/1000000000*Constants!$C$25*IF(ISBLANK(Design!$B$26),Design!$B$25,Design!$B$26)*1000000</f>
        <v>7.1999999999999995E-2</v>
      </c>
      <c r="K87" s="186">
        <f>(Constants!$D$26+Constants!$D$27)/1000000000*$B87*IF(ISBLANK(Design!$B$26),Design!$B$25,Design!$B$26)*1000000</f>
        <v>2.0388599999999996E-2</v>
      </c>
      <c r="L87" s="186">
        <f t="shared" ca="1" si="13"/>
        <v>0.69805626441420732</v>
      </c>
      <c r="M87" s="187">
        <f ca="1">L87*Design!$C$12+$A87</f>
        <v>138.50670069188195</v>
      </c>
      <c r="N87" s="187">
        <f ca="1">Constants!$D$22+Constants!$D$22*Constants!$C$24/100*(M87-25)</f>
        <v>138.11543075424356</v>
      </c>
      <c r="O87" s="187">
        <f ca="1">Constants!$D$23+Constants!$D$23*Constants!$C$24/100*(M87-25)</f>
        <v>112.21878748782289</v>
      </c>
      <c r="P87" s="186">
        <f ca="1">(1-Constants!$C$19/1000000000*Design!$B$26*1000000) * ($B87+C87*O87/1000-C87*N87/1000) - (C87*O87/1000+C87*(1+($A87-25)*Constants!$C$36/100)*IF(ISBLANK(Design!$B$35),Constants!$C$6/1000,Design!$B$35/1000))</f>
        <v>1.6634355071447968</v>
      </c>
      <c r="Q87" s="191">
        <f ca="1">IF(P87&gt;Design!$C$22,Design!$C$22,P87)</f>
        <v>1.6634355071447968</v>
      </c>
      <c r="R87" s="140">
        <f>2*Design!$D$6/3</f>
        <v>1.3333333333333333</v>
      </c>
      <c r="S87" s="202">
        <f ca="1">IF( 100*(Design!$C$22+R87*(IF(ISBLANK(Design!$B$35),Constants!$C$6,Design!$B$35)/1000*(1+Constants!$C$36/100*(AB87-25))+AD87/1000))/($B87-R87*AC87/1000) &gt; Design!$C$29, Design!$C$29, 100*(Design!$C$22+R87*(IF(ISBLANK(Design!$B$35),Constants!$C$6,Design!$B$35)/1000*(1+Constants!$C$36/100*(AB87-25))+AD87/1000))/($B87-R87*AC87/1000) )</f>
        <v>84</v>
      </c>
      <c r="T87" s="141">
        <f ca="1">IF(($B87-R87*IF(ISBLANK(Design!$B$35),Constants!$C$6,Design!$B$35)/1000*(1+Constants!$C$36/100*(AB87-25))-Design!$C$22)/(IF(ISBLANK(Design!$B$34),Design!$B$33,Design!$B$34)/1000000)*S87/100/(IF(ISBLANK(Design!$B$26),Design!$B$25,Design!$B$26)*1000000)&lt;0, 0, ($B87-R87*IF(ISBLANK(Design!$B$35),Constants!$C$6,Design!$B$35)/1000*(1+Constants!$C$36/100*(AB87-25))-Design!$C$22)/(IF(ISBLANK(Design!$B$34),Design!$B$33,Design!$B$34)/1000000)*S87/100/(IF(ISBLANK(Design!$B$26),Design!$B$25,Design!$B$26)*1000000))</f>
        <v>0.15092619204628832</v>
      </c>
      <c r="U87" s="203">
        <f>$B87*Constants!$C$21/1000+IF(ISBLANK(Design!$B$26),Design!$B$25,Design!$B$26)*1000000*(Constants!$D$26+Constants!$D$27)/1000000000*$B87</f>
        <v>2.4726599999999994E-2</v>
      </c>
      <c r="V87" s="203">
        <f>$B87*R87*($B87/(Constants!$C$28*1000000000)*IF(ISBLANK(Design!$B$26),Design!$B$25,Design!$B$26)*1000000/2+$B87/(Constants!$C$29*1000000000)*IF(ISBLANK(Design!$B$26),Design!$B$25,Design!$B$26)*1000000/2)</f>
        <v>1.8818243999999998E-2</v>
      </c>
      <c r="W87" s="203">
        <f t="shared" ca="1" si="14"/>
        <v>0.19339752237893573</v>
      </c>
      <c r="X87" s="203">
        <f t="shared" ca="1" si="15"/>
        <v>3.683762331027348E-2</v>
      </c>
      <c r="Y87" s="203">
        <f>2*R87*Constants!$C$20/1000000000*Constants!$C$25*IF(ISBLANK(Design!$B$26),Design!$B$25,Design!$B$26)*1000000</f>
        <v>4.8000000000000001E-2</v>
      </c>
      <c r="Z87" s="203">
        <f>(Constants!$D$26+Constants!$D$27)/1000000000*$B87*IF(ISBLANK(Design!$B$26),Design!$B$25,Design!$B$26)*1000000</f>
        <v>2.0388599999999996E-2</v>
      </c>
      <c r="AA87" s="203">
        <f t="shared" ca="1" si="16"/>
        <v>0.34216858968920916</v>
      </c>
      <c r="AB87" s="204">
        <f ca="1">AA87*Design!$C$12+$A87</f>
        <v>121.42409230508204</v>
      </c>
      <c r="AC87" s="204">
        <f ca="1">Constants!$D$22+Constants!$D$22*Constants!$C$24/100*(AB87-25)</f>
        <v>129.369135260202</v>
      </c>
      <c r="AD87" s="204">
        <f ca="1">Constants!$D$23+Constants!$D$23*Constants!$C$24/100*(AB87-25)</f>
        <v>105.11242239891413</v>
      </c>
      <c r="AE87" s="203">
        <f ca="1">(1-Constants!$C$19/1000000000*Design!$B$26*1000000) * ($B87+R87*AD87/1000-R87*AC87/1000) - (R87*AD87/1000+R87*(1+($A87-25)*Constants!$C$36/100)*IF(ISBLANK(Design!$B$35),Constants!$C$6/1000,Design!$B$35/1000))</f>
        <v>1.771100074701236</v>
      </c>
      <c r="AF87" s="308">
        <f ca="1">IF(AE87&gt;Design!$C$22,Design!$C$22,AE87)</f>
        <v>1.771100074701236</v>
      </c>
      <c r="AG87" s="215">
        <f>Design!$D$6/3</f>
        <v>0.66666666666666663</v>
      </c>
      <c r="AH87" s="216">
        <f ca="1">IF( 100*(Design!$C$22+AG87*(IF(ISBLANK(Design!$B$35),Constants!$C$6,Design!$B$35)/1000*(1+Constants!$C$36/100*(AQ87-25))+AS87/1000))/($B87-AG87*AR87/1000) &gt; Design!$C$29, Design!$C$29, 100*(Design!$C$22+AG87*(IF(ISBLANK(Design!$B$35),Constants!$C$6,Design!$B$35)/1000*(1+Constants!$C$36/100*(AQ87-25))+AS87/1000))/($B87-AG87*AR87/1000) )</f>
        <v>84</v>
      </c>
      <c r="AI87" s="143">
        <f ca="1">IF(($B87-AG87*IF(ISBLANK(Design!$B$35),Constants!$C$6,Design!$B$35)/1000*(1+Constants!$C$36/100*(AQ87-25))-Design!$C$22)/(IF(ISBLANK(Design!$B$34),Design!$B$33,Design!$B$34)/1000000)*AH87/100/(IF(ISBLANK(Design!$B$26),Design!$B$25,Design!$B$26)*1000000)&lt;0, 0, ($B87-AG87*IF(ISBLANK(Design!$B$35),Constants!$C$6,Design!$B$35)/1000*(1+Constants!$C$36/100*(AQ87-25))-Design!$C$22)/(IF(ISBLANK(Design!$B$34),Design!$B$33,Design!$B$34)/1000000)*AH87/100/(IF(ISBLANK(Design!$B$26),Design!$B$25,Design!$B$26)*1000000))</f>
        <v>0.15358676730999063</v>
      </c>
      <c r="AJ87" s="217">
        <f>$B87*Constants!$C$21/1000+IF(ISBLANK(Design!$B$26),Design!$B$25,Design!$B$26)*1000000*(Constants!$D$26+Constants!$D$27)/1000000000*$B87</f>
        <v>2.4726599999999994E-2</v>
      </c>
      <c r="AK87" s="217">
        <f>$B87*AG87*($B87/(Constants!$C$28*1000000000)*IF(ISBLANK(Design!$B$26),Design!$B$25,Design!$B$26)*1000000/2+$B87/(Constants!$C$29*1000000000)*IF(ISBLANK(Design!$B$26),Design!$B$25,Design!$B$26)*1000000/2)</f>
        <v>9.4091219999999989E-3</v>
      </c>
      <c r="AL87" s="217">
        <f t="shared" ca="1" si="17"/>
        <v>4.6592952436695055E-2</v>
      </c>
      <c r="AM87" s="217">
        <f t="shared" ca="1" si="18"/>
        <v>8.8748480831800126E-3</v>
      </c>
      <c r="AN87" s="217">
        <f>2*AG87*Constants!$C$20/1000000000*Constants!$C$25*IF(ISBLANK(Design!$B$26),Design!$B$25,Design!$B$26)*1000000</f>
        <v>2.4E-2</v>
      </c>
      <c r="AO87" s="217">
        <f>(Constants!$D$26+Constants!$D$27)/1000000000*$B87*IF(ISBLANK(Design!$B$26),Design!$B$25,Design!$B$26)*1000000</f>
        <v>2.0388599999999996E-2</v>
      </c>
      <c r="AP87" s="217">
        <f t="shared" ca="1" si="19"/>
        <v>0.13399212251987505</v>
      </c>
      <c r="AQ87" s="218">
        <f ca="1">AP87*Design!$C$12+$A87</f>
        <v>111.431621880954</v>
      </c>
      <c r="AR87" s="218">
        <f ca="1">Constants!$D$22+Constants!$D$22*Constants!$C$24/100*(AQ87-25)</f>
        <v>124.25299040304844</v>
      </c>
      <c r="AS87" s="218">
        <f ca="1">Constants!$D$23+Constants!$D$23*Constants!$C$24/100*(AQ87-25)</f>
        <v>100.95555470247686</v>
      </c>
      <c r="AT87" s="217">
        <f ca="1">(1-Constants!$C$19/1000000000*Design!$B$26*1000000) * ($B87+AG87*AS87/1000-AG87*AR87/1000) - (AG87*AS87/1000+AG87*(1+($A87-25)*Constants!$C$36/100)*IF(ISBLANK(Design!$B$35),Constants!$C$6/1000,Design!$B$35/1000))</f>
        <v>1.8649468487780057</v>
      </c>
      <c r="AU87" s="311">
        <f ca="1">IF(AT87&gt;Design!$C$22,Design!$C$22,AT87)</f>
        <v>1.7973333333333334</v>
      </c>
    </row>
    <row r="88" spans="1:47" ht="12.75" customHeight="1">
      <c r="A88" s="136">
        <f>Design!$D$13</f>
        <v>105</v>
      </c>
      <c r="B88" s="137">
        <f t="shared" si="10"/>
        <v>2.0945</v>
      </c>
      <c r="C88" s="138">
        <f>Design!$D$6</f>
        <v>2</v>
      </c>
      <c r="D88" s="193">
        <f ca="1">IF( 100*(Design!$C$22+C88*(IF(ISBLANK(Design!$B$35),Constants!$C$6,Design!$B$35)/1000*(1+Constants!$C$36/100*(M88-25))+O88/1000))/($B88-C88*N88/1000) &gt; Design!$C$29, Design!$C$29, 100*(Design!$C$22+C88*(IF(ISBLANK(Design!$B$35),Constants!$C$6,Design!$B$35)/1000*(1+Constants!$C$36/100*(M88-25))+O88/1000))/($B88-C88*N88/1000) )</f>
        <v>84</v>
      </c>
      <c r="E88" s="139">
        <f ca="1">IF(($B88-C88*IF(ISBLANK(Design!$B$35),Constants!$C$6,Design!$B$35)/1000*(1+Constants!$C$36/100*(M88-25))-Design!$C$22)/(IF(ISBLANK(Design!$B$34),Design!$B$33,Design!$B$34)/1000000)*D88/100/(IF(ISBLANK(Design!$B$26),Design!$B$25,Design!$B$26)*1000000)&lt;0, 0, ($B88-C88*IF(ISBLANK(Design!$B$35),Constants!$C$6,Design!$B$35)/1000*(1+Constants!$C$36/100*(M88-25))-Design!$C$22)/(IF(ISBLANK(Design!$B$34),Design!$B$33,Design!$B$34)/1000000)*D88/100/(IF(ISBLANK(Design!$B$26),Design!$B$25,Design!$B$26)*1000000))</f>
        <v>0.11667563498595315</v>
      </c>
      <c r="F88" s="186">
        <f>$B88*Constants!$C$21/1000+IF(ISBLANK(Design!$B$26),Design!$B$25,Design!$B$26)*1000000*(Constants!$D$26+Constants!$D$27)/1000000000*$B88</f>
        <v>2.3877299999999997E-2</v>
      </c>
      <c r="G88" s="186">
        <f>$B88*C88*($B88/(Constants!$C$28*1000000000)*IF(ISBLANK(Design!$B$26),Design!$B$25,Design!$B$26)*1000000/2+$B88/(Constants!$C$29*1000000000)*IF(ISBLANK(Design!$B$26),Design!$B$25,Design!$B$26)*1000000/2)</f>
        <v>2.63215815E-2</v>
      </c>
      <c r="H88" s="186">
        <f t="shared" ca="1" si="11"/>
        <v>0.46387419531119134</v>
      </c>
      <c r="I88" s="186">
        <f t="shared" ca="1" si="12"/>
        <v>8.8356989583084092E-2</v>
      </c>
      <c r="J88" s="186">
        <f>2*C88*Constants!$C$20/1000000000*Constants!$C$25*IF(ISBLANK(Design!$B$26),Design!$B$25,Design!$B$26)*1000000</f>
        <v>7.1999999999999995E-2</v>
      </c>
      <c r="K88" s="186">
        <f>(Constants!$D$26+Constants!$D$27)/1000000000*$B88*IF(ISBLANK(Design!$B$26),Design!$B$25,Design!$B$26)*1000000</f>
        <v>1.9688299999999995E-2</v>
      </c>
      <c r="L88" s="186">
        <f t="shared" ca="1" si="13"/>
        <v>0.69411836639427538</v>
      </c>
      <c r="M88" s="187">
        <f ca="1">L88*Design!$C$12+$A88</f>
        <v>138.31768158692523</v>
      </c>
      <c r="N88" s="187">
        <f ca="1">Constants!$D$22+Constants!$D$22*Constants!$C$24/100*(M88-25)</f>
        <v>138.01865297250572</v>
      </c>
      <c r="O88" s="187">
        <f ca="1">Constants!$D$23+Constants!$D$23*Constants!$C$24/100*(M88-25)</f>
        <v>112.14015554016089</v>
      </c>
      <c r="P88" s="186">
        <f ca="1">(1-Constants!$C$19/1000000000*Design!$B$26*1000000) * ($B88+C88*O88/1000-C88*N88/1000) - (C88*O88/1000+C88*(1+($A88-25)*Constants!$C$36/100)*IF(ISBLANK(Design!$B$35),Constants!$C$6/1000,Design!$B$35/1000))</f>
        <v>1.5965754335414577</v>
      </c>
      <c r="Q88" s="191">
        <f ca="1">IF(P88&gt;Design!$C$22,Design!$C$22,P88)</f>
        <v>1.5965754335414577</v>
      </c>
      <c r="R88" s="140">
        <f>2*Design!$D$6/3</f>
        <v>1.3333333333333333</v>
      </c>
      <c r="S88" s="202">
        <f ca="1">IF( 100*(Design!$C$22+R88*(IF(ISBLANK(Design!$B$35),Constants!$C$6,Design!$B$35)/1000*(1+Constants!$C$36/100*(AB88-25))+AD88/1000))/($B88-R88*AC88/1000) &gt; Design!$C$29, Design!$C$29, 100*(Design!$C$22+R88*(IF(ISBLANK(Design!$B$35),Constants!$C$6,Design!$B$35)/1000*(1+Constants!$C$36/100*(AB88-25))+AD88/1000))/($B88-R88*AC88/1000) )</f>
        <v>84</v>
      </c>
      <c r="T88" s="141">
        <f ca="1">IF(($B88-R88*IF(ISBLANK(Design!$B$35),Constants!$C$6,Design!$B$35)/1000*(1+Constants!$C$36/100*(AB88-25))-Design!$C$22)/(IF(ISBLANK(Design!$B$34),Design!$B$33,Design!$B$34)/1000000)*S88/100/(IF(ISBLANK(Design!$B$26),Design!$B$25,Design!$B$26)*1000000)&lt;0, 0, ($B88-R88*IF(ISBLANK(Design!$B$35),Constants!$C$6,Design!$B$35)/1000*(1+Constants!$C$36/100*(AB88-25))-Design!$C$22)/(IF(ISBLANK(Design!$B$34),Design!$B$33,Design!$B$34)/1000000)*S88/100/(IF(ISBLANK(Design!$B$26),Design!$B$25,Design!$B$26)*1000000))</f>
        <v>0.119638346868101</v>
      </c>
      <c r="U88" s="203">
        <f>$B88*Constants!$C$21/1000+IF(ISBLANK(Design!$B$26),Design!$B$25,Design!$B$26)*1000000*(Constants!$D$26+Constants!$D$27)/1000000000*$B88</f>
        <v>2.3877299999999997E-2</v>
      </c>
      <c r="V88" s="203">
        <f>$B88*R88*($B88/(Constants!$C$28*1000000000)*IF(ISBLANK(Design!$B$26),Design!$B$25,Design!$B$26)*1000000/2+$B88/(Constants!$C$29*1000000000)*IF(ISBLANK(Design!$B$26),Design!$B$25,Design!$B$26)*1000000/2)</f>
        <v>1.7547720999999999E-2</v>
      </c>
      <c r="W88" s="203">
        <f t="shared" ca="1" si="14"/>
        <v>0.19320905295785026</v>
      </c>
      <c r="X88" s="203">
        <f t="shared" ca="1" si="15"/>
        <v>3.6801724372923873E-2</v>
      </c>
      <c r="Y88" s="203">
        <f>2*R88*Constants!$C$20/1000000000*Constants!$C$25*IF(ISBLANK(Design!$B$26),Design!$B$25,Design!$B$26)*1000000</f>
        <v>4.8000000000000001E-2</v>
      </c>
      <c r="Z88" s="203">
        <f>(Constants!$D$26+Constants!$D$27)/1000000000*$B88*IF(ISBLANK(Design!$B$26),Design!$B$25,Design!$B$26)*1000000</f>
        <v>1.9688299999999995E-2</v>
      </c>
      <c r="AA88" s="203">
        <f t="shared" ca="1" si="16"/>
        <v>0.33912409833077412</v>
      </c>
      <c r="AB88" s="204">
        <f ca="1">AA88*Design!$C$12+$A88</f>
        <v>121.27795671987715</v>
      </c>
      <c r="AC88" s="204">
        <f ca="1">Constants!$D$22+Constants!$D$22*Constants!$C$24/100*(AB88-25)</f>
        <v>129.2943138405771</v>
      </c>
      <c r="AD88" s="204">
        <f ca="1">Constants!$D$23+Constants!$D$23*Constants!$C$24/100*(AB88-25)</f>
        <v>105.0516299954689</v>
      </c>
      <c r="AE88" s="203">
        <f ca="1">(1-Constants!$C$19/1000000000*Design!$B$26*1000000) * ($B88+R88*AD88/1000-R88*AC88/1000) - (R88*AD88/1000+R88*(1+($A88-25)*Constants!$C$36/100)*IF(ISBLANK(Design!$B$35),Constants!$C$6/1000,Design!$B$35/1000))</f>
        <v>1.7041479660585783</v>
      </c>
      <c r="AF88" s="308">
        <f ca="1">IF(AE88&gt;Design!$C$22,Design!$C$22,AE88)</f>
        <v>1.7041479660585783</v>
      </c>
      <c r="AG88" s="215">
        <f>Design!$D$6/3</f>
        <v>0.66666666666666663</v>
      </c>
      <c r="AH88" s="216">
        <f ca="1">IF( 100*(Design!$C$22+AG88*(IF(ISBLANK(Design!$B$35),Constants!$C$6,Design!$B$35)/1000*(1+Constants!$C$36/100*(AQ88-25))+AS88/1000))/($B88-AG88*AR88/1000) &gt; Design!$C$29, Design!$C$29, 100*(Design!$C$22+AG88*(IF(ISBLANK(Design!$B$35),Constants!$C$6,Design!$B$35)/1000*(1+Constants!$C$36/100*(AQ88-25))+AS88/1000))/($B88-AG88*AR88/1000) )</f>
        <v>84</v>
      </c>
      <c r="AI88" s="143">
        <f ca="1">IF(($B88-AG88*IF(ISBLANK(Design!$B$35),Constants!$C$6,Design!$B$35)/1000*(1+Constants!$C$36/100*(AQ88-25))-Design!$C$22)/(IF(ISBLANK(Design!$B$34),Design!$B$33,Design!$B$34)/1000000)*AH88/100/(IF(ISBLANK(Design!$B$26),Design!$B$25,Design!$B$26)*1000000)&lt;0, 0, ($B88-AG88*IF(ISBLANK(Design!$B$35),Constants!$C$6,Design!$B$35)/1000*(1+Constants!$C$36/100*(AQ88-25))-Design!$C$22)/(IF(ISBLANK(Design!$B$34),Design!$B$33,Design!$B$34)/1000000)*AH88/100/(IF(ISBLANK(Design!$B$26),Design!$B$25,Design!$B$26)*1000000))</f>
        <v>0.12229758105185881</v>
      </c>
      <c r="AJ88" s="217">
        <f>$B88*Constants!$C$21/1000+IF(ISBLANK(Design!$B$26),Design!$B$25,Design!$B$26)*1000000*(Constants!$D$26+Constants!$D$27)/1000000000*$B88</f>
        <v>2.3877299999999997E-2</v>
      </c>
      <c r="AK88" s="217">
        <f>$B88*AG88*($B88/(Constants!$C$28*1000000000)*IF(ISBLANK(Design!$B$26),Design!$B$25,Design!$B$26)*1000000/2+$B88/(Constants!$C$29*1000000000)*IF(ISBLANK(Design!$B$26),Design!$B$25,Design!$B$26)*1000000/2)</f>
        <v>8.7738604999999994E-3</v>
      </c>
      <c r="AL88" s="217">
        <f t="shared" ca="1" si="17"/>
        <v>4.6496715578600203E-2</v>
      </c>
      <c r="AM88" s="217">
        <f t="shared" ca="1" si="18"/>
        <v>8.8565172530667077E-3</v>
      </c>
      <c r="AN88" s="217">
        <f>2*AG88*Constants!$C$20/1000000000*Constants!$C$25*IF(ISBLANK(Design!$B$26),Design!$B$25,Design!$B$26)*1000000</f>
        <v>2.4E-2</v>
      </c>
      <c r="AO88" s="217">
        <f>(Constants!$D$26+Constants!$D$27)/1000000000*$B88*IF(ISBLANK(Design!$B$26),Design!$B$25,Design!$B$26)*1000000</f>
        <v>1.9688299999999995E-2</v>
      </c>
      <c r="AP88" s="217">
        <f t="shared" ca="1" si="19"/>
        <v>0.13169269333166689</v>
      </c>
      <c r="AQ88" s="218">
        <f ca="1">AP88*Design!$C$12+$A88</f>
        <v>111.32124927992001</v>
      </c>
      <c r="AR88" s="218">
        <f ca="1">Constants!$D$22+Constants!$D$22*Constants!$C$24/100*(AQ88-25)</f>
        <v>124.19647963131905</v>
      </c>
      <c r="AS88" s="218">
        <f ca="1">Constants!$D$23+Constants!$D$23*Constants!$C$24/100*(AQ88-25)</f>
        <v>100.90963970044672</v>
      </c>
      <c r="AT88" s="217">
        <f ca="1">(1-Constants!$C$19/1000000000*Design!$B$26*1000000) * ($B88+AG88*AS88/1000-AG88*AR88/1000) - (AG88*AS88/1000+AG88*(1+($A88-25)*Constants!$C$36/100)*IF(ISBLANK(Design!$B$35),Constants!$C$6/1000,Design!$B$35/1000))</f>
        <v>1.7979338162411789</v>
      </c>
      <c r="AU88" s="311">
        <f ca="1">IF(AT88&gt;Design!$C$22,Design!$C$22,AT88)</f>
        <v>1.7973333333333334</v>
      </c>
    </row>
    <row r="89" spans="1:47" ht="12.75" customHeight="1" thickBot="1">
      <c r="A89" s="145">
        <f>Design!$D$13</f>
        <v>105</v>
      </c>
      <c r="B89" s="146">
        <f>Constants!$C$7</f>
        <v>2.02</v>
      </c>
      <c r="C89" s="147">
        <f>Design!$D$6</f>
        <v>2</v>
      </c>
      <c r="D89" s="194">
        <f ca="1">IF( 100*(Design!$C$22+C89*(IF(ISBLANK(Design!$B$35),Constants!$C$6,Design!$B$35)/1000*(1+Constants!$C$36/100*(M89-25))+O89/1000))/($B89-C89*N89/1000) &gt; Design!$C$29, Design!$C$29, 100*(Design!$C$22+C89*(IF(ISBLANK(Design!$B$35),Constants!$C$6,Design!$B$35)/1000*(1+Constants!$C$36/100*(M89-25))+O89/1000))/($B89-C89*N89/1000) )</f>
        <v>84</v>
      </c>
      <c r="E89" s="148">
        <f ca="1">IF(($B89-C89*IF(ISBLANK(Design!$B$35),Constants!$C$6,Design!$B$35)/1000*(1+Constants!$C$36/100*(M89-25))-Design!$C$22)/(IF(ISBLANK(Design!$B$34),Design!$B$33,Design!$B$34)/1000000)*D89/100/(IF(ISBLANK(Design!$B$26),Design!$B$25,Design!$B$26)*1000000)&lt;0, 0, ($B89-C89*IF(ISBLANK(Design!$B$35),Constants!$C$6,Design!$B$35)/1000*(1+Constants!$C$36/100*(M89-25))-Design!$C$22)/(IF(ISBLANK(Design!$B$34),Design!$B$33,Design!$B$34)/1000000)*D89/100/(IF(ISBLANK(Design!$B$26),Design!$B$25,Design!$B$26)*1000000))</f>
        <v>8.5389710648916803E-2</v>
      </c>
      <c r="F89" s="188">
        <f>$B89*Constants!$C$21/1000+IF(ISBLANK(Design!$B$26),Design!$B$25,Design!$B$26)*1000000*(Constants!$D$26+Constants!$D$27)/1000000000*$B89</f>
        <v>2.3028E-2</v>
      </c>
      <c r="G89" s="188">
        <f>$B89*C89*($B89/(Constants!$C$28*1000000000)*IF(ISBLANK(Design!$B$26),Design!$B$25,Design!$B$26)*1000000/2+$B89/(Constants!$C$29*1000000000)*IF(ISBLANK(Design!$B$26),Design!$B$25,Design!$B$26)*1000000/2)</f>
        <v>2.4482400000000001E-2</v>
      </c>
      <c r="H89" s="188">
        <f t="shared" ca="1" si="11"/>
        <v>0.46349606913636715</v>
      </c>
      <c r="I89" s="188">
        <f t="shared" ca="1" si="12"/>
        <v>8.8284965549784253E-2</v>
      </c>
      <c r="J89" s="188">
        <f>2*C89*Constants!$C$20/1000000000*Constants!$C$25*IF(ISBLANK(Design!$B$26),Design!$B$25,Design!$B$26)*1000000</f>
        <v>7.1999999999999995E-2</v>
      </c>
      <c r="K89" s="188">
        <f>(Constants!$D$26+Constants!$D$27)/1000000000*$B89*IF(ISBLANK(Design!$B$26),Design!$B$25,Design!$B$26)*1000000</f>
        <v>1.8987999999999998E-2</v>
      </c>
      <c r="L89" s="188">
        <f t="shared" ref="L89" ca="1" si="20">SUM(F89:K89)</f>
        <v>0.69027943468615138</v>
      </c>
      <c r="M89" s="189">
        <f ca="1">L89*Design!$C$12+$A89</f>
        <v>138.13341286493528</v>
      </c>
      <c r="N89" s="189">
        <f ca="1">Constants!$D$22+Constants!$D$22*Constants!$C$24/100*(M89-25)</f>
        <v>137.92430738684686</v>
      </c>
      <c r="O89" s="189">
        <f ca="1">Constants!$D$23+Constants!$D$23*Constants!$C$24/100*(M89-25)</f>
        <v>112.06349975181308</v>
      </c>
      <c r="P89" s="188">
        <f ca="1">(1-Constants!$C$19/1000000000*Design!$B$26*1000000) * ($B89+C89*O89/1000-C89*N89/1000) - (C89*O89/1000+C89*(1+($A89-25)*Constants!$C$36/100)*IF(ISBLANK(Design!$B$35),Constants!$C$6/1000,Design!$B$35/1000))</f>
        <v>1.5297105867533132</v>
      </c>
      <c r="Q89" s="306">
        <f ca="1">IF(P89&gt;Design!$C$22,Design!$C$22,P89)</f>
        <v>1.5297105867533132</v>
      </c>
      <c r="R89" s="149">
        <f>2*Design!$D$6/3</f>
        <v>1.3333333333333333</v>
      </c>
      <c r="S89" s="206">
        <f ca="1">IF( 100*(Design!$C$22+R89*(IF(ISBLANK(Design!$B$35),Constants!$C$6,Design!$B$35)/1000*(1+Constants!$C$36/100*(AB89-25))+AD89/1000))/($B89-R89*AC89/1000) &gt; Design!$C$29, Design!$C$29, 100*(Design!$C$22+R89*(IF(ISBLANK(Design!$B$35),Constants!$C$6,Design!$B$35)/1000*(1+Constants!$C$36/100*(AB89-25))+AD89/1000))/($B89-R89*AC89/1000) )</f>
        <v>84</v>
      </c>
      <c r="T89" s="150">
        <f ca="1">IF(($B89-R89*IF(ISBLANK(Design!$B$35),Constants!$C$6,Design!$B$35)/1000*(1+Constants!$C$36/100*(AB89-25))-Design!$C$22)/(IF(ISBLANK(Design!$B$34),Design!$B$33,Design!$B$34)/1000000)*S89/100/(IF(ISBLANK(Design!$B$26),Design!$B$25,Design!$B$26)*1000000)&lt;0, 0, ($B89-R89*IF(ISBLANK(Design!$B$35),Constants!$C$6,Design!$B$35)/1000*(1+Constants!$C$36/100*(AB89-25))-Design!$C$22)/(IF(ISBLANK(Design!$B$34),Design!$B$33,Design!$B$34)/1000000)*S89/100/(IF(ISBLANK(Design!$B$26),Design!$B$25,Design!$B$26)*1000000))</f>
        <v>8.8350453144874413E-2</v>
      </c>
      <c r="U89" s="207">
        <f>$B89*Constants!$C$21/1000+IF(ISBLANK(Design!$B$26),Design!$B$25,Design!$B$26)*1000000*(Constants!$D$26+Constants!$D$27)/1000000000*$B89</f>
        <v>2.3028E-2</v>
      </c>
      <c r="V89" s="207">
        <f>$B89*R89*($B89/(Constants!$C$28*1000000000)*IF(ISBLANK(Design!$B$26),Design!$B$25,Design!$B$26)*1000000/2+$B89/(Constants!$C$29*1000000000)*IF(ISBLANK(Design!$B$26),Design!$B$25,Design!$B$26)*1000000/2)</f>
        <v>1.6321600000000002E-2</v>
      </c>
      <c r="W89" s="207">
        <f t="shared" ca="1" si="14"/>
        <v>0.19304089979003922</v>
      </c>
      <c r="X89" s="207">
        <f t="shared" ca="1" si="15"/>
        <v>3.6769695198102713E-2</v>
      </c>
      <c r="Y89" s="207">
        <f>2*R89*Constants!$C$20/1000000000*Constants!$C$25*IF(ISBLANK(Design!$B$26),Design!$B$25,Design!$B$26)*1000000</f>
        <v>4.8000000000000001E-2</v>
      </c>
      <c r="Z89" s="207">
        <f>(Constants!$D$26+Constants!$D$27)/1000000000*$B89*IF(ISBLANK(Design!$B$26),Design!$B$25,Design!$B$26)*1000000</f>
        <v>1.8987999999999998E-2</v>
      </c>
      <c r="AA89" s="207">
        <f t="shared" ca="1" si="16"/>
        <v>0.33614819498814191</v>
      </c>
      <c r="AB89" s="208">
        <f ca="1">AA89*Design!$C$12+$A89</f>
        <v>121.13511335943082</v>
      </c>
      <c r="AC89" s="208">
        <f ca="1">Constants!$D$22+Constants!$D$22*Constants!$C$24/100*(AB89-25)</f>
        <v>129.22117804002858</v>
      </c>
      <c r="AD89" s="208">
        <f ca="1">Constants!$D$23+Constants!$D$23*Constants!$C$24/100*(AB89-25)</f>
        <v>104.99220715752323</v>
      </c>
      <c r="AE89" s="207">
        <f ca="1">(1-Constants!$C$19/1000000000*Design!$B$26*1000000) * ($B89+R89*AD89/1000-R89*AC89/1000) - (R89*AD89/1000+R89*(1+($A89-25)*Constants!$C$36/100)*IF(ISBLANK(Design!$B$35),Constants!$C$6/1000,Design!$B$35/1000))</f>
        <v>1.6371936520642958</v>
      </c>
      <c r="AF89" s="309">
        <f ca="1">IF(AE89&gt;Design!$C$22,Design!$C$22,AE89)</f>
        <v>1.6371936520642958</v>
      </c>
      <c r="AG89" s="219">
        <f>Design!$D$6/3</f>
        <v>0.66666666666666663</v>
      </c>
      <c r="AH89" s="220">
        <f ca="1">IF( 100*(Design!$C$22+AG89*(IF(ISBLANK(Design!$B$35),Constants!$C$6,Design!$B$35)/1000*(1+Constants!$C$36/100*(AQ89-25))+AS89/1000))/($B89-AG89*AR89/1000) &gt; Design!$C$29, Design!$C$29, 100*(Design!$C$22+AG89*(IF(ISBLANK(Design!$B$35),Constants!$C$6,Design!$B$35)/1000*(1+Constants!$C$36/100*(AQ89-25))+AS89/1000))/($B89-AG89*AR89/1000) )</f>
        <v>84</v>
      </c>
      <c r="AI89" s="152">
        <f ca="1">IF(($B89-AG89*IF(ISBLANK(Design!$B$35),Constants!$C$6,Design!$B$35)/1000*(1+Constants!$C$36/100*(AQ89-25))-Design!$C$22)/(IF(ISBLANK(Design!$B$34),Design!$B$33,Design!$B$34)/1000000)*AH89/100/(IF(ISBLANK(Design!$B$26),Design!$B$25,Design!$B$26)*1000000)&lt;0, 0, ($B89-AG89*IF(ISBLANK(Design!$B$35),Constants!$C$6,Design!$B$35)/1000*(1+Constants!$C$36/100*(AQ89-25))-Design!$C$22)/(IF(ISBLANK(Design!$B$34),Design!$B$33,Design!$B$34)/1000000)*AH89/100/(IF(ISBLANK(Design!$B$26),Design!$B$25,Design!$B$26)*1000000))</f>
        <v>9.1008379573490339E-2</v>
      </c>
      <c r="AJ89" s="221">
        <f>$B89*Constants!$C$21/1000+IF(ISBLANK(Design!$B$26),Design!$B$25,Design!$B$26)*1000000*(Constants!$D$26+Constants!$D$27)/1000000000*$B89</f>
        <v>2.3028E-2</v>
      </c>
      <c r="AK89" s="221">
        <f>$B89*AG89*($B89/(Constants!$C$28*1000000000)*IF(ISBLANK(Design!$B$26),Design!$B$25,Design!$B$26)*1000000/2+$B89/(Constants!$C$29*1000000000)*IF(ISBLANK(Design!$B$26),Design!$B$25,Design!$B$26)*1000000/2)</f>
        <v>8.160800000000001E-3</v>
      </c>
      <c r="AL89" s="221">
        <f t="shared" ca="1" si="17"/>
        <v>4.6417957061227269E-2</v>
      </c>
      <c r="AM89" s="221">
        <f t="shared" ca="1" si="18"/>
        <v>8.8415156307099577E-3</v>
      </c>
      <c r="AN89" s="221">
        <f>2*AG89*Constants!$C$20/1000000000*Constants!$C$25*IF(ISBLANK(Design!$B$26),Design!$B$25,Design!$B$26)*1000000</f>
        <v>2.4E-2</v>
      </c>
      <c r="AO89" s="221">
        <f>(Constants!$D$26+Constants!$D$27)/1000000000*$B89*IF(ISBLANK(Design!$B$26),Design!$B$25,Design!$B$26)*1000000</f>
        <v>1.8987999999999998E-2</v>
      </c>
      <c r="AP89" s="221">
        <f t="shared" ca="1" si="19"/>
        <v>0.12943627269193722</v>
      </c>
      <c r="AQ89" s="222">
        <f ca="1">AP89*Design!$C$12+$A89</f>
        <v>111.21294108921299</v>
      </c>
      <c r="AR89" s="222">
        <f ca="1">Constants!$D$22+Constants!$D$22*Constants!$C$24/100*(AQ89-25)</f>
        <v>124.14102583767705</v>
      </c>
      <c r="AS89" s="222">
        <f ca="1">Constants!$D$23+Constants!$D$23*Constants!$C$24/100*(AQ89-25)</f>
        <v>100.8645834931126</v>
      </c>
      <c r="AT89" s="221">
        <f ca="1">(1-Constants!$C$19/1000000000*Design!$B$26*1000000) * ($B89+AG89*AS89/1000-AG89*AR89/1000) - (AG89*AS89/1000+AG89*(1+($A89-25)*Constants!$C$36/100)*IF(ISBLANK(Design!$B$35),Constants!$C$6/1000,Design!$B$35/1000))</f>
        <v>1.7309200922645196</v>
      </c>
      <c r="AU89" s="312">
        <f ca="1">IF(AT89&gt;Design!$C$22,Design!$C$22,AT89)</f>
        <v>1.7309200922645196</v>
      </c>
    </row>
    <row r="90" spans="1:47">
      <c r="AT90" s="154" t="s">
        <v>206</v>
      </c>
      <c r="AU90" s="154">
        <f>(Design!C4-Constants!C7)/40</f>
        <v>7.4499999999999997E-2</v>
      </c>
    </row>
    <row r="114" spans="2:10" ht="15.75" thickBot="1"/>
    <row r="115" spans="2:10">
      <c r="B115" s="226" t="s">
        <v>208</v>
      </c>
      <c r="C115" s="176"/>
      <c r="D115" s="172"/>
      <c r="E115" s="172"/>
      <c r="G115" s="256">
        <f>Design!B4</f>
        <v>3.4</v>
      </c>
      <c r="H115" s="257">
        <v>1</v>
      </c>
      <c r="I115" s="282"/>
      <c r="J115" s="282"/>
    </row>
    <row r="116" spans="2:10" ht="15.75" thickBot="1">
      <c r="B116" s="224" t="s">
        <v>232</v>
      </c>
      <c r="C116" s="177"/>
      <c r="D116" s="173"/>
      <c r="E116" s="175"/>
      <c r="G116" s="258">
        <f>Design!B4</f>
        <v>3.4</v>
      </c>
      <c r="H116" s="259">
        <v>5</v>
      </c>
      <c r="I116" s="282"/>
      <c r="J116" s="282"/>
    </row>
    <row r="117" spans="2:10">
      <c r="B117" s="428" t="s">
        <v>209</v>
      </c>
      <c r="C117" s="428"/>
      <c r="D117" s="153">
        <v>0</v>
      </c>
      <c r="E117" s="11"/>
    </row>
  </sheetData>
  <sheetProtection password="83AF" sheet="1" objects="1" scenarios="1"/>
  <mergeCells count="2">
    <mergeCell ref="A1:AU1"/>
    <mergeCell ref="B117:C11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I60"/>
  <sheetViews>
    <sheetView zoomScaleNormal="100" workbookViewId="0">
      <selection sqref="A1:I1"/>
    </sheetView>
  </sheetViews>
  <sheetFormatPr defaultRowHeight="15"/>
  <cols>
    <col min="1" max="1" width="22.7109375" style="1" customWidth="1"/>
    <col min="2" max="5" width="9.140625" style="1"/>
    <col min="6" max="6" width="18.7109375" customWidth="1"/>
  </cols>
  <sheetData>
    <row r="1" spans="1:9" ht="24" customHeight="1" thickBot="1">
      <c r="A1" s="427" t="s">
        <v>176</v>
      </c>
      <c r="B1" s="427"/>
      <c r="C1" s="427"/>
      <c r="D1" s="427"/>
      <c r="E1" s="427"/>
      <c r="F1" s="427"/>
      <c r="G1" s="427"/>
      <c r="H1" s="427"/>
      <c r="I1" s="427"/>
    </row>
    <row r="2" spans="1:9" s="2" customFormat="1" ht="18" customHeight="1">
      <c r="A2" s="25" t="s">
        <v>1</v>
      </c>
      <c r="B2" s="26" t="s">
        <v>31</v>
      </c>
      <c r="C2" s="26" t="s">
        <v>32</v>
      </c>
      <c r="D2" s="26" t="s">
        <v>33</v>
      </c>
      <c r="E2" s="26" t="s">
        <v>34</v>
      </c>
      <c r="F2" s="429" t="s">
        <v>36</v>
      </c>
      <c r="G2" s="429"/>
      <c r="H2" s="429"/>
      <c r="I2" s="430"/>
    </row>
    <row r="3" spans="1:9">
      <c r="A3" s="27" t="s">
        <v>21</v>
      </c>
      <c r="B3" s="28">
        <v>0.78800000000000003</v>
      </c>
      <c r="C3" s="28">
        <v>0.8</v>
      </c>
      <c r="D3" s="28">
        <v>0.81200000000000006</v>
      </c>
      <c r="E3" s="29" t="s">
        <v>2</v>
      </c>
      <c r="F3" s="30" t="s">
        <v>55</v>
      </c>
      <c r="G3" s="31"/>
      <c r="H3" s="31"/>
      <c r="I3" s="32"/>
    </row>
    <row r="4" spans="1:9">
      <c r="A4" s="27" t="s">
        <v>25</v>
      </c>
      <c r="B4" s="33">
        <f>100*(B3-C3)/C3</f>
        <v>-1.5000000000000013</v>
      </c>
      <c r="C4" s="34" t="s">
        <v>22</v>
      </c>
      <c r="D4" s="33">
        <f>100*(D3-C3)/C3</f>
        <v>1.5000000000000013</v>
      </c>
      <c r="E4" s="35" t="s">
        <v>24</v>
      </c>
      <c r="F4" s="30" t="s">
        <v>48</v>
      </c>
      <c r="G4" s="31"/>
      <c r="H4" s="31"/>
      <c r="I4" s="32"/>
    </row>
    <row r="5" spans="1:9">
      <c r="A5" s="27" t="s">
        <v>78</v>
      </c>
      <c r="B5" s="34" t="s">
        <v>22</v>
      </c>
      <c r="C5" s="34">
        <v>4</v>
      </c>
      <c r="D5" s="34" t="s">
        <v>22</v>
      </c>
      <c r="E5" s="35" t="s">
        <v>66</v>
      </c>
      <c r="F5" s="30" t="s">
        <v>97</v>
      </c>
      <c r="G5" s="31"/>
      <c r="H5" s="31"/>
      <c r="I5" s="32"/>
    </row>
    <row r="6" spans="1:9" ht="18">
      <c r="A6" s="27" t="s">
        <v>204</v>
      </c>
      <c r="B6" s="34" t="s">
        <v>22</v>
      </c>
      <c r="C6" s="34">
        <v>10</v>
      </c>
      <c r="D6" s="34" t="s">
        <v>22</v>
      </c>
      <c r="E6" s="35" t="s">
        <v>113</v>
      </c>
      <c r="F6" s="30" t="s">
        <v>205</v>
      </c>
      <c r="G6" s="31"/>
      <c r="H6" s="31"/>
      <c r="I6" s="32"/>
    </row>
    <row r="7" spans="1:9">
      <c r="A7" s="27" t="s">
        <v>200</v>
      </c>
      <c r="B7" s="34" t="s">
        <v>22</v>
      </c>
      <c r="C7" s="271">
        <v>2.02</v>
      </c>
      <c r="D7" s="270">
        <v>2.25</v>
      </c>
      <c r="E7" s="35" t="s">
        <v>2</v>
      </c>
      <c r="F7" s="30" t="s">
        <v>57</v>
      </c>
      <c r="G7" s="31"/>
      <c r="H7" s="31"/>
      <c r="I7" s="32"/>
    </row>
    <row r="8" spans="1:9">
      <c r="A8" s="27" t="s">
        <v>35</v>
      </c>
      <c r="B8" s="272">
        <v>100</v>
      </c>
      <c r="C8" s="34">
        <v>200</v>
      </c>
      <c r="D8" s="34" t="s">
        <v>22</v>
      </c>
      <c r="E8" s="35" t="s">
        <v>20</v>
      </c>
      <c r="F8" s="30" t="s">
        <v>57</v>
      </c>
      <c r="G8" s="31"/>
      <c r="H8" s="31"/>
      <c r="I8" s="32"/>
    </row>
    <row r="9" spans="1:9">
      <c r="A9" s="27" t="s">
        <v>156</v>
      </c>
      <c r="B9" s="34" t="s">
        <v>22</v>
      </c>
      <c r="C9" s="34">
        <v>0.5</v>
      </c>
      <c r="D9" s="34" t="s">
        <v>22</v>
      </c>
      <c r="E9" s="34" t="s">
        <v>22</v>
      </c>
      <c r="F9" s="30" t="s">
        <v>157</v>
      </c>
      <c r="G9" s="31"/>
      <c r="H9" s="31"/>
      <c r="I9" s="32"/>
    </row>
    <row r="10" spans="1:9">
      <c r="A10" s="27" t="s">
        <v>10</v>
      </c>
      <c r="B10" s="34" t="s">
        <v>22</v>
      </c>
      <c r="C10" s="29">
        <v>65</v>
      </c>
      <c r="D10" s="34" t="s">
        <v>22</v>
      </c>
      <c r="E10" s="35" t="s">
        <v>11</v>
      </c>
      <c r="F10" s="30" t="s">
        <v>57</v>
      </c>
      <c r="G10" s="31"/>
      <c r="H10" s="31"/>
      <c r="I10" s="32"/>
    </row>
    <row r="11" spans="1:9">
      <c r="A11" s="27" t="s">
        <v>12</v>
      </c>
      <c r="B11" s="29">
        <v>550</v>
      </c>
      <c r="C11" s="29">
        <v>750</v>
      </c>
      <c r="D11" s="29">
        <v>950</v>
      </c>
      <c r="E11" s="35" t="s">
        <v>108</v>
      </c>
      <c r="F11" s="30" t="s">
        <v>57</v>
      </c>
      <c r="G11" s="31"/>
      <c r="H11" s="31"/>
      <c r="I11" s="32"/>
    </row>
    <row r="12" spans="1:9">
      <c r="A12" s="27" t="s">
        <v>84</v>
      </c>
      <c r="B12" s="33">
        <f>POWER(10,$C$10/20)/(D11/1000000)/1000000</f>
        <v>1.8718730631988678</v>
      </c>
      <c r="C12" s="33">
        <f>POWER(10,$C$10/20)/(C11/1000000)/1000000</f>
        <v>2.3710392133852327</v>
      </c>
      <c r="D12" s="33">
        <f>POWER(10,$C$10/20)/(B11/1000000)/1000000</f>
        <v>3.2332352909798621</v>
      </c>
      <c r="E12" s="35" t="s">
        <v>85</v>
      </c>
      <c r="F12" s="30" t="s">
        <v>48</v>
      </c>
      <c r="G12" s="31"/>
      <c r="H12" s="31"/>
      <c r="I12" s="32"/>
    </row>
    <row r="13" spans="1:9">
      <c r="A13" s="27" t="s">
        <v>0</v>
      </c>
      <c r="B13" s="34" t="s">
        <v>22</v>
      </c>
      <c r="C13" s="105">
        <v>4.5</v>
      </c>
      <c r="D13" s="34" t="s">
        <v>22</v>
      </c>
      <c r="E13" s="35" t="s">
        <v>3</v>
      </c>
      <c r="F13" s="30" t="s">
        <v>57</v>
      </c>
      <c r="G13" s="31"/>
      <c r="H13" s="31"/>
      <c r="I13" s="32"/>
    </row>
    <row r="14" spans="1:9" ht="15" customHeight="1">
      <c r="A14" s="431" t="s">
        <v>294</v>
      </c>
      <c r="B14" s="34">
        <v>0.21</v>
      </c>
      <c r="C14" s="105">
        <v>0.28999999999999998</v>
      </c>
      <c r="D14" s="34">
        <v>0.36</v>
      </c>
      <c r="E14" s="433" t="s">
        <v>293</v>
      </c>
      <c r="F14" s="275" t="s">
        <v>55</v>
      </c>
      <c r="G14" s="274">
        <v>0.249</v>
      </c>
      <c r="H14" s="31" t="s">
        <v>16</v>
      </c>
      <c r="I14" s="32"/>
    </row>
    <row r="15" spans="1:9">
      <c r="A15" s="432"/>
      <c r="B15" s="34">
        <v>1.65</v>
      </c>
      <c r="C15" s="105">
        <v>2.35</v>
      </c>
      <c r="D15" s="34">
        <v>2.85</v>
      </c>
      <c r="E15" s="434"/>
      <c r="F15" s="275" t="s">
        <v>55</v>
      </c>
      <c r="G15" s="274">
        <v>2.0009999999999999</v>
      </c>
      <c r="H15" s="31" t="s">
        <v>292</v>
      </c>
      <c r="I15" s="32"/>
    </row>
    <row r="16" spans="1:9">
      <c r="A16" s="27" t="s">
        <v>198</v>
      </c>
      <c r="B16" s="127">
        <v>0.25</v>
      </c>
      <c r="C16" s="34" t="s">
        <v>22</v>
      </c>
      <c r="D16" s="127">
        <v>2.4500000000000002</v>
      </c>
      <c r="E16" s="35" t="s">
        <v>16</v>
      </c>
      <c r="F16" s="30" t="s">
        <v>55</v>
      </c>
      <c r="G16" s="31"/>
      <c r="H16" s="31"/>
      <c r="I16" s="32"/>
    </row>
    <row r="17" spans="1:9">
      <c r="A17" s="27" t="s">
        <v>39</v>
      </c>
      <c r="B17" s="34">
        <v>-10</v>
      </c>
      <c r="C17" s="34" t="s">
        <v>22</v>
      </c>
      <c r="D17" s="34">
        <v>10</v>
      </c>
      <c r="E17" s="35" t="s">
        <v>24</v>
      </c>
      <c r="F17" s="30" t="s">
        <v>55</v>
      </c>
      <c r="G17" s="31"/>
      <c r="H17" s="31"/>
      <c r="I17" s="32"/>
    </row>
    <row r="18" spans="1:9" ht="18">
      <c r="A18" s="27" t="s">
        <v>103</v>
      </c>
      <c r="B18" s="34" t="s">
        <v>22</v>
      </c>
      <c r="C18" s="34">
        <v>65</v>
      </c>
      <c r="D18" s="29">
        <v>105</v>
      </c>
      <c r="E18" s="35" t="s">
        <v>4</v>
      </c>
      <c r="F18" s="30" t="s">
        <v>101</v>
      </c>
      <c r="G18" s="31"/>
      <c r="H18" s="31"/>
      <c r="I18" s="32"/>
    </row>
    <row r="19" spans="1:9" ht="18">
      <c r="A19" s="27" t="s">
        <v>104</v>
      </c>
      <c r="B19" s="34" t="s">
        <v>22</v>
      </c>
      <c r="C19" s="34">
        <v>50</v>
      </c>
      <c r="D19" s="29">
        <v>100</v>
      </c>
      <c r="E19" s="35" t="s">
        <v>4</v>
      </c>
      <c r="F19" s="30" t="s">
        <v>102</v>
      </c>
      <c r="G19" s="31"/>
      <c r="H19" s="31"/>
      <c r="I19" s="32"/>
    </row>
    <row r="20" spans="1:9">
      <c r="A20" s="27" t="s">
        <v>273</v>
      </c>
      <c r="B20" s="34" t="s">
        <v>22</v>
      </c>
      <c r="C20" s="34">
        <v>15</v>
      </c>
      <c r="D20" s="34" t="s">
        <v>22</v>
      </c>
      <c r="E20" s="35" t="s">
        <v>4</v>
      </c>
      <c r="F20" s="30" t="s">
        <v>57</v>
      </c>
      <c r="G20" s="31"/>
      <c r="H20" s="31"/>
      <c r="I20" s="32"/>
    </row>
    <row r="21" spans="1:9">
      <c r="A21" s="27" t="s">
        <v>195</v>
      </c>
      <c r="B21" s="34" t="s">
        <v>22</v>
      </c>
      <c r="C21" s="99">
        <v>2</v>
      </c>
      <c r="D21" s="34" t="s">
        <v>22</v>
      </c>
      <c r="E21" s="35" t="s">
        <v>5</v>
      </c>
      <c r="F21" s="30" t="s">
        <v>57</v>
      </c>
      <c r="G21" s="31"/>
      <c r="H21" s="31"/>
      <c r="I21" s="32"/>
    </row>
    <row r="22" spans="1:9" ht="18" customHeight="1">
      <c r="A22" s="273" t="s">
        <v>271</v>
      </c>
      <c r="B22" s="75" t="s">
        <v>22</v>
      </c>
      <c r="C22" s="75" t="s">
        <v>22</v>
      </c>
      <c r="D22" s="75">
        <v>80</v>
      </c>
      <c r="E22" s="274" t="s">
        <v>98</v>
      </c>
      <c r="F22" s="275" t="s">
        <v>56</v>
      </c>
      <c r="G22" s="78"/>
      <c r="H22" s="78"/>
      <c r="I22" s="79"/>
    </row>
    <row r="23" spans="1:9" ht="18" customHeight="1">
      <c r="A23" s="273" t="s">
        <v>272</v>
      </c>
      <c r="B23" s="75" t="s">
        <v>22</v>
      </c>
      <c r="C23" s="75" t="s">
        <v>22</v>
      </c>
      <c r="D23" s="75">
        <v>65</v>
      </c>
      <c r="E23" s="274" t="s">
        <v>98</v>
      </c>
      <c r="F23" s="275" t="s">
        <v>56</v>
      </c>
      <c r="G23" s="78"/>
      <c r="H23" s="78"/>
      <c r="I23" s="79"/>
    </row>
    <row r="24" spans="1:9">
      <c r="A24" s="27" t="s">
        <v>106</v>
      </c>
      <c r="B24" s="34" t="s">
        <v>22</v>
      </c>
      <c r="C24" s="34">
        <v>0.64</v>
      </c>
      <c r="D24" s="34" t="s">
        <v>22</v>
      </c>
      <c r="E24" s="35" t="s">
        <v>107</v>
      </c>
      <c r="F24" s="30" t="s">
        <v>56</v>
      </c>
      <c r="G24" s="31"/>
      <c r="H24" s="31"/>
      <c r="I24" s="32"/>
    </row>
    <row r="25" spans="1:9" ht="18">
      <c r="A25" s="27" t="s">
        <v>279</v>
      </c>
      <c r="B25" s="34" t="s">
        <v>22</v>
      </c>
      <c r="C25" s="35">
        <v>0.6</v>
      </c>
      <c r="D25" s="34" t="s">
        <v>22</v>
      </c>
      <c r="E25" s="35" t="s">
        <v>2</v>
      </c>
      <c r="F25" s="30" t="s">
        <v>56</v>
      </c>
      <c r="G25" s="31"/>
      <c r="H25" s="31"/>
      <c r="I25" s="32"/>
    </row>
    <row r="26" spans="1:9">
      <c r="A26" s="27" t="s">
        <v>277</v>
      </c>
      <c r="B26" s="34" t="s">
        <v>22</v>
      </c>
      <c r="C26" s="34" t="s">
        <v>22</v>
      </c>
      <c r="D26" s="35">
        <v>3.3</v>
      </c>
      <c r="E26" s="35" t="s">
        <v>9</v>
      </c>
      <c r="F26" s="30" t="s">
        <v>56</v>
      </c>
      <c r="G26" s="31"/>
      <c r="H26" s="31"/>
      <c r="I26" s="32"/>
    </row>
    <row r="27" spans="1:9">
      <c r="A27" s="27" t="s">
        <v>278</v>
      </c>
      <c r="B27" s="34" t="s">
        <v>22</v>
      </c>
      <c r="C27" s="34" t="s">
        <v>22</v>
      </c>
      <c r="D27" s="35">
        <v>1.4</v>
      </c>
      <c r="E27" s="35" t="s">
        <v>9</v>
      </c>
      <c r="F27" s="30" t="s">
        <v>56</v>
      </c>
      <c r="G27" s="31"/>
      <c r="H27" s="31"/>
      <c r="I27" s="32"/>
    </row>
    <row r="28" spans="1:9">
      <c r="A28" s="27" t="s">
        <v>7</v>
      </c>
      <c r="B28" s="34" t="s">
        <v>22</v>
      </c>
      <c r="C28" s="36">
        <v>0.5</v>
      </c>
      <c r="D28" s="34" t="s">
        <v>22</v>
      </c>
      <c r="E28" s="35" t="s">
        <v>6</v>
      </c>
      <c r="F28" s="30" t="s">
        <v>179</v>
      </c>
      <c r="G28" s="31"/>
      <c r="H28" s="31"/>
      <c r="I28" s="32"/>
    </row>
    <row r="29" spans="1:9">
      <c r="A29" s="27" t="s">
        <v>8</v>
      </c>
      <c r="B29" s="34" t="s">
        <v>22</v>
      </c>
      <c r="C29" s="36">
        <v>1</v>
      </c>
      <c r="D29" s="34" t="s">
        <v>22</v>
      </c>
      <c r="E29" s="35" t="s">
        <v>6</v>
      </c>
      <c r="F29" s="30" t="s">
        <v>179</v>
      </c>
      <c r="G29" s="31"/>
      <c r="H29" s="31"/>
      <c r="I29" s="32"/>
    </row>
    <row r="30" spans="1:9">
      <c r="A30" s="27" t="s">
        <v>38</v>
      </c>
      <c r="B30" s="34" t="s">
        <v>22</v>
      </c>
      <c r="C30" s="35">
        <v>20</v>
      </c>
      <c r="D30" s="34" t="s">
        <v>22</v>
      </c>
      <c r="E30" s="35" t="s">
        <v>109</v>
      </c>
      <c r="F30" s="30" t="s">
        <v>57</v>
      </c>
      <c r="G30" s="31"/>
      <c r="H30" s="31"/>
      <c r="I30" s="32"/>
    </row>
    <row r="31" spans="1:9">
      <c r="A31" s="27" t="s">
        <v>60</v>
      </c>
      <c r="B31" s="34" t="s">
        <v>22</v>
      </c>
      <c r="C31" s="35">
        <v>330</v>
      </c>
      <c r="D31" s="34" t="s">
        <v>22</v>
      </c>
      <c r="E31" s="35" t="s">
        <v>20</v>
      </c>
      <c r="F31" s="30" t="s">
        <v>57</v>
      </c>
      <c r="G31" s="31"/>
      <c r="H31" s="31"/>
      <c r="I31" s="32"/>
    </row>
    <row r="32" spans="1:9" ht="18">
      <c r="A32" s="27">
        <v>5</v>
      </c>
      <c r="B32" s="36">
        <v>3.5</v>
      </c>
      <c r="C32" s="34" t="s">
        <v>22</v>
      </c>
      <c r="D32" s="34" t="s">
        <v>22</v>
      </c>
      <c r="E32" s="35" t="s">
        <v>13</v>
      </c>
      <c r="F32" s="30" t="s">
        <v>177</v>
      </c>
      <c r="G32" s="31"/>
      <c r="H32" s="31"/>
      <c r="I32" s="32"/>
    </row>
    <row r="33" spans="1:9" ht="18">
      <c r="A33" s="27">
        <v>90</v>
      </c>
      <c r="B33" s="36">
        <v>2.2999999999999998</v>
      </c>
      <c r="C33" s="34" t="s">
        <v>22</v>
      </c>
      <c r="D33" s="34" t="s">
        <v>22</v>
      </c>
      <c r="E33" s="35" t="s">
        <v>13</v>
      </c>
      <c r="F33" s="30" t="s">
        <v>178</v>
      </c>
      <c r="G33" s="31"/>
      <c r="H33" s="31"/>
      <c r="I33" s="32"/>
    </row>
    <row r="34" spans="1:9">
      <c r="A34" s="102" t="s">
        <v>145</v>
      </c>
      <c r="B34" s="34" t="s">
        <v>22</v>
      </c>
      <c r="C34" s="103">
        <v>-1.41E-2</v>
      </c>
      <c r="D34" s="34" t="s">
        <v>22</v>
      </c>
      <c r="E34" s="35" t="s">
        <v>147</v>
      </c>
      <c r="F34" s="30" t="s">
        <v>180</v>
      </c>
      <c r="G34" s="31"/>
      <c r="H34" s="31"/>
      <c r="I34" s="32"/>
    </row>
    <row r="35" spans="1:9">
      <c r="A35" s="102" t="s">
        <v>146</v>
      </c>
      <c r="B35" s="34" t="s">
        <v>22</v>
      </c>
      <c r="C35" s="103">
        <v>3.5706000000000002</v>
      </c>
      <c r="D35" s="34" t="s">
        <v>22</v>
      </c>
      <c r="E35" s="35" t="s">
        <v>13</v>
      </c>
      <c r="F35" s="30" t="s">
        <v>181</v>
      </c>
      <c r="G35" s="31"/>
      <c r="H35" s="31"/>
      <c r="I35" s="32"/>
    </row>
    <row r="36" spans="1:9" ht="15.75" thickBot="1">
      <c r="A36" s="171" t="s">
        <v>228</v>
      </c>
      <c r="B36" s="37" t="s">
        <v>22</v>
      </c>
      <c r="C36" s="104">
        <v>0.39300000000000002</v>
      </c>
      <c r="D36" s="37" t="s">
        <v>22</v>
      </c>
      <c r="E36" s="38" t="s">
        <v>229</v>
      </c>
      <c r="F36" s="39" t="s">
        <v>235</v>
      </c>
      <c r="G36" s="40"/>
      <c r="H36" s="40"/>
      <c r="I36" s="41"/>
    </row>
    <row r="37" spans="1:9" ht="15.75" thickBot="1"/>
    <row r="38" spans="1:9" s="12" customFormat="1" ht="18" customHeight="1">
      <c r="A38" s="42" t="s">
        <v>124</v>
      </c>
      <c r="B38" s="43"/>
      <c r="C38" s="43"/>
      <c r="D38" s="43"/>
      <c r="E38" s="43"/>
      <c r="F38" s="44"/>
      <c r="G38" s="45"/>
    </row>
    <row r="39" spans="1:9">
      <c r="A39" s="27" t="s">
        <v>110</v>
      </c>
      <c r="B39" s="35">
        <v>3.3</v>
      </c>
      <c r="C39" s="35" t="s">
        <v>2</v>
      </c>
      <c r="D39" s="46" t="s">
        <v>125</v>
      </c>
      <c r="E39" s="35"/>
      <c r="F39" s="31"/>
      <c r="G39" s="32"/>
    </row>
    <row r="40" spans="1:9" ht="18">
      <c r="A40" s="27" t="s">
        <v>158</v>
      </c>
      <c r="B40" s="35">
        <v>2</v>
      </c>
      <c r="C40" s="35" t="s">
        <v>13</v>
      </c>
      <c r="D40" s="46" t="s">
        <v>159</v>
      </c>
      <c r="E40" s="35"/>
      <c r="F40" s="31"/>
      <c r="G40" s="32"/>
    </row>
    <row r="41" spans="1:9">
      <c r="A41" s="27" t="s">
        <v>115</v>
      </c>
      <c r="B41" s="35">
        <v>1.1000000000000001</v>
      </c>
      <c r="C41" s="35" t="s">
        <v>13</v>
      </c>
      <c r="D41" s="46" t="s">
        <v>152</v>
      </c>
      <c r="E41" s="35"/>
      <c r="F41" s="31"/>
      <c r="G41" s="32"/>
    </row>
    <row r="42" spans="1:9" ht="18">
      <c r="A42" s="27" t="s">
        <v>160</v>
      </c>
      <c r="B42" s="99">
        <f>100*B41/B40</f>
        <v>55.000000000000007</v>
      </c>
      <c r="C42" s="35" t="s">
        <v>24</v>
      </c>
      <c r="D42" s="46" t="s">
        <v>163</v>
      </c>
      <c r="E42" s="35"/>
      <c r="F42" s="31"/>
      <c r="G42" s="32"/>
    </row>
    <row r="43" spans="1:9">
      <c r="A43" s="27" t="s">
        <v>111</v>
      </c>
      <c r="B43" s="35">
        <v>1</v>
      </c>
      <c r="C43" s="34" t="s">
        <v>22</v>
      </c>
      <c r="D43" s="46" t="s">
        <v>164</v>
      </c>
      <c r="E43" s="35"/>
      <c r="F43" s="31"/>
      <c r="G43" s="32"/>
    </row>
    <row r="44" spans="1:9" ht="18">
      <c r="A44" s="27" t="s">
        <v>127</v>
      </c>
      <c r="B44" s="35">
        <v>2</v>
      </c>
      <c r="C44" s="35" t="s">
        <v>16</v>
      </c>
      <c r="D44" s="46" t="s">
        <v>128</v>
      </c>
      <c r="E44" s="35"/>
      <c r="F44" s="31"/>
      <c r="G44" s="32"/>
    </row>
    <row r="45" spans="1:9">
      <c r="A45" s="27" t="s">
        <v>116</v>
      </c>
      <c r="B45" s="35">
        <v>128</v>
      </c>
      <c r="C45" s="35" t="s">
        <v>20</v>
      </c>
      <c r="D45" s="46" t="s">
        <v>269</v>
      </c>
      <c r="E45" s="35"/>
      <c r="F45" s="31"/>
      <c r="G45" s="32"/>
    </row>
    <row r="46" spans="1:9">
      <c r="A46" s="27" t="s">
        <v>112</v>
      </c>
      <c r="B46" s="35">
        <v>10</v>
      </c>
      <c r="C46" s="35" t="s">
        <v>24</v>
      </c>
      <c r="D46" s="46" t="s">
        <v>126</v>
      </c>
      <c r="E46" s="35"/>
      <c r="F46" s="31"/>
      <c r="G46" s="32"/>
    </row>
    <row r="47" spans="1:9">
      <c r="A47" s="27" t="s">
        <v>26</v>
      </c>
      <c r="B47" s="99">
        <v>6</v>
      </c>
      <c r="C47" s="35" t="s">
        <v>113</v>
      </c>
      <c r="D47" s="46" t="s">
        <v>117</v>
      </c>
      <c r="E47" s="35"/>
      <c r="F47" s="31"/>
      <c r="G47" s="32"/>
    </row>
    <row r="48" spans="1:9">
      <c r="A48" s="27" t="s">
        <v>27</v>
      </c>
      <c r="B48" s="35">
        <v>1.8</v>
      </c>
      <c r="C48" s="35" t="s">
        <v>28</v>
      </c>
      <c r="D48" s="46" t="s">
        <v>117</v>
      </c>
      <c r="E48" s="35"/>
      <c r="F48" s="31"/>
      <c r="G48" s="32"/>
    </row>
    <row r="49" spans="1:7">
      <c r="A49" s="27" t="s">
        <v>121</v>
      </c>
      <c r="B49" s="99">
        <v>0.8</v>
      </c>
      <c r="C49" s="36">
        <v>9.9600000000000009</v>
      </c>
      <c r="D49" s="34" t="s">
        <v>166</v>
      </c>
      <c r="E49" s="46" t="s">
        <v>118</v>
      </c>
      <c r="F49" s="31"/>
      <c r="G49" s="32"/>
    </row>
    <row r="50" spans="1:7">
      <c r="A50" s="27" t="s">
        <v>121</v>
      </c>
      <c r="B50" s="99">
        <v>2</v>
      </c>
      <c r="C50" s="36">
        <v>9.8000000000000007</v>
      </c>
      <c r="D50" s="34" t="s">
        <v>166</v>
      </c>
      <c r="E50" s="46" t="s">
        <v>118</v>
      </c>
      <c r="F50" s="31"/>
      <c r="G50" s="32"/>
    </row>
    <row r="51" spans="1:7">
      <c r="A51" s="27" t="s">
        <v>121</v>
      </c>
      <c r="B51" s="99">
        <v>3.3</v>
      </c>
      <c r="C51" s="36">
        <v>9.5</v>
      </c>
      <c r="D51" s="34" t="s">
        <v>166</v>
      </c>
      <c r="E51" s="46" t="s">
        <v>118</v>
      </c>
      <c r="F51" s="31"/>
      <c r="G51" s="32"/>
    </row>
    <row r="52" spans="1:7">
      <c r="A52" s="27" t="s">
        <v>121</v>
      </c>
      <c r="B52" s="99">
        <v>5</v>
      </c>
      <c r="C52" s="36">
        <v>8.85</v>
      </c>
      <c r="D52" s="34" t="s">
        <v>166</v>
      </c>
      <c r="E52" s="46" t="s">
        <v>118</v>
      </c>
      <c r="F52" s="31"/>
      <c r="G52" s="32"/>
    </row>
    <row r="53" spans="1:7">
      <c r="A53" s="27" t="s">
        <v>121</v>
      </c>
      <c r="B53" s="99">
        <v>8</v>
      </c>
      <c r="C53" s="36">
        <v>7.48</v>
      </c>
      <c r="D53" s="34" t="s">
        <v>166</v>
      </c>
      <c r="E53" s="46" t="s">
        <v>118</v>
      </c>
      <c r="F53" s="31"/>
      <c r="G53" s="32"/>
    </row>
    <row r="54" spans="1:7" ht="17.25">
      <c r="A54" s="74" t="s">
        <v>122</v>
      </c>
      <c r="B54" s="75" t="s">
        <v>22</v>
      </c>
      <c r="C54" s="76">
        <v>3.3999999999999998E-3</v>
      </c>
      <c r="D54" s="75" t="s">
        <v>167</v>
      </c>
      <c r="E54" s="77" t="s">
        <v>149</v>
      </c>
      <c r="F54" s="78"/>
      <c r="G54" s="79"/>
    </row>
    <row r="55" spans="1:7" ht="17.25">
      <c r="A55" s="74" t="s">
        <v>122</v>
      </c>
      <c r="B55" s="75" t="s">
        <v>22</v>
      </c>
      <c r="C55" s="76">
        <v>-7.4300000000000005E-2</v>
      </c>
      <c r="D55" s="75" t="s">
        <v>169</v>
      </c>
      <c r="E55" s="77" t="s">
        <v>150</v>
      </c>
      <c r="F55" s="78"/>
      <c r="G55" s="79"/>
    </row>
    <row r="56" spans="1:7">
      <c r="A56" s="74" t="s">
        <v>122</v>
      </c>
      <c r="B56" s="75" t="s">
        <v>22</v>
      </c>
      <c r="C56" s="76">
        <v>6.83E-2</v>
      </c>
      <c r="D56" s="75" t="s">
        <v>168</v>
      </c>
      <c r="E56" s="77" t="s">
        <v>151</v>
      </c>
      <c r="F56" s="78"/>
      <c r="G56" s="79"/>
    </row>
    <row r="57" spans="1:7" ht="15.75" thickBot="1">
      <c r="A57" s="80" t="s">
        <v>122</v>
      </c>
      <c r="B57" s="81" t="s">
        <v>22</v>
      </c>
      <c r="C57" s="82">
        <v>9.9469999999999992</v>
      </c>
      <c r="D57" s="81" t="s">
        <v>114</v>
      </c>
      <c r="E57" s="83" t="s">
        <v>170</v>
      </c>
      <c r="F57" s="84"/>
      <c r="G57" s="85"/>
    </row>
    <row r="59" spans="1:7">
      <c r="A59" s="292" t="s">
        <v>295</v>
      </c>
      <c r="B59"/>
      <c r="C59"/>
      <c r="D59"/>
      <c r="E59"/>
    </row>
    <row r="60" spans="1:7" ht="18">
      <c r="A60" s="293" t="s">
        <v>296</v>
      </c>
      <c r="B60" s="294">
        <f ca="1">FORECAST((IF(ISBLANK(Design!B26),Design!B25,Design!B26)), OFFSET(B14:B15,MATCH((IF(ISBLANK(Design!B26),Design!B25,Design!B26)),G14:G15,1)-1,0,2), OFFSET(G14:G15,MATCH((IF(ISBLANK(Design!B26),Design!B25,Design!B26)),G14:G15,1)-1,0,2))</f>
        <v>1.649178082191781</v>
      </c>
      <c r="C60" s="294">
        <f ca="1">FORECAST((IF(ISBLANK(Design!B26),Design!B25,Design!B26)), OFFSET(C14:C15,MATCH((IF(ISBLANK(Design!B26),Design!B25,Design!B26)),G14:G15,1)-1,0,2), OFFSET(G14:G15,MATCH((IF(ISBLANK(Design!B26),Design!B25,Design!B26)),G14:G15,1)-1,0,2))</f>
        <v>2.3488242009132421</v>
      </c>
      <c r="D60" s="294">
        <f ca="1">FORECAST((IF(ISBLANK(Design!B26),Design!B25,Design!B26)), OFFSET(D14:D15,MATCH((IF(ISBLANK(Design!B26),Design!B25,Design!B26)),G14:G15,1)-1,0,2), OFFSET(G14:G15,MATCH((IF(ISBLANK(Design!B26),Design!B25,Design!B26)),G14:G15,1)-1,0,2))</f>
        <v>2.8485787671232878</v>
      </c>
      <c r="E60" s="178" t="s">
        <v>293</v>
      </c>
    </row>
  </sheetData>
  <sheetProtection password="83AF" sheet="1" objects="1" scenarios="1"/>
  <mergeCells count="4">
    <mergeCell ref="F2:I2"/>
    <mergeCell ref="A1:I1"/>
    <mergeCell ref="A14:A15"/>
    <mergeCell ref="E14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Design</vt:lpstr>
      <vt:lpstr>Snubber</vt:lpstr>
      <vt:lpstr>Efficiency</vt:lpstr>
      <vt:lpstr>Dropout</vt:lpstr>
      <vt:lpstr>Constants</vt:lpstr>
      <vt:lpstr>Design!Print_Area</vt:lpstr>
      <vt:lpstr>Snubber!Print_Area</vt:lpstr>
    </vt:vector>
  </TitlesOfParts>
  <Company>Allegro MicroSystems,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J. Reicher</dc:creator>
  <cp:lastModifiedBy>Eric J. Reicher</cp:lastModifiedBy>
  <cp:lastPrinted>2012-02-02T03:45:48Z</cp:lastPrinted>
  <dcterms:created xsi:type="dcterms:W3CDTF">2012-01-10T15:56:57Z</dcterms:created>
  <dcterms:modified xsi:type="dcterms:W3CDTF">2013-09-05T14:50:15Z</dcterms:modified>
</cp:coreProperties>
</file>