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210" yWindow="-135" windowWidth="2625" windowHeight="7365"/>
  </bookViews>
  <sheets>
    <sheet name="Design" sheetId="1" r:id="rId1"/>
    <sheet name="Snubber" sheetId="8" r:id="rId2"/>
    <sheet name="Efficiency" sheetId="12" r:id="rId3"/>
    <sheet name="Dropout" sheetId="7" r:id="rId4"/>
    <sheet name="Constants" sheetId="2" r:id="rId5"/>
    <sheet name="Remote Regulation of A8652-53" sheetId="13" r:id="rId6"/>
  </sheets>
  <definedNames>
    <definedName name="AFB">'Remote Regulation of A8652-53'!$C$6</definedName>
    <definedName name="AFBx">'Remote Regulation of A8652-53'!#REF!</definedName>
    <definedName name="AVOL">Constants!$C$10</definedName>
    <definedName name="Cal_RIADJ">'Remote Regulation of A8652-53'!$B$20</definedName>
    <definedName name="ChosenmaxDuty_max">Design!$C$29</definedName>
    <definedName name="ChosenmaxDuty_typ">Design!$B$29</definedName>
    <definedName name="ChosenminDuty_max">Design!$C$28</definedName>
    <definedName name="ChosenminDuty_typ">Design!$B$28</definedName>
    <definedName name="ChosenSE_max">Constants!$D$62</definedName>
    <definedName name="ChosenSE_min">Constants!$B$62</definedName>
    <definedName name="ChosenSE_typ">Constants!$C$62</definedName>
    <definedName name="Cin_Irms">Design!$B$52</definedName>
    <definedName name="Cin_min">Design!$B$51</definedName>
    <definedName name="Co_num_actual">Design!$B$45</definedName>
    <definedName name="Co_num_est">Design!$B$44</definedName>
    <definedName name="Co_tot">Design!$B$46</definedName>
    <definedName name="Coeff_0V">Constants!$C$58</definedName>
    <definedName name="Coeff_V">Constants!$C$57</definedName>
    <definedName name="Coeff_V2">Constants!$C$56</definedName>
    <definedName name="Coeff_V3">Constants!$C$55</definedName>
    <definedName name="Cp_sel">Design!$B$67</definedName>
    <definedName name="Csnub">Snubber!$B$15</definedName>
    <definedName name="CSnub_Cal">Snubber!$B$14</definedName>
    <definedName name="CSS_min">Design!$B$54</definedName>
    <definedName name="CSS_sel">Design!$B$55</definedName>
    <definedName name="Cz_max">Design!$C$66</definedName>
    <definedName name="Cz_min">Design!$B$66</definedName>
    <definedName name="D1_CAP">Snubber!$C$5</definedName>
    <definedName name="DCR_Lo">Constants!$C$6</definedName>
    <definedName name="DCRLo_Sel">Design!$B$36</definedName>
    <definedName name="f_p1">Design!$B$62</definedName>
    <definedName name="f_z1">Design!$B$63</definedName>
    <definedName name="fc_max">Design!$B$59</definedName>
    <definedName name="fc_sel">Design!$B$60</definedName>
    <definedName name="Fsw_max">Constants!$D$17</definedName>
    <definedName name="Fsw_min">Constants!$B$17</definedName>
    <definedName name="Fsw_Recom">Design!$B$25</definedName>
    <definedName name="Fsw_Sel">Design!$B$26</definedName>
    <definedName name="Fswtol_max">Constants!$D$18</definedName>
    <definedName name="Fswtol_min">Constants!$B$18</definedName>
    <definedName name="gm_typ">Constants!$C$11</definedName>
    <definedName name="gmEA_max">Constants!$D$11</definedName>
    <definedName name="gmEA_min">Constants!$B$11</definedName>
    <definedName name="gmEA_typ">Constants!$C$11</definedName>
    <definedName name="gmPower">Constants!$C$13</definedName>
    <definedName name="ILIM5_max">Constants!$D$33</definedName>
    <definedName name="ILIM5_min">Constants!$B$33</definedName>
    <definedName name="ILIM5_typ">Constants!$C$33</definedName>
    <definedName name="ILIM90_max">Constants!$D$34</definedName>
    <definedName name="ILIM90_min">Constants!$B$34</definedName>
    <definedName name="ILIM90_typ">Constants!$C$34</definedName>
    <definedName name="ILIMcurve_offset">Constants!$C$36</definedName>
    <definedName name="ILIMcurve_slope">Constants!$C$35</definedName>
    <definedName name="ILIMmargin_Vinmin">Design!$B$41</definedName>
    <definedName name="ILIMmargin_Vintyp">Design!$B$40</definedName>
    <definedName name="ILpp_max">Design!$B$38</definedName>
    <definedName name="ILpp_typ">Design!$B$37</definedName>
    <definedName name="Iout">Design!$D$6</definedName>
    <definedName name="IOUT_LIM">'Remote Regulation of A8652-53'!$C$7</definedName>
    <definedName name="IOUT_LIMx">'Remote Regulation of A8652-53'!#REF!</definedName>
    <definedName name="IQ">Constants!$C$22</definedName>
    <definedName name="Isat_req">Design!$B$39</definedName>
    <definedName name="Lo_max">Design!$C$32</definedName>
    <definedName name="Lo_min">Design!$B$32</definedName>
    <definedName name="Lo_Ridley">Design!$B$34</definedName>
    <definedName name="Lo_sel">Design!$B$35</definedName>
    <definedName name="Lotol_max">Design!$D$10</definedName>
    <definedName name="Lotol_min">Design!$B$10</definedName>
    <definedName name="LX_CAP">Snubber!$C$6</definedName>
    <definedName name="LX_Equ_Ind">Snubber!$B$11</definedName>
    <definedName name="LX_Res_Freq">Snubber!$C$3</definedName>
    <definedName name="LX_Res_Period">Snubber!$C$4</definedName>
    <definedName name="ManualCout">Design!$L$45</definedName>
    <definedName name="ManualCout_ESL">Design!$L$47</definedName>
    <definedName name="ManualCout_ESR">Design!$L$46</definedName>
    <definedName name="ManualCout_numb">Design!$L$48</definedName>
    <definedName name="maxSYNC_Fsw">Design!$B$30</definedName>
    <definedName name="Perc_StepCurrent">Constants!$B$43</definedName>
    <definedName name="_xlnm.Print_Area" localSheetId="0">Design!$A$1:$I$85</definedName>
    <definedName name="_xlnm.Print_Area" localSheetId="1">Snubber!$A$1:$I$33</definedName>
    <definedName name="QgHS">Constants!$D$27</definedName>
    <definedName name="QgLS">Constants!$D$28</definedName>
    <definedName name="RdsHS_max">Constants!$D$23</definedName>
    <definedName name="RdsHS_typ">Constants!$C$23</definedName>
    <definedName name="RdsLS_max">Constants!$D$24</definedName>
    <definedName name="RdsLS_typ">Constants!$C$24</definedName>
    <definedName name="REF_ADJ">'Remote Regulation of A8652-53'!#REF!</definedName>
    <definedName name="REF_ADJ_MAX">'Remote Regulation of A8652-53'!#REF!</definedName>
    <definedName name="REF_ADJ_MIN">'Remote Regulation of A8652-53'!#REF!</definedName>
    <definedName name="RFB_combo">Constants!$C$5</definedName>
    <definedName name="RFB1_calc">Design!$B$17</definedName>
    <definedName name="RFB1_Sel">Design!$B$18</definedName>
    <definedName name="RFB1tol_max">Design!$D$8</definedName>
    <definedName name="RFB2_calc">Design!$B$19</definedName>
    <definedName name="RFB2_Sel">Design!$B$20</definedName>
    <definedName name="RFB2tol_max">Design!$D$9</definedName>
    <definedName name="RFSET">Design!$B$27</definedName>
    <definedName name="RGADJ_Equ">'Remote Regulation of A8652-53'!$B$25</definedName>
    <definedName name="RIADJ_Equ">'Remote Regulation of A8652-53'!$B$21</definedName>
    <definedName name="RippleIout_percent">Design!$C$7</definedName>
    <definedName name="RLoad_typ">Design!$B$61</definedName>
    <definedName name="RMS_diode">Design!$B$49</definedName>
    <definedName name="Rsen">'Remote Regulation of A8652-53'!$B$17</definedName>
    <definedName name="Rsenx">'Remote Regulation of A8652-53'!#REF!</definedName>
    <definedName name="RSnub">Snubber!$B$13</definedName>
    <definedName name="RSnub_Power">Snubber!$B$16</definedName>
    <definedName name="Rth_typ">Design!$C$12</definedName>
    <definedName name="Rwire">'Remote Regulation of A8652-53'!$B$14</definedName>
    <definedName name="Rwirex">'Remote Regulation of A8652-53'!#REF!</definedName>
    <definedName name="Rz">Design!$B$64</definedName>
    <definedName name="Rz_sel">Design!$B$65</definedName>
    <definedName name="SE1_max">Constants!$D$15</definedName>
    <definedName name="SE1_min">Constants!$B$15</definedName>
    <definedName name="SE1_typ">Constants!$C$15</definedName>
    <definedName name="SE2_max">Constants!$D$16</definedName>
    <definedName name="SE2_min">Constants!$B$16</definedName>
    <definedName name="SE2_typ">Constants!$C$16</definedName>
    <definedName name="Snub_Damp_Freq">Snubber!$C$7</definedName>
    <definedName name="Snub_Res">Snubber!$B$12</definedName>
    <definedName name="SR_fall">Constants!$C$30</definedName>
    <definedName name="SR_rise">Constants!$C$29</definedName>
    <definedName name="SS_release">Constants!$C$32</definedName>
    <definedName name="SS_source">Constants!$C$31</definedName>
    <definedName name="SS_target">Design!$C$11</definedName>
    <definedName name="SysDuty_max">Design!$D$23</definedName>
    <definedName name="SysDuty_min">Design!$B$23</definedName>
    <definedName name="SysDuty_typ">Design!$C$23</definedName>
    <definedName name="t_SS_typ">Design!$B$57</definedName>
    <definedName name="Tamb_max">Design!$D$13</definedName>
    <definedName name="TCR_DCRLo">Constants!$C$37</definedName>
    <definedName name="TCR_Rds">Constants!$C$25</definedName>
    <definedName name="tnonOverlap">Constants!$C$21</definedName>
    <definedName name="toffmin_max">Constants!$D$20</definedName>
    <definedName name="toffmin_typ">Constants!$C$20</definedName>
    <definedName name="tonmin_max">Constants!$D$19</definedName>
    <definedName name="tonmin_typ">Constants!$C$19</definedName>
    <definedName name="Trans_Co_ESL">Constants!$B$49</definedName>
    <definedName name="Trans_Co_ESR">Constants!$B$48</definedName>
    <definedName name="Trans_Co_tol">Constants!$B$47</definedName>
    <definedName name="Trans_Fsw">Constants!$B$45</definedName>
    <definedName name="Trans_maxCurrent">Constants!$B$41</definedName>
    <definedName name="Trans_perc">Design!$B$43</definedName>
    <definedName name="Trans_stepCurrent">Constants!$B$42</definedName>
    <definedName name="Trans_Vo">Constants!$B$40</definedName>
    <definedName name="Trans_Vopp">Constants!$B$46</definedName>
    <definedName name="Transnumb_Cap">Constants!$B$44</definedName>
    <definedName name="UVLO_hys">Constants!$C$8</definedName>
    <definedName name="UVLO_max">Constants!$D$7</definedName>
    <definedName name="UVLO_mult">Constants!$C$9</definedName>
    <definedName name="UVLO_typ">Constants!$C$7</definedName>
    <definedName name="UVLOhys_min">Constants!$B$8</definedName>
    <definedName name="VFB_max">Constants!$D$3</definedName>
    <definedName name="VFB_min">Constants!$B$3</definedName>
    <definedName name="VFB_typ">Constants!$C$3</definedName>
    <definedName name="VFBtol_max">Constants!$D$4</definedName>
    <definedName name="VFBtol_min">Constants!$B$4</definedName>
    <definedName name="Vin_max">Design!$D$4</definedName>
    <definedName name="Vin_min">Design!$B$4</definedName>
    <definedName name="Vin_typ">Design!$C$4</definedName>
    <definedName name="Vload_max">'Remote Regulation of A8652-53'!$D$5</definedName>
    <definedName name="Vload_min">'Remote Regulation of A8652-53'!$B$5</definedName>
    <definedName name="Vload_typ">'Remote Regulation of A8652-53'!$C$5</definedName>
    <definedName name="Vout">Design!$C$5</definedName>
    <definedName name="Vout_max">Design!$D$22</definedName>
    <definedName name="Vout_min">Design!$B$22</definedName>
    <definedName name="Vout_rpp">Design!$B$47</definedName>
    <definedName name="Vout_target_max">Design!$D$5</definedName>
    <definedName name="Vout_target_min">Design!$B$5</definedName>
    <definedName name="Vout_typ">Design!$C$22</definedName>
    <definedName name="VSD_LS">Constants!$C$26</definedName>
  </definedNames>
  <calcPr calcId="125725" iterate="1"/>
</workbook>
</file>

<file path=xl/calcChain.xml><?xml version="1.0" encoding="utf-8"?>
<calcChain xmlns="http://schemas.openxmlformats.org/spreadsheetml/2006/main">
  <c r="B20" i="13"/>
  <c r="C5"/>
  <c r="B22" l="1"/>
  <c r="C4" i="8" l="1"/>
  <c r="B57" i="1" l="1"/>
  <c r="B21" i="12" l="1"/>
  <c r="B15" s="1"/>
  <c r="V21"/>
  <c r="AP21"/>
  <c r="AP15" s="1"/>
  <c r="AP11"/>
  <c r="AP5" s="1"/>
  <c r="V11"/>
  <c r="B11"/>
  <c r="D22" i="1"/>
  <c r="V16" i="12" l="1"/>
  <c r="V17" s="1"/>
  <c r="V18" s="1"/>
  <c r="V19" s="1"/>
  <c r="V20" s="1"/>
  <c r="V15"/>
  <c r="AP16"/>
  <c r="B16"/>
  <c r="B17" s="1"/>
  <c r="B18" s="1"/>
  <c r="B19" s="1"/>
  <c r="B20" s="1"/>
  <c r="AP17"/>
  <c r="AP18" s="1"/>
  <c r="AP19" s="1"/>
  <c r="AP20" s="1"/>
  <c r="AP6"/>
  <c r="AP7" s="1"/>
  <c r="AP8" s="1"/>
  <c r="AP9" s="1"/>
  <c r="AP10" s="1"/>
  <c r="V5"/>
  <c r="V6" s="1"/>
  <c r="V7" s="1"/>
  <c r="V8" s="1"/>
  <c r="V9" s="1"/>
  <c r="V10" s="1"/>
  <c r="D5" i="13"/>
  <c r="D5" i="1" s="1"/>
  <c r="B46"/>
  <c r="B63" s="1"/>
  <c r="B44"/>
  <c r="D24" i="2"/>
  <c r="D23"/>
  <c r="D16"/>
  <c r="B16"/>
  <c r="D14"/>
  <c r="B14"/>
  <c r="B27" i="1"/>
  <c r="B5" i="13" l="1"/>
  <c r="B17" i="1"/>
  <c r="D62" i="2"/>
  <c r="B62"/>
  <c r="C62"/>
  <c r="B43"/>
  <c r="B16" i="8" l="1"/>
  <c r="B14"/>
  <c r="B11"/>
  <c r="B12" s="1"/>
  <c r="AI64" i="7"/>
  <c r="AP64" s="1"/>
  <c r="AI65"/>
  <c r="AP65" s="1"/>
  <c r="AI66"/>
  <c r="AP66" s="1"/>
  <c r="AI67"/>
  <c r="AP67" s="1"/>
  <c r="AI68"/>
  <c r="AP68" s="1"/>
  <c r="AI69"/>
  <c r="AP69" s="1"/>
  <c r="AI70"/>
  <c r="AP70" s="1"/>
  <c r="AI71"/>
  <c r="AP71" s="1"/>
  <c r="AI72"/>
  <c r="AP72" s="1"/>
  <c r="AI73"/>
  <c r="AP73" s="1"/>
  <c r="AI74"/>
  <c r="AP74" s="1"/>
  <c r="AI75"/>
  <c r="AP75" s="1"/>
  <c r="AI76"/>
  <c r="AP76" s="1"/>
  <c r="AI77"/>
  <c r="AP77" s="1"/>
  <c r="AI78"/>
  <c r="AP78" s="1"/>
  <c r="AI79"/>
  <c r="AP79" s="1"/>
  <c r="AI80"/>
  <c r="AP80" s="1"/>
  <c r="AI81"/>
  <c r="AP81" s="1"/>
  <c r="AI82"/>
  <c r="AP82" s="1"/>
  <c r="AI83"/>
  <c r="AP83" s="1"/>
  <c r="AI84"/>
  <c r="AP84" s="1"/>
  <c r="AI85"/>
  <c r="AP85" s="1"/>
  <c r="AI86"/>
  <c r="AP86" s="1"/>
  <c r="AI87"/>
  <c r="AP87" s="1"/>
  <c r="AI88"/>
  <c r="AP88" s="1"/>
  <c r="AI89"/>
  <c r="AP89" s="1"/>
  <c r="AI57"/>
  <c r="AP57" s="1"/>
  <c r="AI58"/>
  <c r="AP58" s="1"/>
  <c r="AI59"/>
  <c r="AP59" s="1"/>
  <c r="AI60"/>
  <c r="AP60" s="1"/>
  <c r="AI61"/>
  <c r="AP61" s="1"/>
  <c r="AI62"/>
  <c r="AP62" s="1"/>
  <c r="AI63"/>
  <c r="AP63" s="1"/>
  <c r="AI50"/>
  <c r="AP50" s="1"/>
  <c r="AI51"/>
  <c r="AP51" s="1"/>
  <c r="AI52"/>
  <c r="AP52" s="1"/>
  <c r="AI53"/>
  <c r="AP53" s="1"/>
  <c r="AI54"/>
  <c r="AP54" s="1"/>
  <c r="AI55"/>
  <c r="AP55" s="1"/>
  <c r="AI56"/>
  <c r="AP56" s="1"/>
  <c r="AI49"/>
  <c r="AP49" s="1"/>
  <c r="S50" l="1"/>
  <c r="Z50" s="1"/>
  <c r="S51"/>
  <c r="Z51" s="1"/>
  <c r="S52"/>
  <c r="Z52" s="1"/>
  <c r="S53"/>
  <c r="Z53" s="1"/>
  <c r="S54"/>
  <c r="Z54" s="1"/>
  <c r="S55"/>
  <c r="Z55" s="1"/>
  <c r="S56"/>
  <c r="Z56" s="1"/>
  <c r="S57"/>
  <c r="Z57" s="1"/>
  <c r="S58"/>
  <c r="Z58" s="1"/>
  <c r="S59"/>
  <c r="Z59" s="1"/>
  <c r="S60"/>
  <c r="Z60" s="1"/>
  <c r="S61"/>
  <c r="Z61" s="1"/>
  <c r="S62"/>
  <c r="Z62" s="1"/>
  <c r="S63"/>
  <c r="Z63" s="1"/>
  <c r="S64"/>
  <c r="Z64" s="1"/>
  <c r="S65"/>
  <c r="Z65" s="1"/>
  <c r="S66"/>
  <c r="Z66" s="1"/>
  <c r="S67"/>
  <c r="Z67" s="1"/>
  <c r="S68"/>
  <c r="Z68" s="1"/>
  <c r="S69"/>
  <c r="Z69" s="1"/>
  <c r="S70"/>
  <c r="Z70" s="1"/>
  <c r="S71"/>
  <c r="Z71" s="1"/>
  <c r="S72"/>
  <c r="Z72" s="1"/>
  <c r="S73"/>
  <c r="Z73" s="1"/>
  <c r="S74"/>
  <c r="Z74" s="1"/>
  <c r="S75"/>
  <c r="Z75" s="1"/>
  <c r="S76"/>
  <c r="Z76" s="1"/>
  <c r="S77"/>
  <c r="Z77" s="1"/>
  <c r="S78"/>
  <c r="Z78" s="1"/>
  <c r="S79"/>
  <c r="Z79" s="1"/>
  <c r="S80"/>
  <c r="Z80" s="1"/>
  <c r="S81"/>
  <c r="Z81" s="1"/>
  <c r="S82"/>
  <c r="Z82" s="1"/>
  <c r="S83"/>
  <c r="Z83" s="1"/>
  <c r="S84"/>
  <c r="Z84" s="1"/>
  <c r="S85"/>
  <c r="Z85" s="1"/>
  <c r="S86"/>
  <c r="Z86" s="1"/>
  <c r="S87"/>
  <c r="Z87" s="1"/>
  <c r="S88"/>
  <c r="Z88" s="1"/>
  <c r="S89"/>
  <c r="Z89" s="1"/>
  <c r="S49"/>
  <c r="Z49" s="1"/>
  <c r="A49"/>
  <c r="C50"/>
  <c r="C51"/>
  <c r="J51" s="1"/>
  <c r="C52"/>
  <c r="J52" s="1"/>
  <c r="C53"/>
  <c r="J53" s="1"/>
  <c r="C54"/>
  <c r="J54" s="1"/>
  <c r="C55"/>
  <c r="J55" s="1"/>
  <c r="C56"/>
  <c r="J56" s="1"/>
  <c r="C57"/>
  <c r="J57" s="1"/>
  <c r="C58"/>
  <c r="J58" s="1"/>
  <c r="C59"/>
  <c r="J59" s="1"/>
  <c r="C60"/>
  <c r="C61"/>
  <c r="J61" s="1"/>
  <c r="C62"/>
  <c r="J62" s="1"/>
  <c r="C63"/>
  <c r="J63" s="1"/>
  <c r="C64"/>
  <c r="C65"/>
  <c r="J65" s="1"/>
  <c r="C66"/>
  <c r="J66" s="1"/>
  <c r="C67"/>
  <c r="J67" s="1"/>
  <c r="C68"/>
  <c r="C69"/>
  <c r="J69" s="1"/>
  <c r="C70"/>
  <c r="J70" s="1"/>
  <c r="C71"/>
  <c r="C72"/>
  <c r="C73"/>
  <c r="J73" s="1"/>
  <c r="C74"/>
  <c r="J74" s="1"/>
  <c r="C75"/>
  <c r="J75" s="1"/>
  <c r="C76"/>
  <c r="C77"/>
  <c r="J77" s="1"/>
  <c r="C78"/>
  <c r="J78" s="1"/>
  <c r="C79"/>
  <c r="J79" s="1"/>
  <c r="C80"/>
  <c r="C81"/>
  <c r="C82"/>
  <c r="J82" s="1"/>
  <c r="C83"/>
  <c r="C84"/>
  <c r="C85"/>
  <c r="C86"/>
  <c r="J86" s="1"/>
  <c r="C87"/>
  <c r="J87" s="1"/>
  <c r="C88"/>
  <c r="C89"/>
  <c r="C49"/>
  <c r="J49" s="1"/>
  <c r="AI6"/>
  <c r="AP6" s="1"/>
  <c r="AI7"/>
  <c r="AI8"/>
  <c r="AI9"/>
  <c r="AP9" s="1"/>
  <c r="AI10"/>
  <c r="AP10" s="1"/>
  <c r="AI11"/>
  <c r="AI12"/>
  <c r="AI13"/>
  <c r="AP13" s="1"/>
  <c r="AI14"/>
  <c r="AI15"/>
  <c r="AI16"/>
  <c r="AI17"/>
  <c r="AP17" s="1"/>
  <c r="AI18"/>
  <c r="AP18" s="1"/>
  <c r="AI19"/>
  <c r="AI20"/>
  <c r="AI21"/>
  <c r="AP21" s="1"/>
  <c r="AI22"/>
  <c r="AP22" s="1"/>
  <c r="AI23"/>
  <c r="AI24"/>
  <c r="AI25"/>
  <c r="AP25" s="1"/>
  <c r="AI26"/>
  <c r="AP26" s="1"/>
  <c r="AI27"/>
  <c r="AI28"/>
  <c r="AI29"/>
  <c r="AP29" s="1"/>
  <c r="AI30"/>
  <c r="AI31"/>
  <c r="AI32"/>
  <c r="AI33"/>
  <c r="AP33" s="1"/>
  <c r="AI34"/>
  <c r="AP34" s="1"/>
  <c r="AI35"/>
  <c r="AI36"/>
  <c r="AI37"/>
  <c r="AP37" s="1"/>
  <c r="AI38"/>
  <c r="AP38" s="1"/>
  <c r="AI39"/>
  <c r="AI40"/>
  <c r="AI41"/>
  <c r="AP41" s="1"/>
  <c r="AI42"/>
  <c r="AI43"/>
  <c r="AI44"/>
  <c r="AI45"/>
  <c r="AP45" s="1"/>
  <c r="AI5"/>
  <c r="S6"/>
  <c r="Z6" s="1"/>
  <c r="S7"/>
  <c r="S8"/>
  <c r="Z8" s="1"/>
  <c r="S9"/>
  <c r="Z9" s="1"/>
  <c r="S10"/>
  <c r="Z10" s="1"/>
  <c r="S11"/>
  <c r="S12"/>
  <c r="S13"/>
  <c r="Z13" s="1"/>
  <c r="S14"/>
  <c r="Z14" s="1"/>
  <c r="S15"/>
  <c r="S16"/>
  <c r="Z16" s="1"/>
  <c r="S17"/>
  <c r="Z17" s="1"/>
  <c r="S18"/>
  <c r="Z18" s="1"/>
  <c r="S19"/>
  <c r="S20"/>
  <c r="S21"/>
  <c r="Z21" s="1"/>
  <c r="S22"/>
  <c r="Z22" s="1"/>
  <c r="S23"/>
  <c r="S24"/>
  <c r="Z24" s="1"/>
  <c r="S25"/>
  <c r="Z25" s="1"/>
  <c r="S26"/>
  <c r="Z26" s="1"/>
  <c r="S27"/>
  <c r="S28"/>
  <c r="Z28" s="1"/>
  <c r="S29"/>
  <c r="Z29" s="1"/>
  <c r="S30"/>
  <c r="Z30" s="1"/>
  <c r="S31"/>
  <c r="S32"/>
  <c r="Z32" s="1"/>
  <c r="S33"/>
  <c r="Z33" s="1"/>
  <c r="S34"/>
  <c r="Z34" s="1"/>
  <c r="S35"/>
  <c r="S36"/>
  <c r="S37"/>
  <c r="Z37" s="1"/>
  <c r="S38"/>
  <c r="Z38" s="1"/>
  <c r="S39"/>
  <c r="S40"/>
  <c r="Z40" s="1"/>
  <c r="S41"/>
  <c r="Z41" s="1"/>
  <c r="S42"/>
  <c r="Z42" s="1"/>
  <c r="S43"/>
  <c r="S44"/>
  <c r="Z44" s="1"/>
  <c r="S45"/>
  <c r="Z45" s="1"/>
  <c r="S5"/>
  <c r="C6"/>
  <c r="C7"/>
  <c r="J7" s="1"/>
  <c r="C8"/>
  <c r="J8" s="1"/>
  <c r="C9"/>
  <c r="J9" s="1"/>
  <c r="C10"/>
  <c r="J10" s="1"/>
  <c r="C11"/>
  <c r="J11" s="1"/>
  <c r="C12"/>
  <c r="J12" s="1"/>
  <c r="C13"/>
  <c r="J13" s="1"/>
  <c r="C14"/>
  <c r="J14" s="1"/>
  <c r="C15"/>
  <c r="J15" s="1"/>
  <c r="C16"/>
  <c r="J16" s="1"/>
  <c r="C17"/>
  <c r="J17" s="1"/>
  <c r="C18"/>
  <c r="J18" s="1"/>
  <c r="C19"/>
  <c r="J19" s="1"/>
  <c r="C20"/>
  <c r="J20" s="1"/>
  <c r="C21"/>
  <c r="J21" s="1"/>
  <c r="C22"/>
  <c r="J22" s="1"/>
  <c r="C23"/>
  <c r="C24"/>
  <c r="J24" s="1"/>
  <c r="C25"/>
  <c r="C26"/>
  <c r="C27"/>
  <c r="C28"/>
  <c r="J28" s="1"/>
  <c r="C29"/>
  <c r="C30"/>
  <c r="C31"/>
  <c r="C32"/>
  <c r="J32" s="1"/>
  <c r="C33"/>
  <c r="C34"/>
  <c r="C35"/>
  <c r="C36"/>
  <c r="J36" s="1"/>
  <c r="C37"/>
  <c r="C38"/>
  <c r="C39"/>
  <c r="C40"/>
  <c r="J40" s="1"/>
  <c r="C41"/>
  <c r="C42"/>
  <c r="C43"/>
  <c r="C44"/>
  <c r="J44" s="1"/>
  <c r="C45"/>
  <c r="C5"/>
  <c r="AW15" i="12"/>
  <c r="AW21"/>
  <c r="AW14"/>
  <c r="AW5"/>
  <c r="AW11"/>
  <c r="AW4"/>
  <c r="AC15"/>
  <c r="AC21"/>
  <c r="AC14"/>
  <c r="AC5"/>
  <c r="AC11"/>
  <c r="AC4"/>
  <c r="I15"/>
  <c r="I21"/>
  <c r="I14"/>
  <c r="I4"/>
  <c r="B66" i="1"/>
  <c r="A89" i="7" l="1"/>
  <c r="A85"/>
  <c r="A81"/>
  <c r="A77"/>
  <c r="A73"/>
  <c r="A69"/>
  <c r="A65"/>
  <c r="A61"/>
  <c r="A57"/>
  <c r="A53"/>
  <c r="A86"/>
  <c r="A82"/>
  <c r="A78"/>
  <c r="A74"/>
  <c r="A70"/>
  <c r="A66"/>
  <c r="A62"/>
  <c r="A58"/>
  <c r="A54"/>
  <c r="A50"/>
  <c r="A87"/>
  <c r="A83"/>
  <c r="A79"/>
  <c r="A75"/>
  <c r="A71"/>
  <c r="A67"/>
  <c r="A63"/>
  <c r="A59"/>
  <c r="A55"/>
  <c r="A51"/>
  <c r="A88"/>
  <c r="A84"/>
  <c r="A80"/>
  <c r="A76"/>
  <c r="A72"/>
  <c r="A68"/>
  <c r="A64"/>
  <c r="A60"/>
  <c r="A56"/>
  <c r="A52"/>
  <c r="Z11"/>
  <c r="Z35"/>
  <c r="AP42"/>
  <c r="Z12"/>
  <c r="Z7"/>
  <c r="Z36"/>
  <c r="Z31"/>
  <c r="Z20"/>
  <c r="AP5"/>
  <c r="AP30"/>
  <c r="AP14"/>
  <c r="J50"/>
  <c r="J83"/>
  <c r="Z19"/>
  <c r="Z43"/>
  <c r="Z27"/>
  <c r="J71"/>
  <c r="Z15"/>
  <c r="Z39"/>
  <c r="Z23"/>
  <c r="J45"/>
  <c r="J41"/>
  <c r="J37"/>
  <c r="J33"/>
  <c r="J29"/>
  <c r="J25"/>
  <c r="J6"/>
  <c r="J42"/>
  <c r="J38"/>
  <c r="J34"/>
  <c r="J30"/>
  <c r="J26"/>
  <c r="Z5"/>
  <c r="AP43"/>
  <c r="AP39"/>
  <c r="AP35"/>
  <c r="AP31"/>
  <c r="AP27"/>
  <c r="AP23"/>
  <c r="AP19"/>
  <c r="AP15"/>
  <c r="AP11"/>
  <c r="AP7"/>
  <c r="J88"/>
  <c r="J84"/>
  <c r="J80"/>
  <c r="J76"/>
  <c r="J72"/>
  <c r="J68"/>
  <c r="J64"/>
  <c r="J60"/>
  <c r="J5"/>
  <c r="J43"/>
  <c r="J39"/>
  <c r="J35"/>
  <c r="J31"/>
  <c r="J27"/>
  <c r="J23"/>
  <c r="AP44"/>
  <c r="AP40"/>
  <c r="AP36"/>
  <c r="AP32"/>
  <c r="AP28"/>
  <c r="AP24"/>
  <c r="AP20"/>
  <c r="AP16"/>
  <c r="AP12"/>
  <c r="AP8"/>
  <c r="J89"/>
  <c r="J85"/>
  <c r="J81"/>
  <c r="B59" i="1"/>
  <c r="B56"/>
  <c r="B54"/>
  <c r="B67" l="1"/>
  <c r="B64"/>
  <c r="C22"/>
  <c r="C6" i="13" l="1"/>
  <c r="B24" s="1"/>
  <c r="B49" i="1"/>
  <c r="B48"/>
  <c r="C29"/>
  <c r="B29"/>
  <c r="C28"/>
  <c r="B28"/>
  <c r="B22"/>
  <c r="B19"/>
  <c r="C12" i="2"/>
  <c r="B12"/>
  <c r="D4"/>
  <c r="B4"/>
  <c r="AC6" i="12" l="1"/>
  <c r="AW16"/>
  <c r="AQ2"/>
  <c r="W2"/>
  <c r="AC16"/>
  <c r="F4" i="1"/>
  <c r="G116" i="7"/>
  <c r="G115"/>
  <c r="AX90"/>
  <c r="C2" i="12"/>
  <c r="I16"/>
  <c r="A21"/>
  <c r="A20"/>
  <c r="A19"/>
  <c r="A18"/>
  <c r="A17"/>
  <c r="A16"/>
  <c r="A15"/>
  <c r="A14"/>
  <c r="B89" i="7"/>
  <c r="B45"/>
  <c r="AW7" i="12" l="1"/>
  <c r="AW6"/>
  <c r="M15"/>
  <c r="M19"/>
  <c r="M5"/>
  <c r="M9"/>
  <c r="J21"/>
  <c r="J17"/>
  <c r="J5"/>
  <c r="J9"/>
  <c r="F21"/>
  <c r="E18"/>
  <c r="E14"/>
  <c r="E8"/>
  <c r="J4"/>
  <c r="M17"/>
  <c r="M7"/>
  <c r="J19"/>
  <c r="J7"/>
  <c r="F15"/>
  <c r="E16"/>
  <c r="E20"/>
  <c r="E6"/>
  <c r="F4"/>
  <c r="M20"/>
  <c r="M6"/>
  <c r="J20"/>
  <c r="J6"/>
  <c r="E15"/>
  <c r="E5"/>
  <c r="M18"/>
  <c r="M14"/>
  <c r="M8"/>
  <c r="M4"/>
  <c r="J18"/>
  <c r="J14"/>
  <c r="J8"/>
  <c r="F16"/>
  <c r="E17"/>
  <c r="E21"/>
  <c r="E7"/>
  <c r="E11"/>
  <c r="E4"/>
  <c r="M21"/>
  <c r="M11"/>
  <c r="J15"/>
  <c r="J11"/>
  <c r="E10"/>
  <c r="M16"/>
  <c r="M10"/>
  <c r="J16"/>
  <c r="J10"/>
  <c r="F14"/>
  <c r="E19"/>
  <c r="E9"/>
  <c r="BA15"/>
  <c r="BA19"/>
  <c r="BA5"/>
  <c r="BA9"/>
  <c r="AX15"/>
  <c r="AX19"/>
  <c r="AX5"/>
  <c r="AX9"/>
  <c r="AT21"/>
  <c r="AT11"/>
  <c r="AS15"/>
  <c r="AS19"/>
  <c r="AS5"/>
  <c r="AS9"/>
  <c r="BA17"/>
  <c r="BA7"/>
  <c r="BA11"/>
  <c r="AX21"/>
  <c r="AX11"/>
  <c r="AT15"/>
  <c r="AT5"/>
  <c r="AS7"/>
  <c r="BA6"/>
  <c r="AX16"/>
  <c r="AX6"/>
  <c r="AS20"/>
  <c r="AS10"/>
  <c r="BA18"/>
  <c r="BA14"/>
  <c r="BA8"/>
  <c r="BA4"/>
  <c r="AX18"/>
  <c r="AX14"/>
  <c r="AX8"/>
  <c r="AX4"/>
  <c r="AT14"/>
  <c r="AT4"/>
  <c r="AS18"/>
  <c r="AS14"/>
  <c r="AS8"/>
  <c r="AS4"/>
  <c r="BA21"/>
  <c r="AX17"/>
  <c r="AX7"/>
  <c r="AS17"/>
  <c r="AS21"/>
  <c r="AS11"/>
  <c r="BA16"/>
  <c r="BA20"/>
  <c r="BA10"/>
  <c r="AX20"/>
  <c r="AX10"/>
  <c r="AT16"/>
  <c r="AT6"/>
  <c r="AS16"/>
  <c r="AS6"/>
  <c r="AG15"/>
  <c r="AG19"/>
  <c r="AG5"/>
  <c r="AG9"/>
  <c r="AD15"/>
  <c r="AD19"/>
  <c r="AD5"/>
  <c r="AD9"/>
  <c r="Z15"/>
  <c r="Z5"/>
  <c r="Y15"/>
  <c r="Y19"/>
  <c r="Y5"/>
  <c r="Y9"/>
  <c r="AG17"/>
  <c r="AG7"/>
  <c r="AD17"/>
  <c r="AD7"/>
  <c r="Z21"/>
  <c r="Z11"/>
  <c r="Y17"/>
  <c r="Y7"/>
  <c r="AG20"/>
  <c r="AG10"/>
  <c r="AD20"/>
  <c r="AD10"/>
  <c r="Z16"/>
  <c r="Y20"/>
  <c r="Y10"/>
  <c r="AG18"/>
  <c r="AG14"/>
  <c r="AG8"/>
  <c r="AG4"/>
  <c r="AD18"/>
  <c r="AD14"/>
  <c r="AD8"/>
  <c r="AD4"/>
  <c r="Z14"/>
  <c r="Z4"/>
  <c r="Y18"/>
  <c r="Y14"/>
  <c r="Y8"/>
  <c r="Y4"/>
  <c r="AG21"/>
  <c r="AG11"/>
  <c r="AD21"/>
  <c r="AD11"/>
  <c r="Y21"/>
  <c r="Y11"/>
  <c r="AG16"/>
  <c r="AG6"/>
  <c r="AD16"/>
  <c r="AD6"/>
  <c r="Z6"/>
  <c r="Y16"/>
  <c r="Y6"/>
  <c r="AM89" i="7"/>
  <c r="V89"/>
  <c r="AL89"/>
  <c r="W89"/>
  <c r="AQ89"/>
  <c r="AA89"/>
  <c r="K89"/>
  <c r="F89"/>
  <c r="G89"/>
  <c r="V45"/>
  <c r="K45"/>
  <c r="AL45"/>
  <c r="AQ45"/>
  <c r="AA45"/>
  <c r="F45"/>
  <c r="G45"/>
  <c r="W45"/>
  <c r="AM45"/>
  <c r="AC17" i="12"/>
  <c r="AC7"/>
  <c r="B88" i="7"/>
  <c r="I17" i="12"/>
  <c r="B44" i="7"/>
  <c r="AW17" i="12" l="1"/>
  <c r="AT17"/>
  <c r="Z17"/>
  <c r="F17"/>
  <c r="AT7"/>
  <c r="Z7"/>
  <c r="AL44" i="7"/>
  <c r="F44"/>
  <c r="V44"/>
  <c r="K44"/>
  <c r="AQ44"/>
  <c r="AA44"/>
  <c r="G44"/>
  <c r="AM44"/>
  <c r="W44"/>
  <c r="V88"/>
  <c r="AL88"/>
  <c r="AM88"/>
  <c r="AQ88"/>
  <c r="AA88"/>
  <c r="W88"/>
  <c r="K88"/>
  <c r="F88"/>
  <c r="G88"/>
  <c r="B87"/>
  <c r="B43"/>
  <c r="AW18" i="12" l="1"/>
  <c r="AT18"/>
  <c r="AC18"/>
  <c r="Z18"/>
  <c r="I18"/>
  <c r="F18"/>
  <c r="AW8"/>
  <c r="AT8"/>
  <c r="AC8"/>
  <c r="Z8"/>
  <c r="AQ43" i="7"/>
  <c r="AA43"/>
  <c r="AL43"/>
  <c r="F43"/>
  <c r="V43"/>
  <c r="K43"/>
  <c r="G43"/>
  <c r="W43"/>
  <c r="AM43"/>
  <c r="AA87"/>
  <c r="W87"/>
  <c r="AQ87"/>
  <c r="AM87"/>
  <c r="AL87"/>
  <c r="V87"/>
  <c r="G87"/>
  <c r="K87"/>
  <c r="F87"/>
  <c r="B86"/>
  <c r="B42"/>
  <c r="D12" i="2"/>
  <c r="AW19" i="12" l="1"/>
  <c r="AT19"/>
  <c r="AC19"/>
  <c r="Z19"/>
  <c r="I19"/>
  <c r="F19"/>
  <c r="AW10"/>
  <c r="AT10"/>
  <c r="AW9"/>
  <c r="AT9"/>
  <c r="AC9"/>
  <c r="Z9"/>
  <c r="AL42" i="7"/>
  <c r="AQ42"/>
  <c r="AA42"/>
  <c r="F42"/>
  <c r="V42"/>
  <c r="K42"/>
  <c r="G42"/>
  <c r="AM42"/>
  <c r="W42"/>
  <c r="AQ86"/>
  <c r="AL86"/>
  <c r="V86"/>
  <c r="W86"/>
  <c r="AA86"/>
  <c r="AM86"/>
  <c r="K86"/>
  <c r="F86"/>
  <c r="G86"/>
  <c r="B85"/>
  <c r="B41"/>
  <c r="AW20" i="12" l="1"/>
  <c r="AT20"/>
  <c r="AC20"/>
  <c r="Z20"/>
  <c r="I20"/>
  <c r="F20"/>
  <c r="AC10"/>
  <c r="Z10"/>
  <c r="V41" i="7"/>
  <c r="K41"/>
  <c r="AQ41"/>
  <c r="AA41"/>
  <c r="W41"/>
  <c r="F41"/>
  <c r="AL41"/>
  <c r="AM41"/>
  <c r="G41"/>
  <c r="AM85"/>
  <c r="V85"/>
  <c r="AA85"/>
  <c r="AQ85"/>
  <c r="AL85"/>
  <c r="W85"/>
  <c r="K85"/>
  <c r="F85"/>
  <c r="G85"/>
  <c r="B84"/>
  <c r="B40"/>
  <c r="AM84" l="1"/>
  <c r="AL84"/>
  <c r="AA84"/>
  <c r="W84"/>
  <c r="AQ84"/>
  <c r="V84"/>
  <c r="K84"/>
  <c r="F84"/>
  <c r="G84"/>
  <c r="AL40"/>
  <c r="F40"/>
  <c r="AQ40"/>
  <c r="V40"/>
  <c r="K40"/>
  <c r="AA40"/>
  <c r="AM40"/>
  <c r="G40"/>
  <c r="W40"/>
  <c r="B83"/>
  <c r="B39"/>
  <c r="AQ39" l="1"/>
  <c r="AA39"/>
  <c r="V39"/>
  <c r="K39"/>
  <c r="AL39"/>
  <c r="F39"/>
  <c r="G39"/>
  <c r="W39"/>
  <c r="AM39"/>
  <c r="AA83"/>
  <c r="W83"/>
  <c r="AL83"/>
  <c r="V83"/>
  <c r="AM83"/>
  <c r="AQ83"/>
  <c r="K83"/>
  <c r="F83"/>
  <c r="G83"/>
  <c r="B82"/>
  <c r="B38"/>
  <c r="AQ82" l="1"/>
  <c r="AL82"/>
  <c r="V82"/>
  <c r="W82"/>
  <c r="AA82"/>
  <c r="AM82"/>
  <c r="K82"/>
  <c r="F82"/>
  <c r="G82"/>
  <c r="F38"/>
  <c r="K38"/>
  <c r="AQ38"/>
  <c r="AA38"/>
  <c r="AL38"/>
  <c r="V38"/>
  <c r="G38"/>
  <c r="W38"/>
  <c r="AM38"/>
  <c r="B81"/>
  <c r="B37"/>
  <c r="W81" l="1"/>
  <c r="AQ81"/>
  <c r="AL81"/>
  <c r="V81"/>
  <c r="AA81"/>
  <c r="AM81"/>
  <c r="K81"/>
  <c r="F81"/>
  <c r="G81"/>
  <c r="W37"/>
  <c r="V37"/>
  <c r="K37"/>
  <c r="AL37"/>
  <c r="AQ37"/>
  <c r="AA37"/>
  <c r="F37"/>
  <c r="G37"/>
  <c r="AM37"/>
  <c r="B80"/>
  <c r="B36"/>
  <c r="AM80" l="1"/>
  <c r="V80"/>
  <c r="W80"/>
  <c r="AQ80"/>
  <c r="AL80"/>
  <c r="AA80"/>
  <c r="K80"/>
  <c r="F80"/>
  <c r="G80"/>
  <c r="AL36"/>
  <c r="F36"/>
  <c r="AA36"/>
  <c r="V36"/>
  <c r="K36"/>
  <c r="G36"/>
  <c r="AQ36"/>
  <c r="W36"/>
  <c r="AM36"/>
  <c r="B79"/>
  <c r="B35"/>
  <c r="AA79" l="1"/>
  <c r="AQ79"/>
  <c r="AM79"/>
  <c r="V79"/>
  <c r="AL79"/>
  <c r="W79"/>
  <c r="K79"/>
  <c r="G79"/>
  <c r="F79"/>
  <c r="AQ35"/>
  <c r="AA35"/>
  <c r="AL35"/>
  <c r="F35"/>
  <c r="V35"/>
  <c r="K35"/>
  <c r="G35"/>
  <c r="AM35"/>
  <c r="W35"/>
  <c r="B78"/>
  <c r="B34"/>
  <c r="AL78" l="1"/>
  <c r="W78"/>
  <c r="AM78"/>
  <c r="AQ78"/>
  <c r="V78"/>
  <c r="AA78"/>
  <c r="K78"/>
  <c r="F78"/>
  <c r="G78"/>
  <c r="AL34"/>
  <c r="AQ34"/>
  <c r="AA34"/>
  <c r="F34"/>
  <c r="V34"/>
  <c r="K34"/>
  <c r="AM34"/>
  <c r="G34"/>
  <c r="W34"/>
  <c r="B77"/>
  <c r="B33"/>
  <c r="AQ77" l="1"/>
  <c r="V77"/>
  <c r="W77"/>
  <c r="AA77"/>
  <c r="AM77"/>
  <c r="AL77"/>
  <c r="K77"/>
  <c r="F77"/>
  <c r="G77"/>
  <c r="V33"/>
  <c r="K33"/>
  <c r="AQ33"/>
  <c r="AA33"/>
  <c r="F33"/>
  <c r="W33"/>
  <c r="AL33"/>
  <c r="AM33"/>
  <c r="G33"/>
  <c r="B76"/>
  <c r="B32"/>
  <c r="AM76" l="1"/>
  <c r="AQ76"/>
  <c r="AL76"/>
  <c r="V76"/>
  <c r="W76"/>
  <c r="AA76"/>
  <c r="K76"/>
  <c r="F76"/>
  <c r="G76"/>
  <c r="F32"/>
  <c r="AQ32"/>
  <c r="AL32"/>
  <c r="V32"/>
  <c r="K32"/>
  <c r="G32"/>
  <c r="AA32"/>
  <c r="AM32"/>
  <c r="W32"/>
  <c r="B75"/>
  <c r="B31"/>
  <c r="AA75" l="1"/>
  <c r="V75"/>
  <c r="W75"/>
  <c r="AM75"/>
  <c r="AQ75"/>
  <c r="AL75"/>
  <c r="K75"/>
  <c r="F75"/>
  <c r="G75"/>
  <c r="AQ31"/>
  <c r="AA31"/>
  <c r="V31"/>
  <c r="K31"/>
  <c r="F31"/>
  <c r="AL31"/>
  <c r="AM31"/>
  <c r="W31"/>
  <c r="G31"/>
  <c r="B74"/>
  <c r="B30"/>
  <c r="W74" l="1"/>
  <c r="AL74"/>
  <c r="AA74"/>
  <c r="AM74"/>
  <c r="AQ74"/>
  <c r="V74"/>
  <c r="K74"/>
  <c r="F74"/>
  <c r="G74"/>
  <c r="AQ30"/>
  <c r="F30"/>
  <c r="AL30"/>
  <c r="K30"/>
  <c r="AA30"/>
  <c r="V30"/>
  <c r="W30"/>
  <c r="G30"/>
  <c r="AM30"/>
  <c r="B73"/>
  <c r="B29"/>
  <c r="AQ73" l="1"/>
  <c r="AL73"/>
  <c r="V73"/>
  <c r="W73"/>
  <c r="AA73"/>
  <c r="AM73"/>
  <c r="K73"/>
  <c r="F73"/>
  <c r="G73"/>
  <c r="AL29"/>
  <c r="V29"/>
  <c r="K29"/>
  <c r="AA29"/>
  <c r="AQ29"/>
  <c r="F29"/>
  <c r="W29"/>
  <c r="AM29"/>
  <c r="G29"/>
  <c r="B72"/>
  <c r="B28"/>
  <c r="V72" l="1"/>
  <c r="W72"/>
  <c r="AA72"/>
  <c r="AQ72"/>
  <c r="AL72"/>
  <c r="AM72"/>
  <c r="F72"/>
  <c r="K72"/>
  <c r="G72"/>
  <c r="AQ28"/>
  <c r="F28"/>
  <c r="AL28"/>
  <c r="V28"/>
  <c r="K28"/>
  <c r="AA28"/>
  <c r="W28"/>
  <c r="G28"/>
  <c r="AM28"/>
  <c r="B71"/>
  <c r="B27"/>
  <c r="AM71" l="1"/>
  <c r="AA71"/>
  <c r="AQ71"/>
  <c r="AL71"/>
  <c r="V71"/>
  <c r="W71"/>
  <c r="K71"/>
  <c r="F71"/>
  <c r="G71"/>
  <c r="AA27"/>
  <c r="V27"/>
  <c r="AL27"/>
  <c r="K27"/>
  <c r="F27"/>
  <c r="AQ27"/>
  <c r="G27"/>
  <c r="AM27"/>
  <c r="W27"/>
  <c r="B70"/>
  <c r="B26"/>
  <c r="W70" l="1"/>
  <c r="AQ70"/>
  <c r="V70"/>
  <c r="AM70"/>
  <c r="AA70"/>
  <c r="AL70"/>
  <c r="K70"/>
  <c r="F70"/>
  <c r="G70"/>
  <c r="F26"/>
  <c r="AA26"/>
  <c r="V26"/>
  <c r="AQ26"/>
  <c r="AL26"/>
  <c r="K26"/>
  <c r="G26"/>
  <c r="AM26"/>
  <c r="W26"/>
  <c r="B69"/>
  <c r="B25"/>
  <c r="AQ69" l="1"/>
  <c r="AL69"/>
  <c r="V69"/>
  <c r="W69"/>
  <c r="AM69"/>
  <c r="AA69"/>
  <c r="K69"/>
  <c r="F69"/>
  <c r="G69"/>
  <c r="AL25"/>
  <c r="AA25"/>
  <c r="K25"/>
  <c r="V25"/>
  <c r="AQ25"/>
  <c r="F25"/>
  <c r="W25"/>
  <c r="G25"/>
  <c r="AM25"/>
  <c r="B68"/>
  <c r="B24"/>
  <c r="V68" l="1"/>
  <c r="AM68"/>
  <c r="AQ68"/>
  <c r="AL68"/>
  <c r="W68"/>
  <c r="AA68"/>
  <c r="F68"/>
  <c r="K68"/>
  <c r="G68"/>
  <c r="AQ24"/>
  <c r="F24"/>
  <c r="AL24"/>
  <c r="AA24"/>
  <c r="K24"/>
  <c r="V24"/>
  <c r="W24"/>
  <c r="G24"/>
  <c r="AM24"/>
  <c r="B67"/>
  <c r="B23"/>
  <c r="AM67" l="1"/>
  <c r="AA67"/>
  <c r="V67"/>
  <c r="W67"/>
  <c r="AQ67"/>
  <c r="AL67"/>
  <c r="G67"/>
  <c r="F67"/>
  <c r="K67"/>
  <c r="V23"/>
  <c r="AA23"/>
  <c r="AQ23"/>
  <c r="AL23"/>
  <c r="K23"/>
  <c r="F23"/>
  <c r="W23"/>
  <c r="AM23"/>
  <c r="G23"/>
  <c r="B66"/>
  <c r="B22"/>
  <c r="W66" l="1"/>
  <c r="AM66"/>
  <c r="AA66"/>
  <c r="AQ66"/>
  <c r="AL66"/>
  <c r="V66"/>
  <c r="G66"/>
  <c r="F66"/>
  <c r="K66"/>
  <c r="F22"/>
  <c r="AQ22"/>
  <c r="K22"/>
  <c r="AL22"/>
  <c r="V22"/>
  <c r="AA22"/>
  <c r="W22"/>
  <c r="AM22"/>
  <c r="G22"/>
  <c r="B65"/>
  <c r="B21"/>
  <c r="AQ65" l="1"/>
  <c r="AL65"/>
  <c r="V65"/>
  <c r="AA65"/>
  <c r="W65"/>
  <c r="AM65"/>
  <c r="K65"/>
  <c r="F65"/>
  <c r="G65"/>
  <c r="AA21"/>
  <c r="K21"/>
  <c r="AQ21"/>
  <c r="F21"/>
  <c r="AL21"/>
  <c r="V21"/>
  <c r="G21"/>
  <c r="W21"/>
  <c r="AM21"/>
  <c r="B64"/>
  <c r="B20"/>
  <c r="AQ64" l="1"/>
  <c r="AA64"/>
  <c r="W64"/>
  <c r="AL64"/>
  <c r="V64"/>
  <c r="AM64"/>
  <c r="F64"/>
  <c r="K64"/>
  <c r="G64"/>
  <c r="AQ20"/>
  <c r="AL20"/>
  <c r="AA20"/>
  <c r="K20"/>
  <c r="F20"/>
  <c r="V20"/>
  <c r="W20"/>
  <c r="G20"/>
  <c r="AM20"/>
  <c r="B63"/>
  <c r="B19"/>
  <c r="AQ63" l="1"/>
  <c r="AM63"/>
  <c r="AA63"/>
  <c r="W63"/>
  <c r="AL63"/>
  <c r="V63"/>
  <c r="F63"/>
  <c r="K63"/>
  <c r="G63"/>
  <c r="AL19"/>
  <c r="V19"/>
  <c r="K19"/>
  <c r="F19"/>
  <c r="AQ19"/>
  <c r="AA19"/>
  <c r="G19"/>
  <c r="AM19"/>
  <c r="W19"/>
  <c r="B62"/>
  <c r="B18"/>
  <c r="W62" l="1"/>
  <c r="AL62"/>
  <c r="V62"/>
  <c r="AQ62"/>
  <c r="AM62"/>
  <c r="AA62"/>
  <c r="K62"/>
  <c r="G62"/>
  <c r="F62"/>
  <c r="F18"/>
  <c r="AQ18"/>
  <c r="AL18"/>
  <c r="V18"/>
  <c r="AA18"/>
  <c r="K18"/>
  <c r="G18"/>
  <c r="AM18"/>
  <c r="W18"/>
  <c r="B61"/>
  <c r="B17"/>
  <c r="AL61" l="1"/>
  <c r="V61"/>
  <c r="AM61"/>
  <c r="W61"/>
  <c r="AQ61"/>
  <c r="AA61"/>
  <c r="K61"/>
  <c r="F61"/>
  <c r="G61"/>
  <c r="AA17"/>
  <c r="K17"/>
  <c r="AL17"/>
  <c r="V17"/>
  <c r="F17"/>
  <c r="AQ17"/>
  <c r="AM17"/>
  <c r="W17"/>
  <c r="G17"/>
  <c r="B60"/>
  <c r="B16"/>
  <c r="V60" l="1"/>
  <c r="AM60"/>
  <c r="AA60"/>
  <c r="AL60"/>
  <c r="AQ60"/>
  <c r="W60"/>
  <c r="F60"/>
  <c r="K60"/>
  <c r="G60"/>
  <c r="F16"/>
  <c r="AQ16"/>
  <c r="AA16"/>
  <c r="K16"/>
  <c r="AL16"/>
  <c r="V16"/>
  <c r="AM16"/>
  <c r="W16"/>
  <c r="G16"/>
  <c r="B59"/>
  <c r="B15"/>
  <c r="AQ59" l="1"/>
  <c r="AA59"/>
  <c r="W59"/>
  <c r="V59"/>
  <c r="AM59"/>
  <c r="AL59"/>
  <c r="F59"/>
  <c r="K59"/>
  <c r="G59"/>
  <c r="AQ15"/>
  <c r="AL15"/>
  <c r="AA15"/>
  <c r="K15"/>
  <c r="V15"/>
  <c r="F15"/>
  <c r="AM15"/>
  <c r="G15"/>
  <c r="W15"/>
  <c r="B58"/>
  <c r="B14"/>
  <c r="AL58" l="1"/>
  <c r="W58"/>
  <c r="AQ58"/>
  <c r="AA58"/>
  <c r="AM58"/>
  <c r="V58"/>
  <c r="K58"/>
  <c r="F58"/>
  <c r="G58"/>
  <c r="AA14"/>
  <c r="K14"/>
  <c r="AQ14"/>
  <c r="AL14"/>
  <c r="V14"/>
  <c r="F14"/>
  <c r="G14"/>
  <c r="AM14"/>
  <c r="W14"/>
  <c r="B57"/>
  <c r="B13"/>
  <c r="V57" l="1"/>
  <c r="AQ57"/>
  <c r="AA57"/>
  <c r="AL57"/>
  <c r="W57"/>
  <c r="AM57"/>
  <c r="K57"/>
  <c r="F57"/>
  <c r="G57"/>
  <c r="AA13"/>
  <c r="V13"/>
  <c r="K13"/>
  <c r="F13"/>
  <c r="AQ13"/>
  <c r="AL13"/>
  <c r="AM13"/>
  <c r="W13"/>
  <c r="G13"/>
  <c r="B56"/>
  <c r="B12"/>
  <c r="AM56" l="1"/>
  <c r="V56"/>
  <c r="AQ56"/>
  <c r="W56"/>
  <c r="AL56"/>
  <c r="AA56"/>
  <c r="F56"/>
  <c r="K56"/>
  <c r="G56"/>
  <c r="AL12"/>
  <c r="AA12"/>
  <c r="V12"/>
  <c r="K12"/>
  <c r="F12"/>
  <c r="AQ12"/>
  <c r="W12"/>
  <c r="AM12"/>
  <c r="G12"/>
  <c r="B55"/>
  <c r="B11"/>
  <c r="AQ55" l="1"/>
  <c r="AA55"/>
  <c r="W55"/>
  <c r="AL55"/>
  <c r="AM55"/>
  <c r="V55"/>
  <c r="K55"/>
  <c r="F55"/>
  <c r="G55"/>
  <c r="AQ11"/>
  <c r="AL11"/>
  <c r="V11"/>
  <c r="K11"/>
  <c r="F11"/>
  <c r="AA11"/>
  <c r="G11"/>
  <c r="W11"/>
  <c r="AM11"/>
  <c r="B54"/>
  <c r="B10"/>
  <c r="AL54" l="1"/>
  <c r="V54"/>
  <c r="AM54"/>
  <c r="AQ54"/>
  <c r="AA54"/>
  <c r="W54"/>
  <c r="K54"/>
  <c r="F54"/>
  <c r="G54"/>
  <c r="AA10"/>
  <c r="F10"/>
  <c r="AQ10"/>
  <c r="AL10"/>
  <c r="V10"/>
  <c r="K10"/>
  <c r="G10"/>
  <c r="W10"/>
  <c r="AM10"/>
  <c r="B53"/>
  <c r="B9"/>
  <c r="W53" l="1"/>
  <c r="AM53"/>
  <c r="AL53"/>
  <c r="V53"/>
  <c r="AQ53"/>
  <c r="AA53"/>
  <c r="K53"/>
  <c r="F53"/>
  <c r="G53"/>
  <c r="V9"/>
  <c r="K9"/>
  <c r="F9"/>
  <c r="AL9"/>
  <c r="AA9"/>
  <c r="AQ9"/>
  <c r="W9"/>
  <c r="G9"/>
  <c r="AM9"/>
  <c r="B52"/>
  <c r="B8"/>
  <c r="AM52" l="1"/>
  <c r="W52"/>
  <c r="AL52"/>
  <c r="AA52"/>
  <c r="V52"/>
  <c r="AQ52"/>
  <c r="F52"/>
  <c r="K52"/>
  <c r="G52"/>
  <c r="AA8"/>
  <c r="AQ8"/>
  <c r="V8"/>
  <c r="K8"/>
  <c r="F8"/>
  <c r="AL8"/>
  <c r="G8"/>
  <c r="W8"/>
  <c r="AM8"/>
  <c r="B51"/>
  <c r="B7"/>
  <c r="AQ51" l="1"/>
  <c r="AA51"/>
  <c r="W51"/>
  <c r="V51"/>
  <c r="AM51"/>
  <c r="AL51"/>
  <c r="F51"/>
  <c r="K51"/>
  <c r="G51"/>
  <c r="AQ7"/>
  <c r="AL7"/>
  <c r="AA7"/>
  <c r="V7"/>
  <c r="K7"/>
  <c r="F7"/>
  <c r="W7"/>
  <c r="G7"/>
  <c r="AM7"/>
  <c r="B50"/>
  <c r="B6"/>
  <c r="AL50" l="1"/>
  <c r="V50"/>
  <c r="AQ50"/>
  <c r="AA50"/>
  <c r="AM50"/>
  <c r="W50"/>
  <c r="K50"/>
  <c r="F50"/>
  <c r="G50"/>
  <c r="AL6"/>
  <c r="V6"/>
  <c r="K6"/>
  <c r="AQ6"/>
  <c r="F6"/>
  <c r="AA6"/>
  <c r="G6"/>
  <c r="W6"/>
  <c r="AM6"/>
  <c r="B49"/>
  <c r="B5"/>
  <c r="AM49" l="1"/>
  <c r="AQ49"/>
  <c r="V49"/>
  <c r="AA49"/>
  <c r="AL49"/>
  <c r="W49"/>
  <c r="K49"/>
  <c r="F49"/>
  <c r="G49"/>
  <c r="AQ5"/>
  <c r="F5"/>
  <c r="K5"/>
  <c r="AA5"/>
  <c r="V5"/>
  <c r="AL5"/>
  <c r="W5"/>
  <c r="G5"/>
  <c r="AM5"/>
  <c r="B5" i="12" l="1"/>
  <c r="I5" s="1"/>
  <c r="F11"/>
  <c r="I11"/>
  <c r="B6" l="1"/>
  <c r="F6" s="1"/>
  <c r="F5"/>
  <c r="I6" l="1"/>
  <c r="B7"/>
  <c r="B8" s="1"/>
  <c r="I7" l="1"/>
  <c r="B9"/>
  <c r="F8"/>
  <c r="I8"/>
  <c r="F7"/>
  <c r="F9" l="1"/>
  <c r="I9"/>
  <c r="B10"/>
  <c r="F10" l="1"/>
  <c r="I10"/>
  <c r="B23" i="1" l="1"/>
  <c r="C23"/>
  <c r="D23"/>
  <c r="B25"/>
  <c r="E26"/>
  <c r="B32"/>
  <c r="C32"/>
  <c r="B33"/>
  <c r="B34"/>
  <c r="B36"/>
  <c r="B37"/>
  <c r="B38"/>
  <c r="B39"/>
  <c r="B40"/>
  <c r="B41"/>
  <c r="B47"/>
  <c r="B51"/>
  <c r="B52"/>
  <c r="B61"/>
  <c r="B62"/>
  <c r="C66"/>
  <c r="D5" i="7"/>
  <c r="E5"/>
  <c r="H5"/>
  <c r="I5"/>
  <c r="L5"/>
  <c r="M5"/>
  <c r="N5"/>
  <c r="O5"/>
  <c r="P5"/>
  <c r="Q5"/>
  <c r="R5"/>
  <c r="T5"/>
  <c r="U5"/>
  <c r="X5"/>
  <c r="Y5"/>
  <c r="AB5"/>
  <c r="AC5"/>
  <c r="AD5"/>
  <c r="AE5"/>
  <c r="AF5"/>
  <c r="AG5"/>
  <c r="AH5"/>
  <c r="AJ5"/>
  <c r="AK5"/>
  <c r="AN5"/>
  <c r="AO5"/>
  <c r="AR5"/>
  <c r="AS5"/>
  <c r="AT5"/>
  <c r="AU5"/>
  <c r="AV5"/>
  <c r="AW5"/>
  <c r="AX5"/>
  <c r="D6"/>
  <c r="E6"/>
  <c r="H6"/>
  <c r="I6"/>
  <c r="L6"/>
  <c r="M6"/>
  <c r="N6"/>
  <c r="O6"/>
  <c r="P6"/>
  <c r="Q6"/>
  <c r="R6"/>
  <c r="T6"/>
  <c r="U6"/>
  <c r="X6"/>
  <c r="Y6"/>
  <c r="AB6"/>
  <c r="AC6"/>
  <c r="AD6"/>
  <c r="AE6"/>
  <c r="AF6"/>
  <c r="AG6"/>
  <c r="AH6"/>
  <c r="AJ6"/>
  <c r="AK6"/>
  <c r="AN6"/>
  <c r="AO6"/>
  <c r="AR6"/>
  <c r="AS6"/>
  <c r="AT6"/>
  <c r="AU6"/>
  <c r="AV6"/>
  <c r="AW6"/>
  <c r="AX6"/>
  <c r="D7"/>
  <c r="E7"/>
  <c r="H7"/>
  <c r="I7"/>
  <c r="L7"/>
  <c r="M7"/>
  <c r="N7"/>
  <c r="O7"/>
  <c r="P7"/>
  <c r="Q7"/>
  <c r="R7"/>
  <c r="T7"/>
  <c r="U7"/>
  <c r="X7"/>
  <c r="Y7"/>
  <c r="AB7"/>
  <c r="AC7"/>
  <c r="AD7"/>
  <c r="AE7"/>
  <c r="AF7"/>
  <c r="AG7"/>
  <c r="AH7"/>
  <c r="AJ7"/>
  <c r="AK7"/>
  <c r="AN7"/>
  <c r="AO7"/>
  <c r="AR7"/>
  <c r="AS7"/>
  <c r="AT7"/>
  <c r="AU7"/>
  <c r="AV7"/>
  <c r="AW7"/>
  <c r="AX7"/>
  <c r="D8"/>
  <c r="E8"/>
  <c r="H8"/>
  <c r="I8"/>
  <c r="L8"/>
  <c r="M8"/>
  <c r="N8"/>
  <c r="O8"/>
  <c r="P8"/>
  <c r="Q8"/>
  <c r="R8"/>
  <c r="T8"/>
  <c r="U8"/>
  <c r="X8"/>
  <c r="Y8"/>
  <c r="AB8"/>
  <c r="AC8"/>
  <c r="AD8"/>
  <c r="AE8"/>
  <c r="AF8"/>
  <c r="AG8"/>
  <c r="AH8"/>
  <c r="AJ8"/>
  <c r="AK8"/>
  <c r="AN8"/>
  <c r="AO8"/>
  <c r="AR8"/>
  <c r="AS8"/>
  <c r="AT8"/>
  <c r="AU8"/>
  <c r="AV8"/>
  <c r="AW8"/>
  <c r="AX8"/>
  <c r="D9"/>
  <c r="E9"/>
  <c r="H9"/>
  <c r="I9"/>
  <c r="L9"/>
  <c r="M9"/>
  <c r="N9"/>
  <c r="O9"/>
  <c r="P9"/>
  <c r="Q9"/>
  <c r="R9"/>
  <c r="T9"/>
  <c r="U9"/>
  <c r="X9"/>
  <c r="Y9"/>
  <c r="AB9"/>
  <c r="AC9"/>
  <c r="AD9"/>
  <c r="AE9"/>
  <c r="AF9"/>
  <c r="AG9"/>
  <c r="AH9"/>
  <c r="AJ9"/>
  <c r="AK9"/>
  <c r="AN9"/>
  <c r="AO9"/>
  <c r="AR9"/>
  <c r="AS9"/>
  <c r="AT9"/>
  <c r="AU9"/>
  <c r="AV9"/>
  <c r="AW9"/>
  <c r="AX9"/>
  <c r="D10"/>
  <c r="E10"/>
  <c r="H10"/>
  <c r="I10"/>
  <c r="L10"/>
  <c r="M10"/>
  <c r="N10"/>
  <c r="O10"/>
  <c r="P10"/>
  <c r="Q10"/>
  <c r="R10"/>
  <c r="T10"/>
  <c r="U10"/>
  <c r="X10"/>
  <c r="Y10"/>
  <c r="AB10"/>
  <c r="AC10"/>
  <c r="AD10"/>
  <c r="AE10"/>
  <c r="AF10"/>
  <c r="AG10"/>
  <c r="AH10"/>
  <c r="AJ10"/>
  <c r="AK10"/>
  <c r="AN10"/>
  <c r="AO10"/>
  <c r="AR10"/>
  <c r="AS10"/>
  <c r="AT10"/>
  <c r="AU10"/>
  <c r="AV10"/>
  <c r="AW10"/>
  <c r="AX10"/>
  <c r="D11"/>
  <c r="E11"/>
  <c r="H11"/>
  <c r="I11"/>
  <c r="L11"/>
  <c r="M11"/>
  <c r="N11"/>
  <c r="O11"/>
  <c r="P11"/>
  <c r="Q11"/>
  <c r="R11"/>
  <c r="T11"/>
  <c r="U11"/>
  <c r="X11"/>
  <c r="Y11"/>
  <c r="AB11"/>
  <c r="AC11"/>
  <c r="AD11"/>
  <c r="AE11"/>
  <c r="AF11"/>
  <c r="AG11"/>
  <c r="AH11"/>
  <c r="AJ11"/>
  <c r="AK11"/>
  <c r="AN11"/>
  <c r="AO11"/>
  <c r="AR11"/>
  <c r="AS11"/>
  <c r="AT11"/>
  <c r="AU11"/>
  <c r="AV11"/>
  <c r="AW11"/>
  <c r="AX11"/>
  <c r="D12"/>
  <c r="E12"/>
  <c r="H12"/>
  <c r="I12"/>
  <c r="L12"/>
  <c r="M12"/>
  <c r="N12"/>
  <c r="O12"/>
  <c r="P12"/>
  <c r="Q12"/>
  <c r="R12"/>
  <c r="T12"/>
  <c r="U12"/>
  <c r="X12"/>
  <c r="Y12"/>
  <c r="AB12"/>
  <c r="AC12"/>
  <c r="AD12"/>
  <c r="AE12"/>
  <c r="AF12"/>
  <c r="AG12"/>
  <c r="AH12"/>
  <c r="AJ12"/>
  <c r="AK12"/>
  <c r="AN12"/>
  <c r="AO12"/>
  <c r="AR12"/>
  <c r="AS12"/>
  <c r="AT12"/>
  <c r="AU12"/>
  <c r="AV12"/>
  <c r="AW12"/>
  <c r="AX12"/>
  <c r="D13"/>
  <c r="E13"/>
  <c r="H13"/>
  <c r="I13"/>
  <c r="L13"/>
  <c r="M13"/>
  <c r="N13"/>
  <c r="O13"/>
  <c r="P13"/>
  <c r="Q13"/>
  <c r="R13"/>
  <c r="T13"/>
  <c r="U13"/>
  <c r="X13"/>
  <c r="Y13"/>
  <c r="AB13"/>
  <c r="AC13"/>
  <c r="AD13"/>
  <c r="AE13"/>
  <c r="AF13"/>
  <c r="AG13"/>
  <c r="AH13"/>
  <c r="AJ13"/>
  <c r="AK13"/>
  <c r="AN13"/>
  <c r="AO13"/>
  <c r="AR13"/>
  <c r="AS13"/>
  <c r="AT13"/>
  <c r="AU13"/>
  <c r="AV13"/>
  <c r="AW13"/>
  <c r="AX13"/>
  <c r="D14"/>
  <c r="E14"/>
  <c r="H14"/>
  <c r="I14"/>
  <c r="L14"/>
  <c r="M14"/>
  <c r="N14"/>
  <c r="O14"/>
  <c r="P14"/>
  <c r="Q14"/>
  <c r="R14"/>
  <c r="T14"/>
  <c r="U14"/>
  <c r="X14"/>
  <c r="Y14"/>
  <c r="AB14"/>
  <c r="AC14"/>
  <c r="AD14"/>
  <c r="AE14"/>
  <c r="AF14"/>
  <c r="AG14"/>
  <c r="AH14"/>
  <c r="AJ14"/>
  <c r="AK14"/>
  <c r="AN14"/>
  <c r="AO14"/>
  <c r="AR14"/>
  <c r="AS14"/>
  <c r="AT14"/>
  <c r="AU14"/>
  <c r="AV14"/>
  <c r="AW14"/>
  <c r="AX14"/>
  <c r="D15"/>
  <c r="E15"/>
  <c r="H15"/>
  <c r="I15"/>
  <c r="L15"/>
  <c r="M15"/>
  <c r="N15"/>
  <c r="O15"/>
  <c r="P15"/>
  <c r="Q15"/>
  <c r="R15"/>
  <c r="T15"/>
  <c r="U15"/>
  <c r="X15"/>
  <c r="Y15"/>
  <c r="AB15"/>
  <c r="AC15"/>
  <c r="AD15"/>
  <c r="AE15"/>
  <c r="AF15"/>
  <c r="AG15"/>
  <c r="AH15"/>
  <c r="AJ15"/>
  <c r="AK15"/>
  <c r="AN15"/>
  <c r="AO15"/>
  <c r="AR15"/>
  <c r="AS15"/>
  <c r="AT15"/>
  <c r="AU15"/>
  <c r="AV15"/>
  <c r="AW15"/>
  <c r="AX15"/>
  <c r="D16"/>
  <c r="E16"/>
  <c r="H16"/>
  <c r="I16"/>
  <c r="L16"/>
  <c r="M16"/>
  <c r="N16"/>
  <c r="O16"/>
  <c r="P16"/>
  <c r="Q16"/>
  <c r="R16"/>
  <c r="T16"/>
  <c r="U16"/>
  <c r="X16"/>
  <c r="Y16"/>
  <c r="AB16"/>
  <c r="AC16"/>
  <c r="AD16"/>
  <c r="AE16"/>
  <c r="AF16"/>
  <c r="AG16"/>
  <c r="AH16"/>
  <c r="AJ16"/>
  <c r="AK16"/>
  <c r="AN16"/>
  <c r="AO16"/>
  <c r="AR16"/>
  <c r="AS16"/>
  <c r="AT16"/>
  <c r="AU16"/>
  <c r="AV16"/>
  <c r="AW16"/>
  <c r="AX16"/>
  <c r="D17"/>
  <c r="E17"/>
  <c r="H17"/>
  <c r="I17"/>
  <c r="L17"/>
  <c r="M17"/>
  <c r="N17"/>
  <c r="O17"/>
  <c r="P17"/>
  <c r="Q17"/>
  <c r="R17"/>
  <c r="T17"/>
  <c r="U17"/>
  <c r="X17"/>
  <c r="Y17"/>
  <c r="AB17"/>
  <c r="AC17"/>
  <c r="AD17"/>
  <c r="AE17"/>
  <c r="AF17"/>
  <c r="AG17"/>
  <c r="AH17"/>
  <c r="AJ17"/>
  <c r="AK17"/>
  <c r="AN17"/>
  <c r="AO17"/>
  <c r="AR17"/>
  <c r="AS17"/>
  <c r="AT17"/>
  <c r="AU17"/>
  <c r="AV17"/>
  <c r="AW17"/>
  <c r="AX17"/>
  <c r="D18"/>
  <c r="E18"/>
  <c r="H18"/>
  <c r="I18"/>
  <c r="L18"/>
  <c r="M18"/>
  <c r="N18"/>
  <c r="O18"/>
  <c r="P18"/>
  <c r="Q18"/>
  <c r="R18"/>
  <c r="T18"/>
  <c r="U18"/>
  <c r="X18"/>
  <c r="Y18"/>
  <c r="AB18"/>
  <c r="AC18"/>
  <c r="AD18"/>
  <c r="AE18"/>
  <c r="AF18"/>
  <c r="AG18"/>
  <c r="AH18"/>
  <c r="AJ18"/>
  <c r="AK18"/>
  <c r="AN18"/>
  <c r="AO18"/>
  <c r="AR18"/>
  <c r="AS18"/>
  <c r="AT18"/>
  <c r="AU18"/>
  <c r="AV18"/>
  <c r="AW18"/>
  <c r="AX18"/>
  <c r="D19"/>
  <c r="E19"/>
  <c r="H19"/>
  <c r="I19"/>
  <c r="L19"/>
  <c r="M19"/>
  <c r="N19"/>
  <c r="O19"/>
  <c r="P19"/>
  <c r="Q19"/>
  <c r="R19"/>
  <c r="T19"/>
  <c r="U19"/>
  <c r="X19"/>
  <c r="Y19"/>
  <c r="AB19"/>
  <c r="AC19"/>
  <c r="AD19"/>
  <c r="AE19"/>
  <c r="AF19"/>
  <c r="AG19"/>
  <c r="AH19"/>
  <c r="AJ19"/>
  <c r="AK19"/>
  <c r="AN19"/>
  <c r="AO19"/>
  <c r="AR19"/>
  <c r="AS19"/>
  <c r="AT19"/>
  <c r="AU19"/>
  <c r="AV19"/>
  <c r="AW19"/>
  <c r="AX19"/>
  <c r="D20"/>
  <c r="E20"/>
  <c r="H20"/>
  <c r="I20"/>
  <c r="L20"/>
  <c r="M20"/>
  <c r="N20"/>
  <c r="O20"/>
  <c r="P20"/>
  <c r="Q20"/>
  <c r="R20"/>
  <c r="T20"/>
  <c r="U20"/>
  <c r="X20"/>
  <c r="Y20"/>
  <c r="AB20"/>
  <c r="AC20"/>
  <c r="AD20"/>
  <c r="AE20"/>
  <c r="AF20"/>
  <c r="AG20"/>
  <c r="AH20"/>
  <c r="AJ20"/>
  <c r="AK20"/>
  <c r="AN20"/>
  <c r="AO20"/>
  <c r="AR20"/>
  <c r="AS20"/>
  <c r="AT20"/>
  <c r="AU20"/>
  <c r="AV20"/>
  <c r="AW20"/>
  <c r="AX20"/>
  <c r="D21"/>
  <c r="E21"/>
  <c r="H21"/>
  <c r="I21"/>
  <c r="L21"/>
  <c r="M21"/>
  <c r="N21"/>
  <c r="O21"/>
  <c r="P21"/>
  <c r="Q21"/>
  <c r="R21"/>
  <c r="T21"/>
  <c r="U21"/>
  <c r="X21"/>
  <c r="Y21"/>
  <c r="AB21"/>
  <c r="AC21"/>
  <c r="AD21"/>
  <c r="AE21"/>
  <c r="AF21"/>
  <c r="AG21"/>
  <c r="AH21"/>
  <c r="AJ21"/>
  <c r="AK21"/>
  <c r="AN21"/>
  <c r="AO21"/>
  <c r="AR21"/>
  <c r="AS21"/>
  <c r="AT21"/>
  <c r="AU21"/>
  <c r="AV21"/>
  <c r="AW21"/>
  <c r="AX21"/>
  <c r="D22"/>
  <c r="E22"/>
  <c r="H22"/>
  <c r="I22"/>
  <c r="L22"/>
  <c r="M22"/>
  <c r="N22"/>
  <c r="O22"/>
  <c r="P22"/>
  <c r="Q22"/>
  <c r="R22"/>
  <c r="T22"/>
  <c r="U22"/>
  <c r="X22"/>
  <c r="Y22"/>
  <c r="AB22"/>
  <c r="AC22"/>
  <c r="AD22"/>
  <c r="AE22"/>
  <c r="AF22"/>
  <c r="AG22"/>
  <c r="AH22"/>
  <c r="AJ22"/>
  <c r="AK22"/>
  <c r="AN22"/>
  <c r="AO22"/>
  <c r="AR22"/>
  <c r="AS22"/>
  <c r="AT22"/>
  <c r="AU22"/>
  <c r="AV22"/>
  <c r="AW22"/>
  <c r="AX22"/>
  <c r="D23"/>
  <c r="E23"/>
  <c r="H23"/>
  <c r="I23"/>
  <c r="L23"/>
  <c r="M23"/>
  <c r="N23"/>
  <c r="O23"/>
  <c r="P23"/>
  <c r="Q23"/>
  <c r="R23"/>
  <c r="T23"/>
  <c r="U23"/>
  <c r="X23"/>
  <c r="Y23"/>
  <c r="AB23"/>
  <c r="AC23"/>
  <c r="AD23"/>
  <c r="AE23"/>
  <c r="AF23"/>
  <c r="AG23"/>
  <c r="AH23"/>
  <c r="AJ23"/>
  <c r="AK23"/>
  <c r="AN23"/>
  <c r="AO23"/>
  <c r="AR23"/>
  <c r="AS23"/>
  <c r="AT23"/>
  <c r="AU23"/>
  <c r="AV23"/>
  <c r="AW23"/>
  <c r="AX23"/>
  <c r="D24"/>
  <c r="E24"/>
  <c r="H24"/>
  <c r="I24"/>
  <c r="L24"/>
  <c r="M24"/>
  <c r="N24"/>
  <c r="O24"/>
  <c r="P24"/>
  <c r="Q24"/>
  <c r="R24"/>
  <c r="T24"/>
  <c r="U24"/>
  <c r="X24"/>
  <c r="Y24"/>
  <c r="AB24"/>
  <c r="AC24"/>
  <c r="AD24"/>
  <c r="AE24"/>
  <c r="AF24"/>
  <c r="AG24"/>
  <c r="AH24"/>
  <c r="AJ24"/>
  <c r="AK24"/>
  <c r="AN24"/>
  <c r="AO24"/>
  <c r="AR24"/>
  <c r="AS24"/>
  <c r="AT24"/>
  <c r="AU24"/>
  <c r="AV24"/>
  <c r="AW24"/>
  <c r="AX24"/>
  <c r="D25"/>
  <c r="E25"/>
  <c r="H25"/>
  <c r="I25"/>
  <c r="L25"/>
  <c r="M25"/>
  <c r="N25"/>
  <c r="O25"/>
  <c r="P25"/>
  <c r="Q25"/>
  <c r="R25"/>
  <c r="T25"/>
  <c r="U25"/>
  <c r="X25"/>
  <c r="Y25"/>
  <c r="AB25"/>
  <c r="AC25"/>
  <c r="AD25"/>
  <c r="AE25"/>
  <c r="AF25"/>
  <c r="AG25"/>
  <c r="AH25"/>
  <c r="AJ25"/>
  <c r="AK25"/>
  <c r="AN25"/>
  <c r="AO25"/>
  <c r="AR25"/>
  <c r="AS25"/>
  <c r="AT25"/>
  <c r="AU25"/>
  <c r="AV25"/>
  <c r="AW25"/>
  <c r="AX25"/>
  <c r="D26"/>
  <c r="E26"/>
  <c r="H26"/>
  <c r="I26"/>
  <c r="L26"/>
  <c r="M26"/>
  <c r="N26"/>
  <c r="O26"/>
  <c r="P26"/>
  <c r="Q26"/>
  <c r="R26"/>
  <c r="T26"/>
  <c r="U26"/>
  <c r="X26"/>
  <c r="Y26"/>
  <c r="AB26"/>
  <c r="AC26"/>
  <c r="AD26"/>
  <c r="AE26"/>
  <c r="AF26"/>
  <c r="AG26"/>
  <c r="AH26"/>
  <c r="AJ26"/>
  <c r="AK26"/>
  <c r="AN26"/>
  <c r="AO26"/>
  <c r="AR26"/>
  <c r="AS26"/>
  <c r="AT26"/>
  <c r="AU26"/>
  <c r="AV26"/>
  <c r="AW26"/>
  <c r="AX26"/>
  <c r="D27"/>
  <c r="E27"/>
  <c r="H27"/>
  <c r="I27"/>
  <c r="L27"/>
  <c r="M27"/>
  <c r="N27"/>
  <c r="O27"/>
  <c r="P27"/>
  <c r="Q27"/>
  <c r="R27"/>
  <c r="T27"/>
  <c r="U27"/>
  <c r="X27"/>
  <c r="Y27"/>
  <c r="AB27"/>
  <c r="AC27"/>
  <c r="AD27"/>
  <c r="AE27"/>
  <c r="AF27"/>
  <c r="AG27"/>
  <c r="AH27"/>
  <c r="AJ27"/>
  <c r="AK27"/>
  <c r="AN27"/>
  <c r="AO27"/>
  <c r="AR27"/>
  <c r="AS27"/>
  <c r="AT27"/>
  <c r="AU27"/>
  <c r="AV27"/>
  <c r="AW27"/>
  <c r="AX27"/>
  <c r="D28"/>
  <c r="E28"/>
  <c r="H28"/>
  <c r="I28"/>
  <c r="L28"/>
  <c r="M28"/>
  <c r="N28"/>
  <c r="O28"/>
  <c r="P28"/>
  <c r="Q28"/>
  <c r="R28"/>
  <c r="T28"/>
  <c r="U28"/>
  <c r="X28"/>
  <c r="Y28"/>
  <c r="AB28"/>
  <c r="AC28"/>
  <c r="AD28"/>
  <c r="AE28"/>
  <c r="AF28"/>
  <c r="AG28"/>
  <c r="AH28"/>
  <c r="AJ28"/>
  <c r="AK28"/>
  <c r="AN28"/>
  <c r="AO28"/>
  <c r="AR28"/>
  <c r="AS28"/>
  <c r="AT28"/>
  <c r="AU28"/>
  <c r="AV28"/>
  <c r="AW28"/>
  <c r="AX28"/>
  <c r="D29"/>
  <c r="E29"/>
  <c r="H29"/>
  <c r="I29"/>
  <c r="L29"/>
  <c r="M29"/>
  <c r="N29"/>
  <c r="O29"/>
  <c r="P29"/>
  <c r="Q29"/>
  <c r="R29"/>
  <c r="T29"/>
  <c r="U29"/>
  <c r="X29"/>
  <c r="Y29"/>
  <c r="AB29"/>
  <c r="AC29"/>
  <c r="AD29"/>
  <c r="AE29"/>
  <c r="AF29"/>
  <c r="AG29"/>
  <c r="AH29"/>
  <c r="AJ29"/>
  <c r="AK29"/>
  <c r="AN29"/>
  <c r="AO29"/>
  <c r="AR29"/>
  <c r="AS29"/>
  <c r="AT29"/>
  <c r="AU29"/>
  <c r="AV29"/>
  <c r="AW29"/>
  <c r="AX29"/>
  <c r="D30"/>
  <c r="E30"/>
  <c r="H30"/>
  <c r="I30"/>
  <c r="L30"/>
  <c r="M30"/>
  <c r="N30"/>
  <c r="O30"/>
  <c r="P30"/>
  <c r="Q30"/>
  <c r="R30"/>
  <c r="T30"/>
  <c r="U30"/>
  <c r="X30"/>
  <c r="Y30"/>
  <c r="AB30"/>
  <c r="AC30"/>
  <c r="AD30"/>
  <c r="AE30"/>
  <c r="AF30"/>
  <c r="AG30"/>
  <c r="AH30"/>
  <c r="AJ30"/>
  <c r="AK30"/>
  <c r="AN30"/>
  <c r="AO30"/>
  <c r="AR30"/>
  <c r="AS30"/>
  <c r="AT30"/>
  <c r="AU30"/>
  <c r="AV30"/>
  <c r="AW30"/>
  <c r="AX30"/>
  <c r="D31"/>
  <c r="E31"/>
  <c r="H31"/>
  <c r="I31"/>
  <c r="L31"/>
  <c r="M31"/>
  <c r="N31"/>
  <c r="O31"/>
  <c r="P31"/>
  <c r="Q31"/>
  <c r="R31"/>
  <c r="T31"/>
  <c r="U31"/>
  <c r="X31"/>
  <c r="Y31"/>
  <c r="AB31"/>
  <c r="AC31"/>
  <c r="AD31"/>
  <c r="AE31"/>
  <c r="AF31"/>
  <c r="AG31"/>
  <c r="AH31"/>
  <c r="AJ31"/>
  <c r="AK31"/>
  <c r="AN31"/>
  <c r="AO31"/>
  <c r="AR31"/>
  <c r="AS31"/>
  <c r="AT31"/>
  <c r="AU31"/>
  <c r="AV31"/>
  <c r="AW31"/>
  <c r="AX31"/>
  <c r="D32"/>
  <c r="E32"/>
  <c r="H32"/>
  <c r="I32"/>
  <c r="L32"/>
  <c r="M32"/>
  <c r="N32"/>
  <c r="O32"/>
  <c r="P32"/>
  <c r="Q32"/>
  <c r="R32"/>
  <c r="T32"/>
  <c r="U32"/>
  <c r="X32"/>
  <c r="Y32"/>
  <c r="AB32"/>
  <c r="AC32"/>
  <c r="AD32"/>
  <c r="AE32"/>
  <c r="AF32"/>
  <c r="AG32"/>
  <c r="AH32"/>
  <c r="AJ32"/>
  <c r="AK32"/>
  <c r="AN32"/>
  <c r="AO32"/>
  <c r="AR32"/>
  <c r="AS32"/>
  <c r="AT32"/>
  <c r="AU32"/>
  <c r="AV32"/>
  <c r="AW32"/>
  <c r="AX32"/>
  <c r="D33"/>
  <c r="E33"/>
  <c r="H33"/>
  <c r="I33"/>
  <c r="L33"/>
  <c r="M33"/>
  <c r="N33"/>
  <c r="O33"/>
  <c r="P33"/>
  <c r="Q33"/>
  <c r="R33"/>
  <c r="T33"/>
  <c r="U33"/>
  <c r="X33"/>
  <c r="Y33"/>
  <c r="AB33"/>
  <c r="AC33"/>
  <c r="AD33"/>
  <c r="AE33"/>
  <c r="AF33"/>
  <c r="AG33"/>
  <c r="AH33"/>
  <c r="AJ33"/>
  <c r="AK33"/>
  <c r="AN33"/>
  <c r="AO33"/>
  <c r="AR33"/>
  <c r="AS33"/>
  <c r="AT33"/>
  <c r="AU33"/>
  <c r="AV33"/>
  <c r="AW33"/>
  <c r="AX33"/>
  <c r="D34"/>
  <c r="E34"/>
  <c r="H34"/>
  <c r="I34"/>
  <c r="L34"/>
  <c r="M34"/>
  <c r="N34"/>
  <c r="O34"/>
  <c r="P34"/>
  <c r="Q34"/>
  <c r="R34"/>
  <c r="T34"/>
  <c r="U34"/>
  <c r="X34"/>
  <c r="Y34"/>
  <c r="AB34"/>
  <c r="AC34"/>
  <c r="AD34"/>
  <c r="AE34"/>
  <c r="AF34"/>
  <c r="AG34"/>
  <c r="AH34"/>
  <c r="AJ34"/>
  <c r="AK34"/>
  <c r="AN34"/>
  <c r="AO34"/>
  <c r="AR34"/>
  <c r="AS34"/>
  <c r="AT34"/>
  <c r="AU34"/>
  <c r="AV34"/>
  <c r="AW34"/>
  <c r="AX34"/>
  <c r="D35"/>
  <c r="E35"/>
  <c r="H35"/>
  <c r="I35"/>
  <c r="L35"/>
  <c r="M35"/>
  <c r="N35"/>
  <c r="O35"/>
  <c r="P35"/>
  <c r="Q35"/>
  <c r="R35"/>
  <c r="T35"/>
  <c r="U35"/>
  <c r="X35"/>
  <c r="Y35"/>
  <c r="AB35"/>
  <c r="AC35"/>
  <c r="AD35"/>
  <c r="AE35"/>
  <c r="AF35"/>
  <c r="AG35"/>
  <c r="AH35"/>
  <c r="AJ35"/>
  <c r="AK35"/>
  <c r="AN35"/>
  <c r="AO35"/>
  <c r="AR35"/>
  <c r="AS35"/>
  <c r="AT35"/>
  <c r="AU35"/>
  <c r="AV35"/>
  <c r="AW35"/>
  <c r="AX35"/>
  <c r="D36"/>
  <c r="E36"/>
  <c r="H36"/>
  <c r="I36"/>
  <c r="L36"/>
  <c r="M36"/>
  <c r="N36"/>
  <c r="O36"/>
  <c r="P36"/>
  <c r="Q36"/>
  <c r="R36"/>
  <c r="T36"/>
  <c r="U36"/>
  <c r="X36"/>
  <c r="Y36"/>
  <c r="AB36"/>
  <c r="AC36"/>
  <c r="AD36"/>
  <c r="AE36"/>
  <c r="AF36"/>
  <c r="AG36"/>
  <c r="AH36"/>
  <c r="AJ36"/>
  <c r="AK36"/>
  <c r="AN36"/>
  <c r="AO36"/>
  <c r="AR36"/>
  <c r="AS36"/>
  <c r="AT36"/>
  <c r="AU36"/>
  <c r="AV36"/>
  <c r="AW36"/>
  <c r="AX36"/>
  <c r="D37"/>
  <c r="E37"/>
  <c r="H37"/>
  <c r="I37"/>
  <c r="L37"/>
  <c r="M37"/>
  <c r="N37"/>
  <c r="O37"/>
  <c r="P37"/>
  <c r="Q37"/>
  <c r="R37"/>
  <c r="T37"/>
  <c r="U37"/>
  <c r="X37"/>
  <c r="Y37"/>
  <c r="AB37"/>
  <c r="AC37"/>
  <c r="AD37"/>
  <c r="AE37"/>
  <c r="AF37"/>
  <c r="AG37"/>
  <c r="AH37"/>
  <c r="AJ37"/>
  <c r="AK37"/>
  <c r="AN37"/>
  <c r="AO37"/>
  <c r="AR37"/>
  <c r="AS37"/>
  <c r="AT37"/>
  <c r="AU37"/>
  <c r="AV37"/>
  <c r="AW37"/>
  <c r="AX37"/>
  <c r="D38"/>
  <c r="E38"/>
  <c r="H38"/>
  <c r="I38"/>
  <c r="L38"/>
  <c r="M38"/>
  <c r="N38"/>
  <c r="O38"/>
  <c r="P38"/>
  <c r="Q38"/>
  <c r="R38"/>
  <c r="T38"/>
  <c r="U38"/>
  <c r="X38"/>
  <c r="Y38"/>
  <c r="AB38"/>
  <c r="AC38"/>
  <c r="AD38"/>
  <c r="AE38"/>
  <c r="AF38"/>
  <c r="AG38"/>
  <c r="AH38"/>
  <c r="AJ38"/>
  <c r="AK38"/>
  <c r="AN38"/>
  <c r="AO38"/>
  <c r="AR38"/>
  <c r="AS38"/>
  <c r="AT38"/>
  <c r="AU38"/>
  <c r="AV38"/>
  <c r="AW38"/>
  <c r="AX38"/>
  <c r="D39"/>
  <c r="E39"/>
  <c r="H39"/>
  <c r="I39"/>
  <c r="L39"/>
  <c r="M39"/>
  <c r="N39"/>
  <c r="O39"/>
  <c r="P39"/>
  <c r="Q39"/>
  <c r="R39"/>
  <c r="T39"/>
  <c r="U39"/>
  <c r="X39"/>
  <c r="Y39"/>
  <c r="AB39"/>
  <c r="AC39"/>
  <c r="AD39"/>
  <c r="AE39"/>
  <c r="AF39"/>
  <c r="AG39"/>
  <c r="AH39"/>
  <c r="AJ39"/>
  <c r="AK39"/>
  <c r="AN39"/>
  <c r="AO39"/>
  <c r="AR39"/>
  <c r="AS39"/>
  <c r="AT39"/>
  <c r="AU39"/>
  <c r="AV39"/>
  <c r="AW39"/>
  <c r="AX39"/>
  <c r="D40"/>
  <c r="E40"/>
  <c r="H40"/>
  <c r="I40"/>
  <c r="L40"/>
  <c r="M40"/>
  <c r="N40"/>
  <c r="O40"/>
  <c r="P40"/>
  <c r="Q40"/>
  <c r="R40"/>
  <c r="T40"/>
  <c r="U40"/>
  <c r="X40"/>
  <c r="Y40"/>
  <c r="AB40"/>
  <c r="AC40"/>
  <c r="AD40"/>
  <c r="AE40"/>
  <c r="AF40"/>
  <c r="AG40"/>
  <c r="AH40"/>
  <c r="AJ40"/>
  <c r="AK40"/>
  <c r="AN40"/>
  <c r="AO40"/>
  <c r="AR40"/>
  <c r="AS40"/>
  <c r="AT40"/>
  <c r="AU40"/>
  <c r="AV40"/>
  <c r="AW40"/>
  <c r="AX40"/>
  <c r="D41"/>
  <c r="E41"/>
  <c r="H41"/>
  <c r="I41"/>
  <c r="L41"/>
  <c r="M41"/>
  <c r="N41"/>
  <c r="O41"/>
  <c r="P41"/>
  <c r="Q41"/>
  <c r="R41"/>
  <c r="T41"/>
  <c r="U41"/>
  <c r="X41"/>
  <c r="Y41"/>
  <c r="AB41"/>
  <c r="AC41"/>
  <c r="AD41"/>
  <c r="AE41"/>
  <c r="AF41"/>
  <c r="AG41"/>
  <c r="AH41"/>
  <c r="AJ41"/>
  <c r="AK41"/>
  <c r="AN41"/>
  <c r="AO41"/>
  <c r="AR41"/>
  <c r="AS41"/>
  <c r="AT41"/>
  <c r="AU41"/>
  <c r="AV41"/>
  <c r="AW41"/>
  <c r="AX41"/>
  <c r="D42"/>
  <c r="E42"/>
  <c r="H42"/>
  <c r="I42"/>
  <c r="L42"/>
  <c r="M42"/>
  <c r="N42"/>
  <c r="O42"/>
  <c r="P42"/>
  <c r="Q42"/>
  <c r="R42"/>
  <c r="T42"/>
  <c r="U42"/>
  <c r="X42"/>
  <c r="Y42"/>
  <c r="AB42"/>
  <c r="AC42"/>
  <c r="AD42"/>
  <c r="AE42"/>
  <c r="AF42"/>
  <c r="AG42"/>
  <c r="AH42"/>
  <c r="AJ42"/>
  <c r="AK42"/>
  <c r="AN42"/>
  <c r="AO42"/>
  <c r="AR42"/>
  <c r="AS42"/>
  <c r="AT42"/>
  <c r="AU42"/>
  <c r="AV42"/>
  <c r="AW42"/>
  <c r="AX42"/>
  <c r="D43"/>
  <c r="E43"/>
  <c r="H43"/>
  <c r="I43"/>
  <c r="L43"/>
  <c r="M43"/>
  <c r="N43"/>
  <c r="O43"/>
  <c r="P43"/>
  <c r="Q43"/>
  <c r="R43"/>
  <c r="T43"/>
  <c r="U43"/>
  <c r="X43"/>
  <c r="Y43"/>
  <c r="AB43"/>
  <c r="AC43"/>
  <c r="AD43"/>
  <c r="AE43"/>
  <c r="AF43"/>
  <c r="AG43"/>
  <c r="AH43"/>
  <c r="AJ43"/>
  <c r="AK43"/>
  <c r="AN43"/>
  <c r="AO43"/>
  <c r="AR43"/>
  <c r="AS43"/>
  <c r="AT43"/>
  <c r="AU43"/>
  <c r="AV43"/>
  <c r="AW43"/>
  <c r="AX43"/>
  <c r="D44"/>
  <c r="E44"/>
  <c r="H44"/>
  <c r="I44"/>
  <c r="L44"/>
  <c r="M44"/>
  <c r="N44"/>
  <c r="O44"/>
  <c r="P44"/>
  <c r="Q44"/>
  <c r="R44"/>
  <c r="T44"/>
  <c r="U44"/>
  <c r="X44"/>
  <c r="Y44"/>
  <c r="AB44"/>
  <c r="AC44"/>
  <c r="AD44"/>
  <c r="AE44"/>
  <c r="AF44"/>
  <c r="AG44"/>
  <c r="AH44"/>
  <c r="AJ44"/>
  <c r="AK44"/>
  <c r="AN44"/>
  <c r="AO44"/>
  <c r="AR44"/>
  <c r="AS44"/>
  <c r="AT44"/>
  <c r="AU44"/>
  <c r="AV44"/>
  <c r="AW44"/>
  <c r="AX44"/>
  <c r="D45"/>
  <c r="E45"/>
  <c r="H45"/>
  <c r="I45"/>
  <c r="L45"/>
  <c r="M45"/>
  <c r="N45"/>
  <c r="O45"/>
  <c r="P45"/>
  <c r="Q45"/>
  <c r="R45"/>
  <c r="T45"/>
  <c r="U45"/>
  <c r="X45"/>
  <c r="Y45"/>
  <c r="AB45"/>
  <c r="AC45"/>
  <c r="AD45"/>
  <c r="AE45"/>
  <c r="AF45"/>
  <c r="AG45"/>
  <c r="AH45"/>
  <c r="AJ45"/>
  <c r="AK45"/>
  <c r="AN45"/>
  <c r="AO45"/>
  <c r="AR45"/>
  <c r="AS45"/>
  <c r="AT45"/>
  <c r="AU45"/>
  <c r="AV45"/>
  <c r="AW45"/>
  <c r="AX45"/>
  <c r="D49"/>
  <c r="E49"/>
  <c r="H49"/>
  <c r="I49"/>
  <c r="L49"/>
  <c r="M49"/>
  <c r="N49"/>
  <c r="O49"/>
  <c r="P49"/>
  <c r="Q49"/>
  <c r="R49"/>
  <c r="T49"/>
  <c r="U49"/>
  <c r="X49"/>
  <c r="Y49"/>
  <c r="AB49"/>
  <c r="AC49"/>
  <c r="AD49"/>
  <c r="AE49"/>
  <c r="AF49"/>
  <c r="AG49"/>
  <c r="AH49"/>
  <c r="AJ49"/>
  <c r="AK49"/>
  <c r="AN49"/>
  <c r="AO49"/>
  <c r="AR49"/>
  <c r="AS49"/>
  <c r="AT49"/>
  <c r="AU49"/>
  <c r="AV49"/>
  <c r="AW49"/>
  <c r="AX49"/>
  <c r="D50"/>
  <c r="E50"/>
  <c r="H50"/>
  <c r="I50"/>
  <c r="L50"/>
  <c r="M50"/>
  <c r="N50"/>
  <c r="O50"/>
  <c r="P50"/>
  <c r="Q50"/>
  <c r="R50"/>
  <c r="T50"/>
  <c r="U50"/>
  <c r="X50"/>
  <c r="Y50"/>
  <c r="AB50"/>
  <c r="AC50"/>
  <c r="AD50"/>
  <c r="AE50"/>
  <c r="AF50"/>
  <c r="AG50"/>
  <c r="AH50"/>
  <c r="AJ50"/>
  <c r="AK50"/>
  <c r="AN50"/>
  <c r="AO50"/>
  <c r="AR50"/>
  <c r="AS50"/>
  <c r="AT50"/>
  <c r="AU50"/>
  <c r="AV50"/>
  <c r="AW50"/>
  <c r="AX50"/>
  <c r="D51"/>
  <c r="E51"/>
  <c r="H51"/>
  <c r="I51"/>
  <c r="L51"/>
  <c r="M51"/>
  <c r="N51"/>
  <c r="O51"/>
  <c r="P51"/>
  <c r="Q51"/>
  <c r="R51"/>
  <c r="T51"/>
  <c r="U51"/>
  <c r="X51"/>
  <c r="Y51"/>
  <c r="AB51"/>
  <c r="AC51"/>
  <c r="AD51"/>
  <c r="AE51"/>
  <c r="AF51"/>
  <c r="AG51"/>
  <c r="AH51"/>
  <c r="AJ51"/>
  <c r="AK51"/>
  <c r="AN51"/>
  <c r="AO51"/>
  <c r="AR51"/>
  <c r="AS51"/>
  <c r="AT51"/>
  <c r="AU51"/>
  <c r="AV51"/>
  <c r="AW51"/>
  <c r="AX51"/>
  <c r="D52"/>
  <c r="E52"/>
  <c r="H52"/>
  <c r="I52"/>
  <c r="L52"/>
  <c r="M52"/>
  <c r="N52"/>
  <c r="O52"/>
  <c r="P52"/>
  <c r="Q52"/>
  <c r="R52"/>
  <c r="T52"/>
  <c r="U52"/>
  <c r="X52"/>
  <c r="Y52"/>
  <c r="AB52"/>
  <c r="AC52"/>
  <c r="AD52"/>
  <c r="AE52"/>
  <c r="AF52"/>
  <c r="AG52"/>
  <c r="AH52"/>
  <c r="AJ52"/>
  <c r="AK52"/>
  <c r="AN52"/>
  <c r="AO52"/>
  <c r="AR52"/>
  <c r="AS52"/>
  <c r="AT52"/>
  <c r="AU52"/>
  <c r="AV52"/>
  <c r="AW52"/>
  <c r="AX52"/>
  <c r="D53"/>
  <c r="E53"/>
  <c r="H53"/>
  <c r="I53"/>
  <c r="L53"/>
  <c r="M53"/>
  <c r="N53"/>
  <c r="O53"/>
  <c r="P53"/>
  <c r="Q53"/>
  <c r="R53"/>
  <c r="T53"/>
  <c r="U53"/>
  <c r="X53"/>
  <c r="Y53"/>
  <c r="AB53"/>
  <c r="AC53"/>
  <c r="AD53"/>
  <c r="AE53"/>
  <c r="AF53"/>
  <c r="AG53"/>
  <c r="AH53"/>
  <c r="AJ53"/>
  <c r="AK53"/>
  <c r="AN53"/>
  <c r="AO53"/>
  <c r="AR53"/>
  <c r="AS53"/>
  <c r="AT53"/>
  <c r="AU53"/>
  <c r="AV53"/>
  <c r="AW53"/>
  <c r="AX53"/>
  <c r="D54"/>
  <c r="E54"/>
  <c r="H54"/>
  <c r="I54"/>
  <c r="L54"/>
  <c r="M54"/>
  <c r="N54"/>
  <c r="O54"/>
  <c r="P54"/>
  <c r="Q54"/>
  <c r="R54"/>
  <c r="T54"/>
  <c r="U54"/>
  <c r="X54"/>
  <c r="Y54"/>
  <c r="AB54"/>
  <c r="AC54"/>
  <c r="AD54"/>
  <c r="AE54"/>
  <c r="AF54"/>
  <c r="AG54"/>
  <c r="AH54"/>
  <c r="AJ54"/>
  <c r="AK54"/>
  <c r="AN54"/>
  <c r="AO54"/>
  <c r="AR54"/>
  <c r="AS54"/>
  <c r="AT54"/>
  <c r="AU54"/>
  <c r="AV54"/>
  <c r="AW54"/>
  <c r="AX54"/>
  <c r="D55"/>
  <c r="E55"/>
  <c r="H55"/>
  <c r="I55"/>
  <c r="L55"/>
  <c r="M55"/>
  <c r="N55"/>
  <c r="O55"/>
  <c r="P55"/>
  <c r="Q55"/>
  <c r="R55"/>
  <c r="T55"/>
  <c r="U55"/>
  <c r="X55"/>
  <c r="Y55"/>
  <c r="AB55"/>
  <c r="AC55"/>
  <c r="AD55"/>
  <c r="AE55"/>
  <c r="AF55"/>
  <c r="AG55"/>
  <c r="AH55"/>
  <c r="AJ55"/>
  <c r="AK55"/>
  <c r="AN55"/>
  <c r="AO55"/>
  <c r="AR55"/>
  <c r="AS55"/>
  <c r="AT55"/>
  <c r="AU55"/>
  <c r="AV55"/>
  <c r="AW55"/>
  <c r="AX55"/>
  <c r="D56"/>
  <c r="E56"/>
  <c r="H56"/>
  <c r="I56"/>
  <c r="L56"/>
  <c r="M56"/>
  <c r="N56"/>
  <c r="O56"/>
  <c r="P56"/>
  <c r="Q56"/>
  <c r="R56"/>
  <c r="T56"/>
  <c r="U56"/>
  <c r="X56"/>
  <c r="Y56"/>
  <c r="AB56"/>
  <c r="AC56"/>
  <c r="AD56"/>
  <c r="AE56"/>
  <c r="AF56"/>
  <c r="AG56"/>
  <c r="AH56"/>
  <c r="AJ56"/>
  <c r="AK56"/>
  <c r="AN56"/>
  <c r="AO56"/>
  <c r="AR56"/>
  <c r="AS56"/>
  <c r="AT56"/>
  <c r="AU56"/>
  <c r="AV56"/>
  <c r="AW56"/>
  <c r="AX56"/>
  <c r="D57"/>
  <c r="E57"/>
  <c r="H57"/>
  <c r="I57"/>
  <c r="L57"/>
  <c r="M57"/>
  <c r="N57"/>
  <c r="O57"/>
  <c r="P57"/>
  <c r="Q57"/>
  <c r="R57"/>
  <c r="T57"/>
  <c r="U57"/>
  <c r="X57"/>
  <c r="Y57"/>
  <c r="AB57"/>
  <c r="AC57"/>
  <c r="AD57"/>
  <c r="AE57"/>
  <c r="AF57"/>
  <c r="AG57"/>
  <c r="AH57"/>
  <c r="AJ57"/>
  <c r="AK57"/>
  <c r="AN57"/>
  <c r="AO57"/>
  <c r="AR57"/>
  <c r="AS57"/>
  <c r="AT57"/>
  <c r="AU57"/>
  <c r="AV57"/>
  <c r="AW57"/>
  <c r="AX57"/>
  <c r="D58"/>
  <c r="E58"/>
  <c r="H58"/>
  <c r="I58"/>
  <c r="L58"/>
  <c r="M58"/>
  <c r="N58"/>
  <c r="O58"/>
  <c r="P58"/>
  <c r="Q58"/>
  <c r="R58"/>
  <c r="T58"/>
  <c r="U58"/>
  <c r="X58"/>
  <c r="Y58"/>
  <c r="AB58"/>
  <c r="AC58"/>
  <c r="AD58"/>
  <c r="AE58"/>
  <c r="AF58"/>
  <c r="AG58"/>
  <c r="AH58"/>
  <c r="AJ58"/>
  <c r="AK58"/>
  <c r="AN58"/>
  <c r="AO58"/>
  <c r="AR58"/>
  <c r="AS58"/>
  <c r="AT58"/>
  <c r="AU58"/>
  <c r="AV58"/>
  <c r="AW58"/>
  <c r="AX58"/>
  <c r="D59"/>
  <c r="E59"/>
  <c r="H59"/>
  <c r="I59"/>
  <c r="L59"/>
  <c r="M59"/>
  <c r="N59"/>
  <c r="O59"/>
  <c r="P59"/>
  <c r="Q59"/>
  <c r="R59"/>
  <c r="T59"/>
  <c r="U59"/>
  <c r="X59"/>
  <c r="Y59"/>
  <c r="AB59"/>
  <c r="AC59"/>
  <c r="AD59"/>
  <c r="AE59"/>
  <c r="AF59"/>
  <c r="AG59"/>
  <c r="AH59"/>
  <c r="AJ59"/>
  <c r="AK59"/>
  <c r="AN59"/>
  <c r="AO59"/>
  <c r="AR59"/>
  <c r="AS59"/>
  <c r="AT59"/>
  <c r="AU59"/>
  <c r="AV59"/>
  <c r="AW59"/>
  <c r="AX59"/>
  <c r="D60"/>
  <c r="E60"/>
  <c r="H60"/>
  <c r="I60"/>
  <c r="L60"/>
  <c r="M60"/>
  <c r="N60"/>
  <c r="O60"/>
  <c r="P60"/>
  <c r="Q60"/>
  <c r="R60"/>
  <c r="T60"/>
  <c r="U60"/>
  <c r="X60"/>
  <c r="Y60"/>
  <c r="AB60"/>
  <c r="AC60"/>
  <c r="AD60"/>
  <c r="AE60"/>
  <c r="AF60"/>
  <c r="AG60"/>
  <c r="AH60"/>
  <c r="AJ60"/>
  <c r="AK60"/>
  <c r="AN60"/>
  <c r="AO60"/>
  <c r="AR60"/>
  <c r="AS60"/>
  <c r="AT60"/>
  <c r="AU60"/>
  <c r="AV60"/>
  <c r="AW60"/>
  <c r="AX60"/>
  <c r="D61"/>
  <c r="E61"/>
  <c r="H61"/>
  <c r="I61"/>
  <c r="L61"/>
  <c r="M61"/>
  <c r="N61"/>
  <c r="O61"/>
  <c r="P61"/>
  <c r="Q61"/>
  <c r="R61"/>
  <c r="T61"/>
  <c r="U61"/>
  <c r="X61"/>
  <c r="Y61"/>
  <c r="AB61"/>
  <c r="AC61"/>
  <c r="AD61"/>
  <c r="AE61"/>
  <c r="AF61"/>
  <c r="AG61"/>
  <c r="AH61"/>
  <c r="AJ61"/>
  <c r="AK61"/>
  <c r="AN61"/>
  <c r="AO61"/>
  <c r="AR61"/>
  <c r="AS61"/>
  <c r="AT61"/>
  <c r="AU61"/>
  <c r="AV61"/>
  <c r="AW61"/>
  <c r="AX61"/>
  <c r="D62"/>
  <c r="E62"/>
  <c r="H62"/>
  <c r="I62"/>
  <c r="L62"/>
  <c r="M62"/>
  <c r="N62"/>
  <c r="O62"/>
  <c r="P62"/>
  <c r="Q62"/>
  <c r="R62"/>
  <c r="T62"/>
  <c r="U62"/>
  <c r="X62"/>
  <c r="Y62"/>
  <c r="AB62"/>
  <c r="AC62"/>
  <c r="AD62"/>
  <c r="AE62"/>
  <c r="AF62"/>
  <c r="AG62"/>
  <c r="AH62"/>
  <c r="AJ62"/>
  <c r="AK62"/>
  <c r="AN62"/>
  <c r="AO62"/>
  <c r="AR62"/>
  <c r="AS62"/>
  <c r="AT62"/>
  <c r="AU62"/>
  <c r="AV62"/>
  <c r="AW62"/>
  <c r="AX62"/>
  <c r="D63"/>
  <c r="E63"/>
  <c r="H63"/>
  <c r="I63"/>
  <c r="L63"/>
  <c r="M63"/>
  <c r="N63"/>
  <c r="O63"/>
  <c r="P63"/>
  <c r="Q63"/>
  <c r="R63"/>
  <c r="T63"/>
  <c r="U63"/>
  <c r="X63"/>
  <c r="Y63"/>
  <c r="AB63"/>
  <c r="AC63"/>
  <c r="AD63"/>
  <c r="AE63"/>
  <c r="AF63"/>
  <c r="AG63"/>
  <c r="AH63"/>
  <c r="AJ63"/>
  <c r="AK63"/>
  <c r="AN63"/>
  <c r="AO63"/>
  <c r="AR63"/>
  <c r="AS63"/>
  <c r="AT63"/>
  <c r="AU63"/>
  <c r="AV63"/>
  <c r="AW63"/>
  <c r="AX63"/>
  <c r="D64"/>
  <c r="E64"/>
  <c r="H64"/>
  <c r="I64"/>
  <c r="L64"/>
  <c r="M64"/>
  <c r="N64"/>
  <c r="O64"/>
  <c r="P64"/>
  <c r="Q64"/>
  <c r="R64"/>
  <c r="T64"/>
  <c r="U64"/>
  <c r="X64"/>
  <c r="Y64"/>
  <c r="AB64"/>
  <c r="AC64"/>
  <c r="AD64"/>
  <c r="AE64"/>
  <c r="AF64"/>
  <c r="AG64"/>
  <c r="AH64"/>
  <c r="AJ64"/>
  <c r="AK64"/>
  <c r="AN64"/>
  <c r="AO64"/>
  <c r="AR64"/>
  <c r="AS64"/>
  <c r="AT64"/>
  <c r="AU64"/>
  <c r="AV64"/>
  <c r="AW64"/>
  <c r="AX64"/>
  <c r="D65"/>
  <c r="E65"/>
  <c r="H65"/>
  <c r="I65"/>
  <c r="L65"/>
  <c r="M65"/>
  <c r="N65"/>
  <c r="O65"/>
  <c r="P65"/>
  <c r="Q65"/>
  <c r="R65"/>
  <c r="T65"/>
  <c r="U65"/>
  <c r="X65"/>
  <c r="Y65"/>
  <c r="AB65"/>
  <c r="AC65"/>
  <c r="AD65"/>
  <c r="AE65"/>
  <c r="AF65"/>
  <c r="AG65"/>
  <c r="AH65"/>
  <c r="AJ65"/>
  <c r="AK65"/>
  <c r="AN65"/>
  <c r="AO65"/>
  <c r="AR65"/>
  <c r="AS65"/>
  <c r="AT65"/>
  <c r="AU65"/>
  <c r="AV65"/>
  <c r="AW65"/>
  <c r="AX65"/>
  <c r="D66"/>
  <c r="E66"/>
  <c r="H66"/>
  <c r="I66"/>
  <c r="L66"/>
  <c r="M66"/>
  <c r="N66"/>
  <c r="O66"/>
  <c r="P66"/>
  <c r="Q66"/>
  <c r="R66"/>
  <c r="T66"/>
  <c r="U66"/>
  <c r="X66"/>
  <c r="Y66"/>
  <c r="AB66"/>
  <c r="AC66"/>
  <c r="AD66"/>
  <c r="AE66"/>
  <c r="AF66"/>
  <c r="AG66"/>
  <c r="AH66"/>
  <c r="AJ66"/>
  <c r="AK66"/>
  <c r="AN66"/>
  <c r="AO66"/>
  <c r="AR66"/>
  <c r="AS66"/>
  <c r="AT66"/>
  <c r="AU66"/>
  <c r="AV66"/>
  <c r="AW66"/>
  <c r="AX66"/>
  <c r="D67"/>
  <c r="E67"/>
  <c r="H67"/>
  <c r="I67"/>
  <c r="L67"/>
  <c r="M67"/>
  <c r="N67"/>
  <c r="O67"/>
  <c r="P67"/>
  <c r="Q67"/>
  <c r="R67"/>
  <c r="T67"/>
  <c r="U67"/>
  <c r="X67"/>
  <c r="Y67"/>
  <c r="AB67"/>
  <c r="AC67"/>
  <c r="AD67"/>
  <c r="AE67"/>
  <c r="AF67"/>
  <c r="AG67"/>
  <c r="AH67"/>
  <c r="AJ67"/>
  <c r="AK67"/>
  <c r="AN67"/>
  <c r="AO67"/>
  <c r="AR67"/>
  <c r="AS67"/>
  <c r="AT67"/>
  <c r="AU67"/>
  <c r="AV67"/>
  <c r="AW67"/>
  <c r="AX67"/>
  <c r="D68"/>
  <c r="E68"/>
  <c r="H68"/>
  <c r="I68"/>
  <c r="L68"/>
  <c r="M68"/>
  <c r="N68"/>
  <c r="O68"/>
  <c r="P68"/>
  <c r="Q68"/>
  <c r="R68"/>
  <c r="T68"/>
  <c r="U68"/>
  <c r="X68"/>
  <c r="Y68"/>
  <c r="AB68"/>
  <c r="AC68"/>
  <c r="AD68"/>
  <c r="AE68"/>
  <c r="AF68"/>
  <c r="AG68"/>
  <c r="AH68"/>
  <c r="AJ68"/>
  <c r="AK68"/>
  <c r="AN68"/>
  <c r="AO68"/>
  <c r="AR68"/>
  <c r="AS68"/>
  <c r="AT68"/>
  <c r="AU68"/>
  <c r="AV68"/>
  <c r="AW68"/>
  <c r="AX68"/>
  <c r="D69"/>
  <c r="E69"/>
  <c r="H69"/>
  <c r="I69"/>
  <c r="L69"/>
  <c r="M69"/>
  <c r="N69"/>
  <c r="O69"/>
  <c r="P69"/>
  <c r="Q69"/>
  <c r="R69"/>
  <c r="T69"/>
  <c r="U69"/>
  <c r="X69"/>
  <c r="Y69"/>
  <c r="AB69"/>
  <c r="AC69"/>
  <c r="AD69"/>
  <c r="AE69"/>
  <c r="AF69"/>
  <c r="AG69"/>
  <c r="AH69"/>
  <c r="AJ69"/>
  <c r="AK69"/>
  <c r="AN69"/>
  <c r="AO69"/>
  <c r="AR69"/>
  <c r="AS69"/>
  <c r="AT69"/>
  <c r="AU69"/>
  <c r="AV69"/>
  <c r="AW69"/>
  <c r="AX69"/>
  <c r="D70"/>
  <c r="E70"/>
  <c r="H70"/>
  <c r="I70"/>
  <c r="L70"/>
  <c r="M70"/>
  <c r="N70"/>
  <c r="O70"/>
  <c r="P70"/>
  <c r="Q70"/>
  <c r="R70"/>
  <c r="T70"/>
  <c r="U70"/>
  <c r="X70"/>
  <c r="Y70"/>
  <c r="AB70"/>
  <c r="AC70"/>
  <c r="AD70"/>
  <c r="AE70"/>
  <c r="AF70"/>
  <c r="AG70"/>
  <c r="AH70"/>
  <c r="AJ70"/>
  <c r="AK70"/>
  <c r="AN70"/>
  <c r="AO70"/>
  <c r="AR70"/>
  <c r="AS70"/>
  <c r="AT70"/>
  <c r="AU70"/>
  <c r="AV70"/>
  <c r="AW70"/>
  <c r="AX70"/>
  <c r="D71"/>
  <c r="E71"/>
  <c r="H71"/>
  <c r="I71"/>
  <c r="L71"/>
  <c r="M71"/>
  <c r="N71"/>
  <c r="O71"/>
  <c r="P71"/>
  <c r="Q71"/>
  <c r="R71"/>
  <c r="T71"/>
  <c r="U71"/>
  <c r="X71"/>
  <c r="Y71"/>
  <c r="AB71"/>
  <c r="AC71"/>
  <c r="AD71"/>
  <c r="AE71"/>
  <c r="AF71"/>
  <c r="AG71"/>
  <c r="AH71"/>
  <c r="AJ71"/>
  <c r="AK71"/>
  <c r="AN71"/>
  <c r="AO71"/>
  <c r="AR71"/>
  <c r="AS71"/>
  <c r="AT71"/>
  <c r="AU71"/>
  <c r="AV71"/>
  <c r="AW71"/>
  <c r="AX71"/>
  <c r="D72"/>
  <c r="E72"/>
  <c r="H72"/>
  <c r="I72"/>
  <c r="L72"/>
  <c r="M72"/>
  <c r="N72"/>
  <c r="O72"/>
  <c r="P72"/>
  <c r="Q72"/>
  <c r="R72"/>
  <c r="T72"/>
  <c r="U72"/>
  <c r="X72"/>
  <c r="Y72"/>
  <c r="AB72"/>
  <c r="AC72"/>
  <c r="AD72"/>
  <c r="AE72"/>
  <c r="AF72"/>
  <c r="AG72"/>
  <c r="AH72"/>
  <c r="AJ72"/>
  <c r="AK72"/>
  <c r="AN72"/>
  <c r="AO72"/>
  <c r="AR72"/>
  <c r="AS72"/>
  <c r="AT72"/>
  <c r="AU72"/>
  <c r="AV72"/>
  <c r="AW72"/>
  <c r="AX72"/>
  <c r="D73"/>
  <c r="E73"/>
  <c r="H73"/>
  <c r="I73"/>
  <c r="L73"/>
  <c r="M73"/>
  <c r="N73"/>
  <c r="O73"/>
  <c r="P73"/>
  <c r="Q73"/>
  <c r="R73"/>
  <c r="T73"/>
  <c r="U73"/>
  <c r="X73"/>
  <c r="Y73"/>
  <c r="AB73"/>
  <c r="AC73"/>
  <c r="AD73"/>
  <c r="AE73"/>
  <c r="AF73"/>
  <c r="AG73"/>
  <c r="AH73"/>
  <c r="AJ73"/>
  <c r="AK73"/>
  <c r="AN73"/>
  <c r="AO73"/>
  <c r="AR73"/>
  <c r="AS73"/>
  <c r="AT73"/>
  <c r="AU73"/>
  <c r="AV73"/>
  <c r="AW73"/>
  <c r="AX73"/>
  <c r="D74"/>
  <c r="E74"/>
  <c r="H74"/>
  <c r="I74"/>
  <c r="L74"/>
  <c r="M74"/>
  <c r="N74"/>
  <c r="O74"/>
  <c r="P74"/>
  <c r="Q74"/>
  <c r="R74"/>
  <c r="T74"/>
  <c r="U74"/>
  <c r="X74"/>
  <c r="Y74"/>
  <c r="AB74"/>
  <c r="AC74"/>
  <c r="AD74"/>
  <c r="AE74"/>
  <c r="AF74"/>
  <c r="AG74"/>
  <c r="AH74"/>
  <c r="AJ74"/>
  <c r="AK74"/>
  <c r="AN74"/>
  <c r="AO74"/>
  <c r="AR74"/>
  <c r="AS74"/>
  <c r="AT74"/>
  <c r="AU74"/>
  <c r="AV74"/>
  <c r="AW74"/>
  <c r="AX74"/>
  <c r="D75"/>
  <c r="E75"/>
  <c r="H75"/>
  <c r="I75"/>
  <c r="L75"/>
  <c r="M75"/>
  <c r="N75"/>
  <c r="O75"/>
  <c r="P75"/>
  <c r="Q75"/>
  <c r="R75"/>
  <c r="T75"/>
  <c r="U75"/>
  <c r="X75"/>
  <c r="Y75"/>
  <c r="AB75"/>
  <c r="AC75"/>
  <c r="AD75"/>
  <c r="AE75"/>
  <c r="AF75"/>
  <c r="AG75"/>
  <c r="AH75"/>
  <c r="AJ75"/>
  <c r="AK75"/>
  <c r="AN75"/>
  <c r="AO75"/>
  <c r="AR75"/>
  <c r="AS75"/>
  <c r="AT75"/>
  <c r="AU75"/>
  <c r="AV75"/>
  <c r="AW75"/>
  <c r="AX75"/>
  <c r="D76"/>
  <c r="E76"/>
  <c r="H76"/>
  <c r="I76"/>
  <c r="L76"/>
  <c r="M76"/>
  <c r="N76"/>
  <c r="O76"/>
  <c r="P76"/>
  <c r="Q76"/>
  <c r="R76"/>
  <c r="T76"/>
  <c r="U76"/>
  <c r="X76"/>
  <c r="Y76"/>
  <c r="AB76"/>
  <c r="AC76"/>
  <c r="AD76"/>
  <c r="AE76"/>
  <c r="AF76"/>
  <c r="AG76"/>
  <c r="AH76"/>
  <c r="AJ76"/>
  <c r="AK76"/>
  <c r="AN76"/>
  <c r="AO76"/>
  <c r="AR76"/>
  <c r="AS76"/>
  <c r="AT76"/>
  <c r="AU76"/>
  <c r="AV76"/>
  <c r="AW76"/>
  <c r="AX76"/>
  <c r="D77"/>
  <c r="E77"/>
  <c r="H77"/>
  <c r="I77"/>
  <c r="L77"/>
  <c r="M77"/>
  <c r="N77"/>
  <c r="O77"/>
  <c r="P77"/>
  <c r="Q77"/>
  <c r="R77"/>
  <c r="T77"/>
  <c r="U77"/>
  <c r="X77"/>
  <c r="Y77"/>
  <c r="AB77"/>
  <c r="AC77"/>
  <c r="AD77"/>
  <c r="AE77"/>
  <c r="AF77"/>
  <c r="AG77"/>
  <c r="AH77"/>
  <c r="AJ77"/>
  <c r="AK77"/>
  <c r="AN77"/>
  <c r="AO77"/>
  <c r="AR77"/>
  <c r="AS77"/>
  <c r="AT77"/>
  <c r="AU77"/>
  <c r="AV77"/>
  <c r="AW77"/>
  <c r="AX77"/>
  <c r="D78"/>
  <c r="E78"/>
  <c r="H78"/>
  <c r="I78"/>
  <c r="L78"/>
  <c r="M78"/>
  <c r="N78"/>
  <c r="O78"/>
  <c r="P78"/>
  <c r="Q78"/>
  <c r="R78"/>
  <c r="T78"/>
  <c r="U78"/>
  <c r="X78"/>
  <c r="Y78"/>
  <c r="AB78"/>
  <c r="AC78"/>
  <c r="AD78"/>
  <c r="AE78"/>
  <c r="AF78"/>
  <c r="AG78"/>
  <c r="AH78"/>
  <c r="AJ78"/>
  <c r="AK78"/>
  <c r="AN78"/>
  <c r="AO78"/>
  <c r="AR78"/>
  <c r="AS78"/>
  <c r="AT78"/>
  <c r="AU78"/>
  <c r="AV78"/>
  <c r="AW78"/>
  <c r="AX78"/>
  <c r="D79"/>
  <c r="E79"/>
  <c r="H79"/>
  <c r="I79"/>
  <c r="L79"/>
  <c r="M79"/>
  <c r="N79"/>
  <c r="O79"/>
  <c r="P79"/>
  <c r="Q79"/>
  <c r="R79"/>
  <c r="T79"/>
  <c r="U79"/>
  <c r="X79"/>
  <c r="Y79"/>
  <c r="AB79"/>
  <c r="AC79"/>
  <c r="AD79"/>
  <c r="AE79"/>
  <c r="AF79"/>
  <c r="AG79"/>
  <c r="AH79"/>
  <c r="AJ79"/>
  <c r="AK79"/>
  <c r="AN79"/>
  <c r="AO79"/>
  <c r="AR79"/>
  <c r="AS79"/>
  <c r="AT79"/>
  <c r="AU79"/>
  <c r="AV79"/>
  <c r="AW79"/>
  <c r="AX79"/>
  <c r="D80"/>
  <c r="E80"/>
  <c r="H80"/>
  <c r="I80"/>
  <c r="L80"/>
  <c r="M80"/>
  <c r="N80"/>
  <c r="O80"/>
  <c r="P80"/>
  <c r="Q80"/>
  <c r="R80"/>
  <c r="T80"/>
  <c r="U80"/>
  <c r="X80"/>
  <c r="Y80"/>
  <c r="AB80"/>
  <c r="AC80"/>
  <c r="AD80"/>
  <c r="AE80"/>
  <c r="AF80"/>
  <c r="AG80"/>
  <c r="AH80"/>
  <c r="AJ80"/>
  <c r="AK80"/>
  <c r="AN80"/>
  <c r="AO80"/>
  <c r="AR80"/>
  <c r="AS80"/>
  <c r="AT80"/>
  <c r="AU80"/>
  <c r="AV80"/>
  <c r="AW80"/>
  <c r="AX80"/>
  <c r="D81"/>
  <c r="E81"/>
  <c r="H81"/>
  <c r="I81"/>
  <c r="L81"/>
  <c r="M81"/>
  <c r="N81"/>
  <c r="O81"/>
  <c r="P81"/>
  <c r="Q81"/>
  <c r="R81"/>
  <c r="T81"/>
  <c r="U81"/>
  <c r="X81"/>
  <c r="Y81"/>
  <c r="AB81"/>
  <c r="AC81"/>
  <c r="AD81"/>
  <c r="AE81"/>
  <c r="AF81"/>
  <c r="AG81"/>
  <c r="AH81"/>
  <c r="AJ81"/>
  <c r="AK81"/>
  <c r="AN81"/>
  <c r="AO81"/>
  <c r="AR81"/>
  <c r="AS81"/>
  <c r="AT81"/>
  <c r="AU81"/>
  <c r="AV81"/>
  <c r="AW81"/>
  <c r="AX81"/>
  <c r="D82"/>
  <c r="E82"/>
  <c r="H82"/>
  <c r="I82"/>
  <c r="L82"/>
  <c r="M82"/>
  <c r="N82"/>
  <c r="O82"/>
  <c r="P82"/>
  <c r="Q82"/>
  <c r="R82"/>
  <c r="T82"/>
  <c r="U82"/>
  <c r="X82"/>
  <c r="Y82"/>
  <c r="AB82"/>
  <c r="AC82"/>
  <c r="AD82"/>
  <c r="AE82"/>
  <c r="AF82"/>
  <c r="AG82"/>
  <c r="AH82"/>
  <c r="AJ82"/>
  <c r="AK82"/>
  <c r="AN82"/>
  <c r="AO82"/>
  <c r="AR82"/>
  <c r="AS82"/>
  <c r="AT82"/>
  <c r="AU82"/>
  <c r="AV82"/>
  <c r="AW82"/>
  <c r="AX82"/>
  <c r="D83"/>
  <c r="E83"/>
  <c r="H83"/>
  <c r="I83"/>
  <c r="L83"/>
  <c r="M83"/>
  <c r="N83"/>
  <c r="O83"/>
  <c r="P83"/>
  <c r="Q83"/>
  <c r="R83"/>
  <c r="T83"/>
  <c r="U83"/>
  <c r="X83"/>
  <c r="Y83"/>
  <c r="AB83"/>
  <c r="AC83"/>
  <c r="AD83"/>
  <c r="AE83"/>
  <c r="AF83"/>
  <c r="AG83"/>
  <c r="AH83"/>
  <c r="AJ83"/>
  <c r="AK83"/>
  <c r="AN83"/>
  <c r="AO83"/>
  <c r="AR83"/>
  <c r="AS83"/>
  <c r="AT83"/>
  <c r="AU83"/>
  <c r="AV83"/>
  <c r="AW83"/>
  <c r="AX83"/>
  <c r="D84"/>
  <c r="E84"/>
  <c r="H84"/>
  <c r="I84"/>
  <c r="L84"/>
  <c r="M84"/>
  <c r="N84"/>
  <c r="O84"/>
  <c r="P84"/>
  <c r="Q84"/>
  <c r="R84"/>
  <c r="T84"/>
  <c r="U84"/>
  <c r="X84"/>
  <c r="Y84"/>
  <c r="AB84"/>
  <c r="AC84"/>
  <c r="AD84"/>
  <c r="AE84"/>
  <c r="AF84"/>
  <c r="AG84"/>
  <c r="AH84"/>
  <c r="AJ84"/>
  <c r="AK84"/>
  <c r="AN84"/>
  <c r="AO84"/>
  <c r="AR84"/>
  <c r="AS84"/>
  <c r="AT84"/>
  <c r="AU84"/>
  <c r="AV84"/>
  <c r="AW84"/>
  <c r="AX84"/>
  <c r="D85"/>
  <c r="E85"/>
  <c r="H85"/>
  <c r="I85"/>
  <c r="L85"/>
  <c r="M85"/>
  <c r="N85"/>
  <c r="O85"/>
  <c r="P85"/>
  <c r="Q85"/>
  <c r="R85"/>
  <c r="T85"/>
  <c r="U85"/>
  <c r="X85"/>
  <c r="Y85"/>
  <c r="AB85"/>
  <c r="AC85"/>
  <c r="AD85"/>
  <c r="AE85"/>
  <c r="AF85"/>
  <c r="AG85"/>
  <c r="AH85"/>
  <c r="AJ85"/>
  <c r="AK85"/>
  <c r="AN85"/>
  <c r="AO85"/>
  <c r="AR85"/>
  <c r="AS85"/>
  <c r="AT85"/>
  <c r="AU85"/>
  <c r="AV85"/>
  <c r="AW85"/>
  <c r="AX85"/>
  <c r="D86"/>
  <c r="E86"/>
  <c r="H86"/>
  <c r="I86"/>
  <c r="L86"/>
  <c r="M86"/>
  <c r="N86"/>
  <c r="O86"/>
  <c r="P86"/>
  <c r="Q86"/>
  <c r="R86"/>
  <c r="T86"/>
  <c r="U86"/>
  <c r="X86"/>
  <c r="Y86"/>
  <c r="AB86"/>
  <c r="AC86"/>
  <c r="AD86"/>
  <c r="AE86"/>
  <c r="AF86"/>
  <c r="AG86"/>
  <c r="AH86"/>
  <c r="AJ86"/>
  <c r="AK86"/>
  <c r="AN86"/>
  <c r="AO86"/>
  <c r="AR86"/>
  <c r="AS86"/>
  <c r="AT86"/>
  <c r="AU86"/>
  <c r="AV86"/>
  <c r="AW86"/>
  <c r="AX86"/>
  <c r="D87"/>
  <c r="E87"/>
  <c r="H87"/>
  <c r="I87"/>
  <c r="L87"/>
  <c r="M87"/>
  <c r="N87"/>
  <c r="O87"/>
  <c r="P87"/>
  <c r="Q87"/>
  <c r="R87"/>
  <c r="T87"/>
  <c r="U87"/>
  <c r="X87"/>
  <c r="Y87"/>
  <c r="AB87"/>
  <c r="AC87"/>
  <c r="AD87"/>
  <c r="AE87"/>
  <c r="AF87"/>
  <c r="AG87"/>
  <c r="AH87"/>
  <c r="AJ87"/>
  <c r="AK87"/>
  <c r="AN87"/>
  <c r="AO87"/>
  <c r="AR87"/>
  <c r="AS87"/>
  <c r="AT87"/>
  <c r="AU87"/>
  <c r="AV87"/>
  <c r="AW87"/>
  <c r="AX87"/>
  <c r="D88"/>
  <c r="E88"/>
  <c r="H88"/>
  <c r="I88"/>
  <c r="L88"/>
  <c r="M88"/>
  <c r="N88"/>
  <c r="O88"/>
  <c r="P88"/>
  <c r="Q88"/>
  <c r="R88"/>
  <c r="T88"/>
  <c r="U88"/>
  <c r="X88"/>
  <c r="Y88"/>
  <c r="AB88"/>
  <c r="AC88"/>
  <c r="AD88"/>
  <c r="AE88"/>
  <c r="AF88"/>
  <c r="AG88"/>
  <c r="AH88"/>
  <c r="AJ88"/>
  <c r="AK88"/>
  <c r="AN88"/>
  <c r="AO88"/>
  <c r="AR88"/>
  <c r="AS88"/>
  <c r="AT88"/>
  <c r="AU88"/>
  <c r="AV88"/>
  <c r="AW88"/>
  <c r="AX88"/>
  <c r="D89"/>
  <c r="E89"/>
  <c r="H89"/>
  <c r="I89"/>
  <c r="L89"/>
  <c r="M89"/>
  <c r="N89"/>
  <c r="O89"/>
  <c r="P89"/>
  <c r="Q89"/>
  <c r="R89"/>
  <c r="T89"/>
  <c r="U89"/>
  <c r="X89"/>
  <c r="Y89"/>
  <c r="AB89"/>
  <c r="AC89"/>
  <c r="AD89"/>
  <c r="AE89"/>
  <c r="AF89"/>
  <c r="AG89"/>
  <c r="AH89"/>
  <c r="AJ89"/>
  <c r="AK89"/>
  <c r="AN89"/>
  <c r="AO89"/>
  <c r="AR89"/>
  <c r="AS89"/>
  <c r="AT89"/>
  <c r="AU89"/>
  <c r="AV89"/>
  <c r="AW89"/>
  <c r="AX89"/>
  <c r="C4" i="12"/>
  <c r="D4"/>
  <c r="G4"/>
  <c r="H4"/>
  <c r="K4"/>
  <c r="L4"/>
  <c r="N4"/>
  <c r="O4"/>
  <c r="P4"/>
  <c r="Q4"/>
  <c r="R4"/>
  <c r="S4"/>
  <c r="T4"/>
  <c r="U4"/>
  <c r="W4"/>
  <c r="X4"/>
  <c r="AA4"/>
  <c r="AB4"/>
  <c r="AE4"/>
  <c r="AF4"/>
  <c r="AH4"/>
  <c r="AI4"/>
  <c r="AJ4"/>
  <c r="AK4"/>
  <c r="AL4"/>
  <c r="AM4"/>
  <c r="AN4"/>
  <c r="AO4"/>
  <c r="AQ4"/>
  <c r="AR4"/>
  <c r="AU4"/>
  <c r="AV4"/>
  <c r="AY4"/>
  <c r="AZ4"/>
  <c r="BB4"/>
  <c r="BC4"/>
  <c r="BD4"/>
  <c r="BE4"/>
  <c r="BF4"/>
  <c r="BG4"/>
  <c r="BH4"/>
  <c r="BI4"/>
  <c r="C5"/>
  <c r="D5"/>
  <c r="G5"/>
  <c r="H5"/>
  <c r="K5"/>
  <c r="L5"/>
  <c r="N5"/>
  <c r="O5"/>
  <c r="P5"/>
  <c r="Q5"/>
  <c r="R5"/>
  <c r="S5"/>
  <c r="T5"/>
  <c r="U5"/>
  <c r="W5"/>
  <c r="X5"/>
  <c r="AA5"/>
  <c r="AB5"/>
  <c r="AE5"/>
  <c r="AF5"/>
  <c r="AH5"/>
  <c r="AI5"/>
  <c r="AJ5"/>
  <c r="AK5"/>
  <c r="AL5"/>
  <c r="AM5"/>
  <c r="AN5"/>
  <c r="AO5"/>
  <c r="AQ5"/>
  <c r="AR5"/>
  <c r="AU5"/>
  <c r="AV5"/>
  <c r="AY5"/>
  <c r="AZ5"/>
  <c r="BB5"/>
  <c r="BC5"/>
  <c r="BD5"/>
  <c r="BE5"/>
  <c r="BF5"/>
  <c r="BG5"/>
  <c r="BH5"/>
  <c r="BI5"/>
  <c r="C6"/>
  <c r="D6"/>
  <c r="G6"/>
  <c r="H6"/>
  <c r="K6"/>
  <c r="L6"/>
  <c r="N6"/>
  <c r="O6"/>
  <c r="P6"/>
  <c r="Q6"/>
  <c r="R6"/>
  <c r="S6"/>
  <c r="T6"/>
  <c r="U6"/>
  <c r="W6"/>
  <c r="X6"/>
  <c r="AA6"/>
  <c r="AB6"/>
  <c r="AE6"/>
  <c r="AF6"/>
  <c r="AH6"/>
  <c r="AI6"/>
  <c r="AJ6"/>
  <c r="AK6"/>
  <c r="AL6"/>
  <c r="AM6"/>
  <c r="AN6"/>
  <c r="AO6"/>
  <c r="AQ6"/>
  <c r="AR6"/>
  <c r="AU6"/>
  <c r="AV6"/>
  <c r="AY6"/>
  <c r="AZ6"/>
  <c r="BB6"/>
  <c r="BC6"/>
  <c r="BD6"/>
  <c r="BE6"/>
  <c r="BF6"/>
  <c r="BG6"/>
  <c r="BH6"/>
  <c r="BI6"/>
  <c r="C7"/>
  <c r="D7"/>
  <c r="G7"/>
  <c r="H7"/>
  <c r="K7"/>
  <c r="L7"/>
  <c r="N7"/>
  <c r="O7"/>
  <c r="P7"/>
  <c r="Q7"/>
  <c r="R7"/>
  <c r="S7"/>
  <c r="T7"/>
  <c r="U7"/>
  <c r="W7"/>
  <c r="X7"/>
  <c r="AA7"/>
  <c r="AB7"/>
  <c r="AE7"/>
  <c r="AF7"/>
  <c r="AH7"/>
  <c r="AI7"/>
  <c r="AJ7"/>
  <c r="AK7"/>
  <c r="AL7"/>
  <c r="AM7"/>
  <c r="AN7"/>
  <c r="AO7"/>
  <c r="AQ7"/>
  <c r="AR7"/>
  <c r="AU7"/>
  <c r="AV7"/>
  <c r="AY7"/>
  <c r="AZ7"/>
  <c r="BB7"/>
  <c r="BC7"/>
  <c r="BD7"/>
  <c r="BE7"/>
  <c r="BF7"/>
  <c r="BG7"/>
  <c r="BH7"/>
  <c r="BI7"/>
  <c r="C8"/>
  <c r="D8"/>
  <c r="G8"/>
  <c r="H8"/>
  <c r="K8"/>
  <c r="L8"/>
  <c r="N8"/>
  <c r="O8"/>
  <c r="P8"/>
  <c r="Q8"/>
  <c r="R8"/>
  <c r="S8"/>
  <c r="T8"/>
  <c r="U8"/>
  <c r="W8"/>
  <c r="X8"/>
  <c r="AA8"/>
  <c r="AB8"/>
  <c r="AE8"/>
  <c r="AF8"/>
  <c r="AH8"/>
  <c r="AI8"/>
  <c r="AJ8"/>
  <c r="AK8"/>
  <c r="AL8"/>
  <c r="AM8"/>
  <c r="AN8"/>
  <c r="AO8"/>
  <c r="AQ8"/>
  <c r="AR8"/>
  <c r="AU8"/>
  <c r="AV8"/>
  <c r="AY8"/>
  <c r="AZ8"/>
  <c r="BB8"/>
  <c r="BC8"/>
  <c r="BD8"/>
  <c r="BE8"/>
  <c r="BF8"/>
  <c r="BG8"/>
  <c r="BH8"/>
  <c r="BI8"/>
  <c r="C9"/>
  <c r="D9"/>
  <c r="G9"/>
  <c r="H9"/>
  <c r="K9"/>
  <c r="L9"/>
  <c r="N9"/>
  <c r="O9"/>
  <c r="P9"/>
  <c r="Q9"/>
  <c r="R9"/>
  <c r="S9"/>
  <c r="T9"/>
  <c r="U9"/>
  <c r="W9"/>
  <c r="X9"/>
  <c r="AA9"/>
  <c r="AB9"/>
  <c r="AE9"/>
  <c r="AF9"/>
  <c r="AH9"/>
  <c r="AI9"/>
  <c r="AJ9"/>
  <c r="AK9"/>
  <c r="AL9"/>
  <c r="AM9"/>
  <c r="AN9"/>
  <c r="AO9"/>
  <c r="AQ9"/>
  <c r="AR9"/>
  <c r="AU9"/>
  <c r="AV9"/>
  <c r="AY9"/>
  <c r="AZ9"/>
  <c r="BB9"/>
  <c r="BC9"/>
  <c r="BD9"/>
  <c r="BE9"/>
  <c r="BF9"/>
  <c r="BG9"/>
  <c r="BH9"/>
  <c r="BI9"/>
  <c r="C10"/>
  <c r="D10"/>
  <c r="G10"/>
  <c r="H10"/>
  <c r="K10"/>
  <c r="L10"/>
  <c r="N10"/>
  <c r="O10"/>
  <c r="P10"/>
  <c r="Q10"/>
  <c r="R10"/>
  <c r="S10"/>
  <c r="T10"/>
  <c r="U10"/>
  <c r="W10"/>
  <c r="X10"/>
  <c r="AA10"/>
  <c r="AB10"/>
  <c r="AE10"/>
  <c r="AF10"/>
  <c r="AH10"/>
  <c r="AI10"/>
  <c r="AJ10"/>
  <c r="AK10"/>
  <c r="AL10"/>
  <c r="AM10"/>
  <c r="AN10"/>
  <c r="AO10"/>
  <c r="AQ10"/>
  <c r="AR10"/>
  <c r="AU10"/>
  <c r="AV10"/>
  <c r="AY10"/>
  <c r="AZ10"/>
  <c r="BB10"/>
  <c r="BC10"/>
  <c r="BD10"/>
  <c r="BE10"/>
  <c r="BF10"/>
  <c r="BG10"/>
  <c r="BH10"/>
  <c r="BI10"/>
  <c r="C11"/>
  <c r="D11"/>
  <c r="G11"/>
  <c r="H11"/>
  <c r="K11"/>
  <c r="L11"/>
  <c r="N11"/>
  <c r="O11"/>
  <c r="P11"/>
  <c r="Q11"/>
  <c r="R11"/>
  <c r="S11"/>
  <c r="T11"/>
  <c r="U11"/>
  <c r="W11"/>
  <c r="X11"/>
  <c r="AA11"/>
  <c r="AB11"/>
  <c r="AE11"/>
  <c r="AF11"/>
  <c r="AH11"/>
  <c r="AI11"/>
  <c r="AJ11"/>
  <c r="AK11"/>
  <c r="AL11"/>
  <c r="AM11"/>
  <c r="AN11"/>
  <c r="AO11"/>
  <c r="AQ11"/>
  <c r="AR11"/>
  <c r="AU11"/>
  <c r="AV11"/>
  <c r="AY11"/>
  <c r="AZ11"/>
  <c r="BB11"/>
  <c r="BC11"/>
  <c r="BD11"/>
  <c r="BE11"/>
  <c r="BF11"/>
  <c r="BG11"/>
  <c r="BH11"/>
  <c r="BI11"/>
  <c r="C14"/>
  <c r="D14"/>
  <c r="G14"/>
  <c r="H14"/>
  <c r="K14"/>
  <c r="L14"/>
  <c r="N14"/>
  <c r="O14"/>
  <c r="P14"/>
  <c r="Q14"/>
  <c r="R14"/>
  <c r="S14"/>
  <c r="T14"/>
  <c r="U14"/>
  <c r="W14"/>
  <c r="X14"/>
  <c r="AA14"/>
  <c r="AB14"/>
  <c r="AE14"/>
  <c r="AF14"/>
  <c r="AH14"/>
  <c r="AI14"/>
  <c r="AJ14"/>
  <c r="AK14"/>
  <c r="AL14"/>
  <c r="AM14"/>
  <c r="AN14"/>
  <c r="AO14"/>
  <c r="AQ14"/>
  <c r="AR14"/>
  <c r="AU14"/>
  <c r="AV14"/>
  <c r="AY14"/>
  <c r="AZ14"/>
  <c r="BB14"/>
  <c r="BC14"/>
  <c r="BD14"/>
  <c r="BE14"/>
  <c r="BF14"/>
  <c r="BG14"/>
  <c r="BH14"/>
  <c r="BI14"/>
  <c r="C15"/>
  <c r="D15"/>
  <c r="G15"/>
  <c r="H15"/>
  <c r="K15"/>
  <c r="L15"/>
  <c r="N15"/>
  <c r="O15"/>
  <c r="P15"/>
  <c r="Q15"/>
  <c r="R15"/>
  <c r="S15"/>
  <c r="T15"/>
  <c r="U15"/>
  <c r="W15"/>
  <c r="X15"/>
  <c r="AA15"/>
  <c r="AB15"/>
  <c r="AE15"/>
  <c r="AF15"/>
  <c r="AH15"/>
  <c r="AI15"/>
  <c r="AJ15"/>
  <c r="AK15"/>
  <c r="AL15"/>
  <c r="AM15"/>
  <c r="AN15"/>
  <c r="AO15"/>
  <c r="AQ15"/>
  <c r="AR15"/>
  <c r="AU15"/>
  <c r="AV15"/>
  <c r="AY15"/>
  <c r="AZ15"/>
  <c r="BB15"/>
  <c r="BC15"/>
  <c r="BD15"/>
  <c r="BE15"/>
  <c r="BF15"/>
  <c r="BG15"/>
  <c r="BH15"/>
  <c r="BI15"/>
  <c r="C16"/>
  <c r="D16"/>
  <c r="G16"/>
  <c r="H16"/>
  <c r="K16"/>
  <c r="L16"/>
  <c r="N16"/>
  <c r="O16"/>
  <c r="P16"/>
  <c r="Q16"/>
  <c r="R16"/>
  <c r="S16"/>
  <c r="T16"/>
  <c r="U16"/>
  <c r="W16"/>
  <c r="X16"/>
  <c r="AA16"/>
  <c r="AB16"/>
  <c r="AE16"/>
  <c r="AF16"/>
  <c r="AH16"/>
  <c r="AI16"/>
  <c r="AJ16"/>
  <c r="AK16"/>
  <c r="AL16"/>
  <c r="AM16"/>
  <c r="AN16"/>
  <c r="AO16"/>
  <c r="AQ16"/>
  <c r="AR16"/>
  <c r="AU16"/>
  <c r="AV16"/>
  <c r="AY16"/>
  <c r="AZ16"/>
  <c r="BB16"/>
  <c r="BC16"/>
  <c r="BD16"/>
  <c r="BE16"/>
  <c r="BF16"/>
  <c r="BG16"/>
  <c r="BH16"/>
  <c r="BI16"/>
  <c r="C17"/>
  <c r="D17"/>
  <c r="G17"/>
  <c r="H17"/>
  <c r="K17"/>
  <c r="L17"/>
  <c r="N17"/>
  <c r="O17"/>
  <c r="P17"/>
  <c r="Q17"/>
  <c r="R17"/>
  <c r="S17"/>
  <c r="T17"/>
  <c r="U17"/>
  <c r="W17"/>
  <c r="X17"/>
  <c r="AA17"/>
  <c r="AB17"/>
  <c r="AE17"/>
  <c r="AF17"/>
  <c r="AH17"/>
  <c r="AI17"/>
  <c r="AJ17"/>
  <c r="AK17"/>
  <c r="AL17"/>
  <c r="AM17"/>
  <c r="AN17"/>
  <c r="AO17"/>
  <c r="AQ17"/>
  <c r="AR17"/>
  <c r="AU17"/>
  <c r="AV17"/>
  <c r="AY17"/>
  <c r="AZ17"/>
  <c r="BB17"/>
  <c r="BC17"/>
  <c r="BD17"/>
  <c r="BE17"/>
  <c r="BF17"/>
  <c r="BG17"/>
  <c r="BH17"/>
  <c r="BI17"/>
  <c r="C18"/>
  <c r="D18"/>
  <c r="G18"/>
  <c r="H18"/>
  <c r="K18"/>
  <c r="L18"/>
  <c r="N18"/>
  <c r="O18"/>
  <c r="P18"/>
  <c r="Q18"/>
  <c r="R18"/>
  <c r="S18"/>
  <c r="T18"/>
  <c r="U18"/>
  <c r="W18"/>
  <c r="X18"/>
  <c r="AA18"/>
  <c r="AB18"/>
  <c r="AE18"/>
  <c r="AF18"/>
  <c r="AH18"/>
  <c r="AI18"/>
  <c r="AJ18"/>
  <c r="AK18"/>
  <c r="AL18"/>
  <c r="AM18"/>
  <c r="AN18"/>
  <c r="AO18"/>
  <c r="AQ18"/>
  <c r="AR18"/>
  <c r="AU18"/>
  <c r="AV18"/>
  <c r="AY18"/>
  <c r="AZ18"/>
  <c r="BB18"/>
  <c r="BC18"/>
  <c r="BD18"/>
  <c r="BE18"/>
  <c r="BF18"/>
  <c r="BG18"/>
  <c r="BH18"/>
  <c r="BI18"/>
  <c r="C19"/>
  <c r="D19"/>
  <c r="G19"/>
  <c r="H19"/>
  <c r="K19"/>
  <c r="L19"/>
  <c r="N19"/>
  <c r="O19"/>
  <c r="P19"/>
  <c r="Q19"/>
  <c r="R19"/>
  <c r="S19"/>
  <c r="T19"/>
  <c r="U19"/>
  <c r="W19"/>
  <c r="X19"/>
  <c r="AA19"/>
  <c r="AB19"/>
  <c r="AE19"/>
  <c r="AF19"/>
  <c r="AH19"/>
  <c r="AI19"/>
  <c r="AJ19"/>
  <c r="AK19"/>
  <c r="AL19"/>
  <c r="AM19"/>
  <c r="AN19"/>
  <c r="AO19"/>
  <c r="AQ19"/>
  <c r="AR19"/>
  <c r="AU19"/>
  <c r="AV19"/>
  <c r="AY19"/>
  <c r="AZ19"/>
  <c r="BB19"/>
  <c r="BC19"/>
  <c r="BD19"/>
  <c r="BE19"/>
  <c r="BF19"/>
  <c r="BG19"/>
  <c r="BH19"/>
  <c r="BI19"/>
  <c r="C20"/>
  <c r="D20"/>
  <c r="G20"/>
  <c r="H20"/>
  <c r="K20"/>
  <c r="L20"/>
  <c r="N20"/>
  <c r="O20"/>
  <c r="P20"/>
  <c r="Q20"/>
  <c r="R20"/>
  <c r="S20"/>
  <c r="T20"/>
  <c r="U20"/>
  <c r="W20"/>
  <c r="X20"/>
  <c r="AA20"/>
  <c r="AB20"/>
  <c r="AE20"/>
  <c r="AF20"/>
  <c r="AH20"/>
  <c r="AI20"/>
  <c r="AJ20"/>
  <c r="AK20"/>
  <c r="AL20"/>
  <c r="AM20"/>
  <c r="AN20"/>
  <c r="AO20"/>
  <c r="AQ20"/>
  <c r="AR20"/>
  <c r="AU20"/>
  <c r="AV20"/>
  <c r="AY20"/>
  <c r="AZ20"/>
  <c r="BB20"/>
  <c r="BC20"/>
  <c r="BD20"/>
  <c r="BE20"/>
  <c r="BF20"/>
  <c r="BG20"/>
  <c r="BH20"/>
  <c r="BI20"/>
  <c r="C21"/>
  <c r="D21"/>
  <c r="G21"/>
  <c r="H21"/>
  <c r="K21"/>
  <c r="L21"/>
  <c r="N21"/>
  <c r="O21"/>
  <c r="P21"/>
  <c r="Q21"/>
  <c r="R21"/>
  <c r="S21"/>
  <c r="T21"/>
  <c r="U21"/>
  <c r="W21"/>
  <c r="X21"/>
  <c r="AA21"/>
  <c r="AB21"/>
  <c r="AE21"/>
  <c r="AF21"/>
  <c r="AH21"/>
  <c r="AI21"/>
  <c r="AJ21"/>
  <c r="AK21"/>
  <c r="AL21"/>
  <c r="AM21"/>
  <c r="AN21"/>
  <c r="AO21"/>
  <c r="AQ21"/>
  <c r="AR21"/>
  <c r="AU21"/>
  <c r="AV21"/>
  <c r="AY21"/>
  <c r="AZ21"/>
  <c r="BB21"/>
  <c r="BC21"/>
  <c r="BD21"/>
  <c r="BE21"/>
  <c r="BF21"/>
  <c r="BG21"/>
  <c r="BH21"/>
  <c r="BI21"/>
</calcChain>
</file>

<file path=xl/comments1.xml><?xml version="1.0" encoding="utf-8"?>
<comments xmlns="http://schemas.openxmlformats.org/spreadsheetml/2006/main">
  <authors>
    <author>cxiao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cxiao:</t>
        </r>
        <r>
          <rPr>
            <sz val="9"/>
            <color indexed="81"/>
            <rFont val="Tahoma"/>
            <family val="2"/>
          </rPr>
          <t xml:space="preserve">
For 2MHz operation, set max VIN=18V for the selected max t_minON=135ns; set max VIN=23V if t_minON=110ns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cxiao:</t>
        </r>
        <r>
          <rPr>
            <sz val="9"/>
            <color indexed="81"/>
            <rFont val="Tahoma"/>
            <family val="2"/>
          </rPr>
          <t xml:space="preserve">
Typical Vout is set to be Vload at 0A load</t>
        </r>
      </text>
    </comment>
  </commentList>
</comments>
</file>

<file path=xl/comments2.xml><?xml version="1.0" encoding="utf-8"?>
<comments xmlns="http://schemas.openxmlformats.org/spreadsheetml/2006/main">
  <authors>
    <author>cxiao</author>
  </authors>
  <commentList>
    <comment ref="F16" authorId="0">
      <text>
        <r>
          <rPr>
            <b/>
            <sz val="9"/>
            <color indexed="81"/>
            <rFont val="Tahoma"/>
            <family val="2"/>
          </rPr>
          <t>cxiao:</t>
        </r>
        <r>
          <rPr>
            <sz val="9"/>
            <color indexed="81"/>
            <rFont val="Tahoma"/>
            <family val="2"/>
          </rPr>
          <t xml:space="preserve">
calculated value at 2.2MHz</t>
        </r>
      </text>
    </comment>
  </commentList>
</comments>
</file>

<file path=xl/sharedStrings.xml><?xml version="1.0" encoding="utf-8"?>
<sst xmlns="http://schemas.openxmlformats.org/spreadsheetml/2006/main" count="829" uniqueCount="348">
  <si>
    <t>gm_power</t>
  </si>
  <si>
    <t>PARAMETER</t>
  </si>
  <si>
    <t>V</t>
  </si>
  <si>
    <t>A/V</t>
  </si>
  <si>
    <t>ns</t>
  </si>
  <si>
    <t>mA</t>
  </si>
  <si>
    <t>V/ns</t>
  </si>
  <si>
    <t>LX_slew_rise</t>
  </si>
  <si>
    <t>LX_slew_fall</t>
  </si>
  <si>
    <t>nC</t>
  </si>
  <si>
    <t>AVOL</t>
  </si>
  <si>
    <t>dB</t>
  </si>
  <si>
    <t>gm_EA</t>
  </si>
  <si>
    <t>A</t>
  </si>
  <si>
    <t>Rz</t>
  </si>
  <si>
    <t>Cp</t>
  </si>
  <si>
    <t>MHz</t>
  </si>
  <si>
    <t>nF</t>
  </si>
  <si>
    <t>pF</t>
  </si>
  <si>
    <t>KHz</t>
  </si>
  <si>
    <t>mV</t>
  </si>
  <si>
    <t>VFB</t>
  </si>
  <si>
    <t>‒</t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</si>
  <si>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C/W</t>
    </r>
  </si>
  <si>
    <t>%</t>
  </si>
  <si>
    <t>VFB tol</t>
  </si>
  <si>
    <t>Co_ESR</t>
  </si>
  <si>
    <t>Co_ESL</t>
  </si>
  <si>
    <t>nH</t>
  </si>
  <si>
    <t>VALUE</t>
  </si>
  <si>
    <t>COMPONENT</t>
  </si>
  <si>
    <t>MIN</t>
  </si>
  <si>
    <t>TYP</t>
  </si>
  <si>
    <t>MAX</t>
  </si>
  <si>
    <t>UNITS</t>
  </si>
  <si>
    <t>UVLO Hysteresis</t>
  </si>
  <si>
    <t>COMMENTS</t>
  </si>
  <si>
    <t>ms</t>
  </si>
  <si>
    <t>SS_I_source</t>
  </si>
  <si>
    <t>Fsw_tol</t>
  </si>
  <si>
    <t xml:space="preserve">Fsw = </t>
  </si>
  <si>
    <t>Fsw_max</t>
  </si>
  <si>
    <t>Cin_min</t>
  </si>
  <si>
    <t>fc =</t>
  </si>
  <si>
    <t>Input capacitance RMS current requirement</t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</si>
  <si>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ILo, target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</si>
  <si>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ILo_max</t>
    </r>
  </si>
  <si>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ILo_typ</t>
    </r>
  </si>
  <si>
    <t>Calculated values</t>
  </si>
  <si>
    <t>Used to calculate Lo at typical Vin, Vout</t>
  </si>
  <si>
    <t>Vout, target</t>
  </si>
  <si>
    <t>RFB1_calc</t>
  </si>
  <si>
    <t>RFB2_calc</t>
  </si>
  <si>
    <t xml:space="preserve">RFB1 = </t>
  </si>
  <si>
    <t>RFB2 =</t>
  </si>
  <si>
    <t>Data sheet values</t>
  </si>
  <si>
    <t>Design supplied value</t>
  </si>
  <si>
    <t>Data sheet value</t>
  </si>
  <si>
    <t>C_SS_min</t>
  </si>
  <si>
    <t>Output inductor tolerances</t>
  </si>
  <si>
    <t>t_ss_typ</t>
  </si>
  <si>
    <t>SS_delay_typ</t>
  </si>
  <si>
    <t>Typical soft-start ramp time using actual C_SS</t>
  </si>
  <si>
    <t xml:space="preserve">C_SS = </t>
  </si>
  <si>
    <t>Recommended minimum soft-start capacitor</t>
  </si>
  <si>
    <r>
      <t>K</t>
    </r>
    <r>
      <rPr>
        <sz val="11"/>
        <color indexed="8"/>
        <rFont val="Calibri"/>
        <family val="2"/>
      </rPr>
      <t>Ω</t>
    </r>
  </si>
  <si>
    <t>Approximate soft start time (Vout ramp)</t>
  </si>
  <si>
    <r>
      <t>A</t>
    </r>
    <r>
      <rPr>
        <vertAlign val="subscript"/>
        <sz val="11"/>
        <color indexed="8"/>
        <rFont val="Calibri"/>
        <family val="2"/>
      </rPr>
      <t>DC</t>
    </r>
  </si>
  <si>
    <r>
      <t>A</t>
    </r>
    <r>
      <rPr>
        <vertAlign val="subscript"/>
        <sz val="11"/>
        <color indexed="8"/>
        <rFont val="Calibri"/>
        <family val="2"/>
      </rPr>
      <t>PP</t>
    </r>
  </si>
  <si>
    <r>
      <t>A</t>
    </r>
    <r>
      <rPr>
        <vertAlign val="subscript"/>
        <sz val="11"/>
        <color indexed="8"/>
        <rFont val="Calibri"/>
        <family val="2"/>
      </rPr>
      <t>PEAK</t>
    </r>
  </si>
  <si>
    <t>SS time, target</t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</si>
  <si>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</si>
  <si>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F</t>
    </r>
  </si>
  <si>
    <r>
      <t>A</t>
    </r>
    <r>
      <rPr>
        <vertAlign val="subscript"/>
        <sz val="11"/>
        <color indexed="8"/>
        <rFont val="Calibri"/>
        <family val="2"/>
      </rPr>
      <t>RMS</t>
    </r>
  </si>
  <si>
    <r>
      <t>Iout</t>
    </r>
    <r>
      <rPr>
        <b/>
        <vertAlign val="subscript"/>
        <sz val="11"/>
        <color indexed="8"/>
        <rFont val="Calibri"/>
        <family val="2"/>
      </rPr>
      <t>MAX</t>
    </r>
  </si>
  <si>
    <r>
      <t>% of Iout</t>
    </r>
    <r>
      <rPr>
        <vertAlign val="subscript"/>
        <sz val="11"/>
        <color indexed="8"/>
        <rFont val="Calibri"/>
        <family val="2"/>
      </rPr>
      <t>MAX</t>
    </r>
  </si>
  <si>
    <r>
      <t>fc</t>
    </r>
    <r>
      <rPr>
        <b/>
        <vertAlign val="subscript"/>
        <sz val="11"/>
        <color indexed="8"/>
        <rFont val="Calibri"/>
        <family val="2"/>
      </rPr>
      <t>MAX</t>
    </r>
  </si>
  <si>
    <t>RFB combo</t>
  </si>
  <si>
    <t>Recommended minimum input capacitance including DC bias</t>
  </si>
  <si>
    <r>
      <t>Typical delay from EN</t>
    </r>
    <r>
      <rPr>
        <sz val="11"/>
        <color indexed="8"/>
        <rFont val="Calibri"/>
        <family val="2"/>
      </rPr>
      <t>↑</t>
    </r>
    <r>
      <rPr>
        <sz val="11"/>
        <color theme="1"/>
        <rFont val="Calibri"/>
        <family val="2"/>
        <scheme val="minor"/>
      </rPr>
      <t xml:space="preserve"> to when LX begins switching and Vout rises</t>
    </r>
  </si>
  <si>
    <t>Ω</t>
  </si>
  <si>
    <r>
      <t>f</t>
    </r>
    <r>
      <rPr>
        <b/>
        <vertAlign val="subscript"/>
        <sz val="11"/>
        <color indexed="8"/>
        <rFont val="Calibri"/>
        <family val="2"/>
      </rPr>
      <t>P1</t>
    </r>
  </si>
  <si>
    <r>
      <t>f</t>
    </r>
    <r>
      <rPr>
        <b/>
        <vertAlign val="subscript"/>
        <sz val="11"/>
        <color indexed="8"/>
        <rFont val="Calibri"/>
        <family val="2"/>
      </rPr>
      <t>Z1</t>
    </r>
  </si>
  <si>
    <t>Ro_EA</t>
  </si>
  <si>
    <r>
      <t>M</t>
    </r>
    <r>
      <rPr>
        <sz val="11"/>
        <color indexed="8"/>
        <rFont val="Calibri"/>
        <family val="2"/>
      </rPr>
      <t>Ω</t>
    </r>
  </si>
  <si>
    <t xml:space="preserve">Rz = </t>
  </si>
  <si>
    <t>Use the closest available 1% standard resister value</t>
  </si>
  <si>
    <r>
      <t>R_LOAD</t>
    </r>
    <r>
      <rPr>
        <b/>
        <vertAlign val="subscript"/>
        <sz val="11"/>
        <color indexed="8"/>
        <rFont val="Calibri"/>
        <family val="2"/>
      </rPr>
      <t>TYP</t>
    </r>
  </si>
  <si>
    <t>Zero formed by the output capacitance and its ESR</t>
  </si>
  <si>
    <t>Recommended FB resister from Vout to VFB</t>
  </si>
  <si>
    <t>Recommended FB resister from VFB to GND</t>
  </si>
  <si>
    <t>Desired maximum output current</t>
  </si>
  <si>
    <t>Choose a standard resister value, or combination of values</t>
  </si>
  <si>
    <t>Iout</t>
  </si>
  <si>
    <t>Pin</t>
  </si>
  <si>
    <t>Chosen value, total R seen by the FB pin</t>
  </si>
  <si>
    <r>
      <t>m</t>
    </r>
    <r>
      <rPr>
        <sz val="11"/>
        <color indexed="8"/>
        <rFont val="Calibri"/>
        <family val="2"/>
      </rPr>
      <t>Ω</t>
    </r>
  </si>
  <si>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</si>
  <si>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t>T</t>
    </r>
    <r>
      <rPr>
        <b/>
        <vertAlign val="subscript"/>
        <sz val="11"/>
        <color indexed="8"/>
        <rFont val="Calibri"/>
        <family val="2"/>
      </rPr>
      <t>AMB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</si>
  <si>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MAX</t>
    </r>
  </si>
  <si>
    <r>
      <t>Data sheet value, strongly affects Fsw at Vin</t>
    </r>
    <r>
      <rPr>
        <vertAlign val="subscript"/>
        <sz val="11"/>
        <color indexed="8"/>
        <rFont val="Calibri"/>
        <family val="2"/>
      </rPr>
      <t>MIN</t>
    </r>
  </si>
  <si>
    <r>
      <t>t_on</t>
    </r>
    <r>
      <rPr>
        <b/>
        <vertAlign val="subscript"/>
        <sz val="11"/>
        <color indexed="8"/>
        <rFont val="Calibri"/>
        <family val="2"/>
      </rPr>
      <t>MIN</t>
    </r>
  </si>
  <si>
    <r>
      <t>t_off</t>
    </r>
    <r>
      <rPr>
        <b/>
        <vertAlign val="subscript"/>
        <sz val="11"/>
        <color indexed="8"/>
        <rFont val="Calibri"/>
        <family val="2"/>
      </rPr>
      <t>MIN</t>
    </r>
  </si>
  <si>
    <t>Vin</t>
  </si>
  <si>
    <t>TCR of RDSon</t>
  </si>
  <si>
    <r>
      <t xml:space="preserve">% / </t>
    </r>
    <r>
      <rPr>
        <sz val="11"/>
        <color indexed="8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</si>
  <si>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A/V</t>
    </r>
  </si>
  <si>
    <r>
      <rPr>
        <sz val="11"/>
        <color indexed="8"/>
        <rFont val="Calibri"/>
        <family val="2"/>
      </rPr>
      <t>µ</t>
    </r>
    <r>
      <rPr>
        <sz val="11"/>
        <color theme="1"/>
        <rFont val="Calibri"/>
        <family val="2"/>
        <scheme val="minor"/>
      </rPr>
      <t>A</t>
    </r>
  </si>
  <si>
    <t>Vo</t>
  </si>
  <si>
    <t>Capacitors</t>
  </si>
  <si>
    <t>Co_tol</t>
  </si>
  <si>
    <r>
      <t>m</t>
    </r>
    <r>
      <rPr>
        <sz val="11"/>
        <color theme="1"/>
        <rFont val="Calibri"/>
        <family val="2"/>
      </rPr>
      <t>Ω</t>
    </r>
  </si>
  <si>
    <t>µF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</si>
  <si>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</si>
  <si>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</t>
    </r>
  </si>
  <si>
    <t>Based on Kemet data + solder/tracks/vias</t>
  </si>
  <si>
    <t>Based on Murata data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</si>
  <si>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</t>
    </r>
  </si>
  <si>
    <t>Co_num_actual =</t>
  </si>
  <si>
    <t>1x 10uF with DC bias</t>
  </si>
  <si>
    <t>DC bias coefficient</t>
  </si>
  <si>
    <t>Co_tot_min</t>
  </si>
  <si>
    <t>Output Capacitor Characterization:  10uF, 10%, 16V, X7R, 1206</t>
  </si>
  <si>
    <t>Voltage where transient data was obtained</t>
  </si>
  <si>
    <t>Worst case initial tolerance</t>
  </si>
  <si>
    <r>
      <t>f</t>
    </r>
    <r>
      <rPr>
        <b/>
        <vertAlign val="subscript"/>
        <sz val="11"/>
        <color theme="1"/>
        <rFont val="Calibri"/>
        <family val="2"/>
        <scheme val="minor"/>
      </rPr>
      <t>SW</t>
    </r>
  </si>
  <si>
    <t>Switching frequency used during measurement</t>
  </si>
  <si>
    <r>
      <t>mV</t>
    </r>
    <r>
      <rPr>
        <vertAlign val="subscript"/>
        <sz val="11"/>
        <color theme="1"/>
        <rFont val="Calibri"/>
        <family val="2"/>
        <scheme val="minor"/>
      </rPr>
      <t>PP</t>
    </r>
  </si>
  <si>
    <t>Estimated typical output voltage ripple</t>
  </si>
  <si>
    <t>pieces</t>
  </si>
  <si>
    <t>VARIABLES</t>
  </si>
  <si>
    <t>Lo_tolerance</t>
  </si>
  <si>
    <t>RFB2_tolerance</t>
  </si>
  <si>
    <t>RFB1_tolerance</t>
  </si>
  <si>
    <t xml:space="preserve"> Switching Frequency Determination:</t>
  </si>
  <si>
    <t xml:space="preserve"> Output Capacitor and Output Voltage Ripple:</t>
  </si>
  <si>
    <t xml:space="preserve"> Input Capacitor Requirements:</t>
  </si>
  <si>
    <t xml:space="preserve"> Soft Start Capacitor and Timing:</t>
  </si>
  <si>
    <t xml:space="preserve"> Compensation Components:</t>
  </si>
  <si>
    <t>Co_num_est</t>
  </si>
  <si>
    <t xml:space="preserve"> Output Inductor Calculations:</t>
  </si>
  <si>
    <t>Worst case maximum inductor ripple current</t>
  </si>
  <si>
    <r>
      <t>RTH</t>
    </r>
    <r>
      <rPr>
        <b/>
        <vertAlign val="subscript"/>
        <sz val="11"/>
        <color theme="1"/>
        <rFont val="Calibri"/>
        <family val="2"/>
        <scheme val="minor"/>
      </rPr>
      <t>JA</t>
    </r>
  </si>
  <si>
    <t>ILIM slope</t>
  </si>
  <si>
    <t>ILIM offset</t>
  </si>
  <si>
    <t>A / %</t>
  </si>
  <si>
    <r>
      <t xml:space="preserve">Choose C_SS considering </t>
    </r>
    <r>
      <rPr>
        <sz val="11"/>
        <color indexed="8"/>
        <rFont val="Calibri"/>
        <family val="2"/>
      </rPr>
      <t>C_SS_min</t>
    </r>
    <r>
      <rPr>
        <sz val="11"/>
        <color theme="1"/>
        <rFont val="Calibri"/>
        <family val="2"/>
        <scheme val="minor"/>
      </rPr>
      <t>, use next higher standard value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</si>
  <si>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3</t>
    </r>
  </si>
  <si>
    <r>
      <t>Curve fit, coefficient of V</t>
    </r>
    <r>
      <rPr>
        <vertAlign val="superscript"/>
        <sz val="11"/>
        <color theme="1"/>
        <rFont val="Calibri"/>
        <family val="2"/>
        <scheme val="minor"/>
      </rPr>
      <t>2</t>
    </r>
  </si>
  <si>
    <t>Curve fit, coefficient of V</t>
  </si>
  <si>
    <t>Measured transient step current</t>
  </si>
  <si>
    <t>Includes worst case IC &amp; component variations vs. temperature</t>
  </si>
  <si>
    <r>
      <t>Vout</t>
    </r>
    <r>
      <rPr>
        <sz val="11"/>
        <color theme="1"/>
        <rFont val="Calibri"/>
        <family val="2"/>
        <scheme val="minor"/>
      </rPr>
      <t xml:space="preserve">  (min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</rPr>
      <t>|</t>
    </r>
    <r>
      <rPr>
        <sz val="11"/>
        <color theme="1"/>
        <rFont val="Calibri"/>
        <family val="2"/>
        <scheme val="minor"/>
      </rPr>
      <t>max)</t>
    </r>
  </si>
  <si>
    <r>
      <t>1% initial tolerance + 100ppm @ 60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 rise</t>
    </r>
  </si>
  <si>
    <t>UVLO Multiplier</t>
  </si>
  <si>
    <t>Chosen value, allows for margin</t>
  </si>
  <si>
    <r>
      <t>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</si>
  <si>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Maximum current for this design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</si>
  <si>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Io/Io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</si>
  <si>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INSTRUCTIONS:   Enter design goals and component values in the white boxes.</t>
  </si>
  <si>
    <t>Transient current =</t>
  </si>
  <si>
    <t>Measured step current as a percent of full load</t>
  </si>
  <si>
    <t>Capacitors used during this measurement</t>
  </si>
  <si>
    <t>Maximum steady-state ambient temperature</t>
  </si>
  <si>
    <t>V  |  µF</t>
  </si>
  <si>
    <r>
      <t>µF/V</t>
    </r>
    <r>
      <rPr>
        <vertAlign val="superscript"/>
        <sz val="11"/>
        <color theme="1"/>
        <rFont val="Calibri"/>
        <family val="2"/>
      </rPr>
      <t>3</t>
    </r>
  </si>
  <si>
    <t>µF/V</t>
  </si>
  <si>
    <r>
      <t>µF/V</t>
    </r>
    <r>
      <rPr>
        <vertAlign val="superscript"/>
        <sz val="11"/>
        <color theme="1"/>
        <rFont val="Calibri"/>
        <family val="2"/>
      </rPr>
      <t>2</t>
    </r>
  </si>
  <si>
    <t>Curve fit, coefficient of 0V</t>
  </si>
  <si>
    <r>
      <t>Transient step current as a percent of Iout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>, recommend starting with 50%</t>
    </r>
  </si>
  <si>
    <t>Calculated total output capacitance with tolerance and real DC bias</t>
  </si>
  <si>
    <t>Typical output inductor ripple current</t>
  </si>
  <si>
    <t>INSTRUCTIONS:  No values need to be entered here, all values are derived from the DESIGN tab</t>
  </si>
  <si>
    <t>These values are all derived from the data sheet or lab measurements.</t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</si>
  <si>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5% duty cycle, data sheet value</t>
    </r>
  </si>
  <si>
    <r>
      <t>ILIM</t>
    </r>
    <r>
      <rPr>
        <vertAlign val="subscript"/>
        <sz val="11"/>
        <color theme="1"/>
        <rFont val="Calibri"/>
        <family val="2"/>
        <scheme val="minor"/>
      </rPr>
      <t>MIN</t>
    </r>
    <r>
      <rPr>
        <sz val="11"/>
        <color theme="1"/>
        <rFont val="Calibri"/>
        <family val="2"/>
        <scheme val="minor"/>
      </rPr>
      <t xml:space="preserve"> at 90% duty cycle, data sheet value</t>
    </r>
  </si>
  <si>
    <t>Measured value, see LX curve to the right</t>
  </si>
  <si>
    <t>Lo_I_max</t>
  </si>
  <si>
    <r>
      <t>Cin_I</t>
    </r>
    <r>
      <rPr>
        <b/>
        <vertAlign val="subscript"/>
        <sz val="11"/>
        <color theme="1"/>
        <rFont val="Calibri"/>
        <family val="2"/>
        <scheme val="minor"/>
      </rPr>
      <t>RMS</t>
    </r>
  </si>
  <si>
    <r>
      <rPr>
        <i/>
        <sz val="11"/>
        <color theme="0"/>
        <rFont val="Calibri"/>
        <family val="2"/>
      </rPr>
      <t xml:space="preserve">**** Note:  The applications schematic is shown at the bottom of this TAB. ****
Schematic component values are shown in </t>
    </r>
    <r>
      <rPr>
        <b/>
        <i/>
        <sz val="11"/>
        <color rgb="FF0000FF"/>
        <rFont val="Calibri"/>
        <family val="2"/>
      </rPr>
      <t>BLUE</t>
    </r>
    <r>
      <rPr>
        <b/>
        <i/>
        <sz val="11"/>
        <color theme="1"/>
        <rFont val="Calibri"/>
        <family val="2"/>
      </rPr>
      <t>.</t>
    </r>
  </si>
  <si>
    <r>
      <t>K</t>
    </r>
    <r>
      <rPr>
        <b/>
        <sz val="11"/>
        <color rgb="FF0000FF"/>
        <rFont val="Calibri"/>
        <family val="2"/>
      </rPr>
      <t>Ω</t>
    </r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</si>
  <si>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FSET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</si>
  <si>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H</t>
    </r>
  </si>
  <si>
    <r>
      <rPr>
        <b/>
        <sz val="11"/>
        <color rgb="FF0000FF"/>
        <rFont val="Calibri"/>
        <family val="2"/>
      </rPr>
      <t>µ</t>
    </r>
    <r>
      <rPr>
        <b/>
        <sz val="11"/>
        <color rgb="FF0000FF"/>
        <rFont val="Calibri"/>
        <family val="2"/>
        <scheme val="minor"/>
      </rPr>
      <t>F</t>
    </r>
  </si>
  <si>
    <t>Estimated number of 10uF/16V/X7R/1206 output capacitors required</t>
  </si>
  <si>
    <r>
      <t xml:space="preserve">Choose the number of </t>
    </r>
    <r>
      <rPr>
        <b/>
        <sz val="11"/>
        <color rgb="FF0000FF"/>
        <rFont val="Calibri"/>
        <family val="2"/>
        <scheme val="minor"/>
      </rPr>
      <t>10uF/16V/X7R/1206</t>
    </r>
    <r>
      <rPr>
        <sz val="11"/>
        <color theme="1"/>
        <rFont val="Calibri"/>
        <family val="2"/>
        <scheme val="minor"/>
      </rPr>
      <t xml:space="preserve"> output capacitors</t>
    </r>
  </si>
  <si>
    <t>IQ</t>
  </si>
  <si>
    <r>
      <t>P</t>
    </r>
    <r>
      <rPr>
        <b/>
        <vertAlign val="subscript"/>
        <sz val="10"/>
        <rFont val="Arial"/>
        <family val="2"/>
      </rPr>
      <t>DRIVER</t>
    </r>
  </si>
  <si>
    <t>Choose Fsw</t>
  </si>
  <si>
    <t>Fsw</t>
  </si>
  <si>
    <t>Recommended maximum PWM frequency, before possible pulse skipping</t>
  </si>
  <si>
    <t>UVLO Stop</t>
  </si>
  <si>
    <r>
      <t>SYNC</t>
    </r>
    <r>
      <rPr>
        <b/>
        <vertAlign val="subscript"/>
        <sz val="11"/>
        <color theme="1"/>
        <rFont val="Calibri"/>
        <family val="2"/>
        <scheme val="minor"/>
      </rPr>
      <t>MAX</t>
    </r>
    <r>
      <rPr>
        <b/>
        <sz val="11"/>
        <color theme="1"/>
        <rFont val="Calibri"/>
        <family val="2"/>
        <scheme val="minor"/>
      </rPr>
      <t xml:space="preserve"> at Vin</t>
    </r>
    <r>
      <rPr>
        <b/>
        <vertAlign val="subscript"/>
        <sz val="11"/>
        <color theme="1"/>
        <rFont val="Calibri"/>
        <family val="2"/>
        <scheme val="minor"/>
      </rPr>
      <t>TYP</t>
    </r>
  </si>
  <si>
    <r>
      <t>m</t>
    </r>
    <r>
      <rPr>
        <b/>
        <sz val="11"/>
        <rFont val="Calibri"/>
        <family val="2"/>
      </rPr>
      <t>Ω</t>
    </r>
  </si>
  <si>
    <r>
      <t>Lo</t>
    </r>
    <r>
      <rPr>
        <b/>
        <vertAlign val="subscript"/>
        <sz val="11"/>
        <rFont val="Calibri"/>
        <family val="2"/>
        <scheme val="minor"/>
      </rPr>
      <t>DCR</t>
    </r>
    <r>
      <rPr>
        <b/>
        <sz val="11"/>
        <rFont val="Calibri"/>
        <family val="2"/>
        <scheme val="minor"/>
      </rPr>
      <t xml:space="preserve"> = 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</si>
  <si>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>DCR</t>
    </r>
  </si>
  <si>
    <t>Default DCR of the output inductor</t>
  </si>
  <si>
    <t>Step =</t>
  </si>
  <si>
    <t>T (°C)</t>
  </si>
  <si>
    <t>Non-convergence: set RESET = 1</t>
  </si>
  <si>
    <t xml:space="preserve">RESET = </t>
  </si>
  <si>
    <t>Snubber Component Calculations:</t>
  </si>
  <si>
    <t>Capacitance of D1</t>
  </si>
  <si>
    <t>Measured LX resonant freqeuncy</t>
  </si>
  <si>
    <r>
      <t>L</t>
    </r>
    <r>
      <rPr>
        <b/>
        <vertAlign val="subscript"/>
        <sz val="11"/>
        <color theme="1"/>
        <rFont val="Calibri"/>
        <family val="2"/>
        <scheme val="minor"/>
      </rPr>
      <t>EQ</t>
    </r>
  </si>
  <si>
    <r>
      <t>LX resonance, F</t>
    </r>
    <r>
      <rPr>
        <b/>
        <vertAlign val="subscript"/>
        <sz val="11"/>
        <color theme="1"/>
        <rFont val="Calibri"/>
        <family val="2"/>
        <scheme val="minor"/>
      </rPr>
      <t>LX</t>
    </r>
  </si>
  <si>
    <r>
      <t>P</t>
    </r>
    <r>
      <rPr>
        <vertAlign val="subscript"/>
        <sz val="11"/>
        <color theme="1"/>
        <rFont val="Calibri"/>
        <family val="2"/>
        <scheme val="minor"/>
      </rPr>
      <t>SNUB</t>
    </r>
  </si>
  <si>
    <t>LX resonance period</t>
  </si>
  <si>
    <r>
      <t>LX resonance, T</t>
    </r>
    <r>
      <rPr>
        <b/>
        <vertAlign val="subscript"/>
        <sz val="11"/>
        <color theme="1"/>
        <rFont val="Calibri"/>
        <family val="2"/>
        <scheme val="minor"/>
      </rPr>
      <t>LX</t>
    </r>
  </si>
  <si>
    <t>mW</t>
  </si>
  <si>
    <t>Snubber resistance, use the closest available standard value</t>
  </si>
  <si>
    <t>Snubber capacitance, use the closest available standard value</t>
  </si>
  <si>
    <r>
      <t>Equivalent inductance, given F</t>
    </r>
    <r>
      <rPr>
        <vertAlign val="subscript"/>
        <sz val="11"/>
        <color theme="1"/>
        <rFont val="Calibri"/>
        <family val="2"/>
        <scheme val="minor"/>
      </rPr>
      <t>LX</t>
    </r>
    <r>
      <rPr>
        <sz val="11"/>
        <color theme="1"/>
        <rFont val="Calibri"/>
        <family val="2"/>
        <scheme val="minor"/>
      </rPr>
      <t xml:space="preserve"> and C</t>
    </r>
    <r>
      <rPr>
        <vertAlign val="subscript"/>
        <sz val="11"/>
        <color theme="1"/>
        <rFont val="Calibri"/>
        <family val="2"/>
        <scheme val="minor"/>
      </rPr>
      <t>TOTAL</t>
    </r>
  </si>
  <si>
    <t>Start with 2.5, decrease for more damping</t>
  </si>
  <si>
    <r>
      <t xml:space="preserve">Snubber </t>
    </r>
    <r>
      <rPr>
        <b/>
        <sz val="11"/>
        <color theme="1"/>
        <rFont val="Calibri"/>
        <family val="2"/>
      </rPr>
      <t>‒</t>
    </r>
    <r>
      <rPr>
        <b/>
        <sz val="11"/>
        <color theme="1"/>
        <rFont val="Calibri"/>
        <family val="2"/>
        <scheme val="minor"/>
      </rPr>
      <t>3dB freq.</t>
    </r>
  </si>
  <si>
    <r>
      <t>Snubber resistor power requirement at Vin</t>
    </r>
    <r>
      <rPr>
        <vertAlign val="subscript"/>
        <sz val="11"/>
        <color theme="1"/>
        <rFont val="Calibri"/>
        <family val="2"/>
        <scheme val="minor"/>
      </rPr>
      <t>MAX</t>
    </r>
    <r>
      <rPr>
        <sz val="11"/>
        <color theme="1"/>
        <rFont val="Calibri"/>
        <family val="2"/>
        <scheme val="minor"/>
      </rPr>
      <t xml:space="preserve"> and Fsw</t>
    </r>
  </si>
  <si>
    <t>Capacitance, other</t>
  </si>
  <si>
    <t>Estimated FET + PCB trace capacitance</t>
  </si>
  <si>
    <t>TCR of Copper</t>
  </si>
  <si>
    <r>
      <t>%/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</si>
  <si>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Duty</t>
  </si>
  <si>
    <r>
      <rPr>
        <b/>
        <sz val="10"/>
        <rFont val="Calibri"/>
        <family val="2"/>
      </rPr>
      <t>Δ</t>
    </r>
    <r>
      <rPr>
        <b/>
        <sz val="10"/>
        <rFont val="Arial"/>
        <family val="2"/>
      </rPr>
      <t>IL</t>
    </r>
  </si>
  <si>
    <t>(RESET should normally be set to 0)</t>
  </si>
  <si>
    <t>Typical LX frequency measurement before snubber</t>
  </si>
  <si>
    <r>
      <t>Multiple of F</t>
    </r>
    <r>
      <rPr>
        <vertAlign val="subscript"/>
        <sz val="11"/>
        <color theme="1"/>
        <rFont val="Calibri"/>
        <family val="2"/>
      </rPr>
      <t>LX</t>
    </r>
  </si>
  <si>
    <t>Known value, used for inductor DCR</t>
  </si>
  <si>
    <t>EFF</t>
  </si>
  <si>
    <t>Vout</t>
  </si>
  <si>
    <r>
      <t>VO</t>
    </r>
    <r>
      <rPr>
        <b/>
        <vertAlign val="subscript"/>
        <sz val="10"/>
        <rFont val="Arial"/>
        <family val="2"/>
      </rPr>
      <t>SAT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</si>
  <si>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</si>
  <si>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r>
      <t>Duty Cycle</t>
    </r>
    <r>
      <rPr>
        <b/>
        <vertAlign val="subscript"/>
        <sz val="11"/>
        <color theme="1"/>
        <rFont val="Calibri"/>
        <family val="2"/>
        <scheme val="minor"/>
      </rPr>
      <t>MIN</t>
    </r>
  </si>
  <si>
    <t>System Duty Cycle</t>
  </si>
  <si>
    <r>
      <t>P</t>
    </r>
    <r>
      <rPr>
        <b/>
        <vertAlign val="subscript"/>
        <sz val="10"/>
        <rFont val="Arial"/>
        <family val="2"/>
      </rPr>
      <t>IC</t>
    </r>
  </si>
  <si>
    <r>
      <t>V</t>
    </r>
    <r>
      <rPr>
        <b/>
        <vertAlign val="subscript"/>
        <sz val="10"/>
        <rFont val="Arial"/>
        <family val="2"/>
      </rPr>
      <t>OUT</t>
    </r>
  </si>
  <si>
    <r>
      <t>P</t>
    </r>
    <r>
      <rPr>
        <b/>
        <vertAlign val="subscript"/>
        <sz val="10"/>
        <rFont val="Arial"/>
        <family val="2"/>
      </rPr>
      <t>IND</t>
    </r>
  </si>
  <si>
    <r>
      <t>P</t>
    </r>
    <r>
      <rPr>
        <b/>
        <vertAlign val="subscript"/>
        <sz val="10"/>
        <rFont val="Arial"/>
        <family val="2"/>
      </rPr>
      <t>IN</t>
    </r>
  </si>
  <si>
    <r>
      <t>P</t>
    </r>
    <r>
      <rPr>
        <b/>
        <vertAlign val="subscript"/>
        <sz val="10"/>
        <rFont val="Arial"/>
        <family val="2"/>
      </rPr>
      <t>OUT</t>
    </r>
  </si>
  <si>
    <r>
      <t>R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</si>
  <si>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r>
      <t>C</t>
    </r>
    <r>
      <rPr>
        <b/>
        <vertAlign val="subscript"/>
        <sz val="11"/>
        <color theme="1"/>
        <rFont val="Calibri"/>
        <family val="2"/>
        <scheme val="minor"/>
      </rPr>
      <t>SNUB</t>
    </r>
  </si>
  <si>
    <t>Enter the snubber resister value</t>
  </si>
  <si>
    <r>
      <t>R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</si>
  <si>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C</t>
    </r>
    <r>
      <rPr>
        <b/>
        <vertAlign val="subscript"/>
        <sz val="11"/>
        <color rgb="FF0000FF"/>
        <rFont val="Calibri"/>
        <family val="2"/>
        <scheme val="minor"/>
      </rPr>
      <t>SNUB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</si>
  <si>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P</t>
    </r>
    <r>
      <rPr>
        <b/>
        <vertAlign val="subscript"/>
        <sz val="10"/>
        <rFont val="Arial"/>
        <family val="2"/>
      </rPr>
      <t>SNUB</t>
    </r>
  </si>
  <si>
    <t>Vin =</t>
  </si>
  <si>
    <r>
      <t xml:space="preserve"> Feedback Component Calculations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RFB1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and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0000FF"/>
        <rFont val="Calibri"/>
        <family val="2"/>
        <scheme val="minor"/>
      </rPr>
      <t>RFB2</t>
    </r>
    <r>
      <rPr>
        <b/>
        <i/>
        <sz val="12"/>
        <color rgb="FFFF0000"/>
        <rFont val="Calibri"/>
        <family val="2"/>
        <scheme val="minor"/>
      </rPr>
      <t xml:space="preserve"> values for the remaining calculations to be accurate)</t>
    </r>
  </si>
  <si>
    <t>C =</t>
  </si>
  <si>
    <t>ESR =</t>
  </si>
  <si>
    <t>ESL =</t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</si>
  <si>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</si>
  <si>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m</t>
    </r>
    <r>
      <rPr>
        <sz val="11"/>
        <color theme="1"/>
        <rFont val="Calibri"/>
        <family val="2"/>
      </rPr>
      <t>Ω</t>
    </r>
  </si>
  <si>
    <t>Optional: Output Capacitors</t>
  </si>
  <si>
    <t>Used to calculate output ripple and set the compensation values</t>
  </si>
  <si>
    <t>Enter Values Manually</t>
  </si>
  <si>
    <t>No. =</t>
  </si>
  <si>
    <r>
      <t>TJ</t>
    </r>
    <r>
      <rPr>
        <b/>
        <vertAlign val="subscript"/>
        <sz val="10"/>
        <rFont val="Arial"/>
        <family val="2"/>
      </rPr>
      <t>IC</t>
    </r>
  </si>
  <si>
    <r>
      <t>(TYP | MAX) Minimum duty cycles at the chosen Fsw given t</t>
    </r>
    <r>
      <rPr>
        <vertAlign val="subscript"/>
        <sz val="11"/>
        <color theme="1"/>
        <rFont val="Calibri"/>
        <family val="2"/>
        <scheme val="minor"/>
      </rPr>
      <t>ON,TYP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ON,MAX</t>
    </r>
  </si>
  <si>
    <r>
      <t>(MIN | TYP) Maximum duty cycles at the chosen Fsw given t</t>
    </r>
    <r>
      <rPr>
        <vertAlign val="subscript"/>
        <sz val="11"/>
        <color theme="1"/>
        <rFont val="Calibri"/>
        <family val="2"/>
        <scheme val="minor"/>
      </rPr>
      <t>OFF,TYP</t>
    </r>
    <r>
      <rPr>
        <sz val="11"/>
        <color theme="1"/>
        <rFont val="Calibri"/>
        <family val="2"/>
        <scheme val="minor"/>
      </rPr>
      <t>, t</t>
    </r>
    <r>
      <rPr>
        <vertAlign val="subscript"/>
        <sz val="11"/>
        <color theme="1"/>
        <rFont val="Calibri"/>
        <family val="2"/>
        <scheme val="minor"/>
      </rPr>
      <t>OFF,MAX</t>
    </r>
  </si>
  <si>
    <t>Enter the snubber capacitor value, enter "0" if no snubber is used</t>
  </si>
  <si>
    <t>Measured on Allegro EVB with 1x 10uF</t>
  </si>
  <si>
    <t>Thermal resistance</t>
  </si>
  <si>
    <r>
      <t>High Side RDS</t>
    </r>
    <r>
      <rPr>
        <b/>
        <vertAlign val="subscript"/>
        <sz val="11"/>
        <color theme="1"/>
        <rFont val="Calibri"/>
        <family val="2"/>
        <scheme val="minor"/>
      </rPr>
      <t>ON</t>
    </r>
    <r>
      <rPr>
        <b/>
        <sz val="11"/>
        <color theme="1"/>
        <rFont val="Calibri"/>
        <family val="2"/>
        <scheme val="minor"/>
      </rPr>
      <t xml:space="preserve"> @ 25C</t>
    </r>
  </si>
  <si>
    <t>Low Side RDSON @ 25C</t>
  </si>
  <si>
    <t>t_NO</t>
  </si>
  <si>
    <r>
      <t>P</t>
    </r>
    <r>
      <rPr>
        <b/>
        <vertAlign val="subscript"/>
        <sz val="10"/>
        <rFont val="Arial"/>
        <family val="2"/>
      </rPr>
      <t>DRV</t>
    </r>
  </si>
  <si>
    <t>HS</t>
  </si>
  <si>
    <t>LS</t>
  </si>
  <si>
    <t>Qg_High-Side FET</t>
  </si>
  <si>
    <t>Qg_Low-Side FET</t>
  </si>
  <si>
    <r>
      <t>V</t>
    </r>
    <r>
      <rPr>
        <b/>
        <vertAlign val="subscript"/>
        <sz val="11"/>
        <color theme="1"/>
        <rFont val="Calibri"/>
        <family val="2"/>
        <scheme val="minor"/>
      </rPr>
      <t>SD</t>
    </r>
    <r>
      <rPr>
        <b/>
        <sz val="11"/>
        <color theme="1"/>
        <rFont val="Calibri"/>
        <family val="2"/>
        <scheme val="minor"/>
      </rPr>
      <t xml:space="preserve"> of Low-Side FET</t>
    </r>
  </si>
  <si>
    <r>
      <t>P</t>
    </r>
    <r>
      <rPr>
        <b/>
        <vertAlign val="subscript"/>
        <sz val="10"/>
        <rFont val="Arial"/>
        <family val="2"/>
      </rPr>
      <t>NO</t>
    </r>
  </si>
  <si>
    <r>
      <t>RDS</t>
    </r>
    <r>
      <rPr>
        <b/>
        <vertAlign val="subscript"/>
        <sz val="10"/>
        <rFont val="Arial"/>
        <family val="2"/>
      </rPr>
      <t>ON</t>
    </r>
  </si>
  <si>
    <r>
      <t>P</t>
    </r>
    <r>
      <rPr>
        <b/>
        <vertAlign val="subscript"/>
        <sz val="10"/>
        <rFont val="Arial"/>
        <family val="2"/>
      </rPr>
      <t>SW</t>
    </r>
  </si>
  <si>
    <r>
      <t>P</t>
    </r>
    <r>
      <rPr>
        <b/>
        <vertAlign val="subscript"/>
        <sz val="10"/>
        <rFont val="Arial"/>
        <family val="2"/>
      </rPr>
      <t>COND</t>
    </r>
  </si>
  <si>
    <t>Range of system duty-cycles given Vin, Vout, Iout, etc</t>
  </si>
  <si>
    <t>Vout during dropout calculated with the worst case maximum OFF time at maximum ambient temperature</t>
  </si>
  <si>
    <t>Vout during dropout calculated with the typical OFF time at room temperature (25C)</t>
  </si>
  <si>
    <t>Lo (min | max)</t>
  </si>
  <si>
    <r>
      <t>Inductor's I</t>
    </r>
    <r>
      <rPr>
        <vertAlign val="subscript"/>
        <sz val="11"/>
        <color theme="1"/>
        <rFont val="Calibri"/>
        <family val="2"/>
        <scheme val="minor"/>
      </rPr>
      <t>SAT</t>
    </r>
    <r>
      <rPr>
        <sz val="11"/>
        <color theme="1"/>
        <rFont val="Calibri"/>
        <family val="2"/>
        <scheme val="minor"/>
      </rPr>
      <t xml:space="preserve"> should support this value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</si>
  <si>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IN,TYP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</si>
  <si>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ILIM</t>
    </r>
    <r>
      <rPr>
        <b/>
        <vertAlign val="subscript"/>
        <sz val="11"/>
        <color theme="1"/>
        <rFont val="Calibri"/>
        <family val="2"/>
        <scheme val="minor"/>
      </rPr>
      <t>MARGIN</t>
    </r>
  </si>
  <si>
    <t>Mhz</t>
  </si>
  <si>
    <r>
      <t>A/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s</t>
    </r>
  </si>
  <si>
    <r>
      <t>Slope Comp (S</t>
    </r>
    <r>
      <rPr>
        <b/>
        <vertAlign val="subscript"/>
        <sz val="11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)</t>
    </r>
  </si>
  <si>
    <t>Calculated Slope Compensation at chosen Fsw:</t>
  </si>
  <si>
    <r>
      <t>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@ Fsw =</t>
    </r>
  </si>
  <si>
    <t>Enter Lo considering the recommended range &amp; value</t>
  </si>
  <si>
    <r>
      <t>Min. inductor to critically damp the two poles at Fsw/2 @ D</t>
    </r>
    <r>
      <rPr>
        <vertAlign val="subscript"/>
        <sz val="11"/>
        <color theme="1"/>
        <rFont val="Calibri"/>
        <family val="2"/>
        <scheme val="minor"/>
      </rPr>
      <t>MAX</t>
    </r>
  </si>
  <si>
    <r>
      <t>Lo</t>
    </r>
    <r>
      <rPr>
        <b/>
        <vertAlign val="subscript"/>
        <sz val="11"/>
        <color theme="1"/>
        <rFont val="Calibri"/>
        <family val="2"/>
        <scheme val="minor"/>
      </rPr>
      <t xml:space="preserve"> RIDLEY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</rPr>
      <t>≥</t>
    </r>
  </si>
  <si>
    <r>
      <t>Inductor range, S</t>
    </r>
    <r>
      <rPr>
        <vertAlign val="sub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= 40% to 110% of inductor down slope</t>
    </r>
  </si>
  <si>
    <t>Recommended maximum 0dB crossover frequency</t>
  </si>
  <si>
    <r>
      <t xml:space="preserve">Choose fc considering recommended </t>
    </r>
    <r>
      <rPr>
        <sz val="11"/>
        <color indexed="8"/>
        <rFont val="Calibri"/>
        <family val="2"/>
      </rPr>
      <t>fc</t>
    </r>
    <r>
      <rPr>
        <vertAlign val="subscript"/>
        <sz val="11"/>
        <color indexed="8"/>
        <rFont val="Calibri"/>
        <family val="2"/>
      </rPr>
      <t>MAX</t>
    </r>
  </si>
  <si>
    <r>
      <t xml:space="preserve">Average load current: </t>
    </r>
    <r>
      <rPr>
        <sz val="11"/>
        <color indexed="8"/>
        <rFont val="Calibri"/>
        <family val="2"/>
      </rPr>
      <t>Δ</t>
    </r>
    <r>
      <rPr>
        <sz val="11"/>
        <color theme="1"/>
        <rFont val="Calibri"/>
        <family val="2"/>
        <scheme val="minor"/>
      </rPr>
      <t>ILo/2 &lt; Iout &lt; Iout</t>
    </r>
    <r>
      <rPr>
        <vertAlign val="subscript"/>
        <sz val="11"/>
        <color indexed="8"/>
        <rFont val="Calibri"/>
        <family val="2"/>
      </rPr>
      <t>MAX</t>
    </r>
  </si>
  <si>
    <r>
      <t>Dominant pole formed by Co and R</t>
    </r>
    <r>
      <rPr>
        <vertAlign val="subscript"/>
        <sz val="11"/>
        <color theme="1"/>
        <rFont val="Calibri"/>
        <family val="2"/>
        <scheme val="minor"/>
      </rPr>
      <t>LOAD</t>
    </r>
    <r>
      <rPr>
        <sz val="11"/>
        <color theme="1"/>
        <rFont val="Calibri"/>
        <family val="2"/>
        <scheme val="minor"/>
      </rPr>
      <t>.</t>
    </r>
  </si>
  <si>
    <t>Recommended compensation resister to achieve chosen fc</t>
  </si>
  <si>
    <t>Enter the closest available 1% standard resister value</t>
  </si>
  <si>
    <t>Recommended range for the compensation capacitor</t>
  </si>
  <si>
    <t>Recommended HF compensation capacitor</t>
  </si>
  <si>
    <t>Cz (min, max)</t>
  </si>
  <si>
    <r>
      <t>L</t>
    </r>
    <r>
      <rPr>
        <b/>
        <vertAlign val="subscript"/>
        <sz val="11"/>
        <color rgb="FF0000FF"/>
        <rFont val="Calibri"/>
        <family val="2"/>
        <scheme val="minor"/>
      </rPr>
      <t>O</t>
    </r>
    <r>
      <rPr>
        <b/>
        <sz val="11"/>
        <color rgb="FF0000FF"/>
        <rFont val="Calibri"/>
        <family val="2"/>
        <scheme val="minor"/>
      </rPr>
      <t xml:space="preserve"> = </t>
    </r>
  </si>
  <si>
    <r>
      <t>Enter the output inductor's DCR, default is 10m</t>
    </r>
    <r>
      <rPr>
        <sz val="11"/>
        <rFont val="Calibri"/>
        <family val="2"/>
      </rPr>
      <t>Ω if left blank</t>
    </r>
  </si>
  <si>
    <r>
      <t>Current  limiting at V</t>
    </r>
    <r>
      <rPr>
        <vertAlign val="subscript"/>
        <sz val="11"/>
        <color theme="1"/>
        <rFont val="Calibri"/>
        <family val="2"/>
        <scheme val="minor"/>
      </rPr>
      <t>IN,TYP</t>
    </r>
    <r>
      <rPr>
        <sz val="11"/>
        <color theme="1"/>
        <rFont val="Calibri"/>
        <family val="2"/>
        <scheme val="minor"/>
      </rPr>
      <t xml:space="preserve"> &amp; D</t>
    </r>
    <r>
      <rPr>
        <vertAlign val="subscript"/>
        <sz val="11"/>
        <color theme="1"/>
        <rFont val="Calibri"/>
        <family val="2"/>
        <scheme val="minor"/>
      </rPr>
      <t>TYP</t>
    </r>
  </si>
  <si>
    <r>
      <t xml:space="preserve">Current  limiting at </t>
    </r>
    <r>
      <rPr>
        <b/>
        <sz val="11"/>
        <color theme="1"/>
        <rFont val="Calibri"/>
        <family val="2"/>
        <scheme val="minor"/>
      </rPr>
      <t>V</t>
    </r>
    <r>
      <rPr>
        <b/>
        <vertAlign val="subscript"/>
        <sz val="11"/>
        <color theme="1"/>
        <rFont val="Calibri"/>
        <family val="2"/>
        <scheme val="minor"/>
      </rPr>
      <t>IN,MIN</t>
    </r>
    <r>
      <rPr>
        <b/>
        <sz val="11"/>
        <color theme="1"/>
        <rFont val="Calibri"/>
        <family val="2"/>
        <scheme val="minor"/>
      </rPr>
      <t xml:space="preserve"> &amp; D</t>
    </r>
    <r>
      <rPr>
        <b/>
        <vertAlign val="subscript"/>
        <sz val="11"/>
        <color theme="1"/>
        <rFont val="Calibri"/>
        <family val="2"/>
        <scheme val="minor"/>
      </rPr>
      <t>MAX</t>
    </r>
  </si>
  <si>
    <t>AFB</t>
  </si>
  <si>
    <t>Rsen</t>
  </si>
  <si>
    <t>Rwire</t>
  </si>
  <si>
    <t>IOUT_LIM</t>
  </si>
  <si>
    <t>RIADJ</t>
  </si>
  <si>
    <t>RGADJ</t>
  </si>
  <si>
    <t>Gain of voltage divider at pin FB</t>
  </si>
  <si>
    <t>mΩ</t>
  </si>
  <si>
    <r>
      <t>Recommended Rsen between 20 mΩ to 50 m</t>
    </r>
    <r>
      <rPr>
        <sz val="11"/>
        <color theme="1"/>
        <rFont val="Calibri"/>
        <family val="2"/>
      </rPr>
      <t>Ω</t>
    </r>
  </si>
  <si>
    <r>
      <t xml:space="preserve">Wiring Harness Resistance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>Rwire</t>
    </r>
    <r>
      <rPr>
        <b/>
        <i/>
        <sz val="12"/>
        <color rgb="FFFF0000"/>
        <rFont val="Calibri"/>
        <family val="2"/>
        <scheme val="minor"/>
      </rPr>
      <t>values for the remaining calculations)</t>
    </r>
  </si>
  <si>
    <t xml:space="preserve"> Equivalent Resistance Calculations at pin IADJ</t>
  </si>
  <si>
    <t>kΩ</t>
  </si>
  <si>
    <t>Choose the closest available standard value</t>
  </si>
  <si>
    <r>
      <t xml:space="preserve">   Estimated D1 capacitance at Vin</t>
    </r>
    <r>
      <rPr>
        <vertAlign val="subscript"/>
        <sz val="11"/>
        <color theme="1"/>
        <rFont val="Calibri"/>
        <family val="2"/>
        <scheme val="minor"/>
      </rPr>
      <t>TYP</t>
    </r>
    <r>
      <rPr>
        <sz val="11"/>
        <color theme="1"/>
        <rFont val="Calibri"/>
        <family val="2"/>
        <scheme val="minor"/>
      </rPr>
      <t xml:space="preserve"> if 
   Freewheeling diode D1 exists; otherwise put 0</t>
    </r>
  </si>
  <si>
    <t>RIADJ=</t>
  </si>
  <si>
    <t xml:space="preserve"> Equivalent Resistance Calculations at pin GADJ</t>
  </si>
  <si>
    <t>RGADJ=</t>
  </si>
  <si>
    <t>Data sheet values without remote load regulation</t>
  </si>
  <si>
    <t>Vload, target</t>
  </si>
  <si>
    <t>Desired output voltage load side</t>
  </si>
  <si>
    <t>Output voltage at Iout</t>
  </si>
  <si>
    <r>
      <t xml:space="preserve"> Current Sensing Resistor  </t>
    </r>
    <r>
      <rPr>
        <b/>
        <i/>
        <sz val="12"/>
        <color rgb="FFFF0000"/>
        <rFont val="Calibri"/>
        <family val="2"/>
        <scheme val="minor"/>
      </rPr>
      <t xml:space="preserve">(Must enter </t>
    </r>
    <r>
      <rPr>
        <b/>
        <i/>
        <sz val="12"/>
        <color rgb="FF0000FF"/>
        <rFont val="Calibri"/>
        <family val="2"/>
        <scheme val="minor"/>
      </rPr>
      <t xml:space="preserve">Rsen </t>
    </r>
    <r>
      <rPr>
        <b/>
        <i/>
        <sz val="12"/>
        <color rgb="FFFF0000"/>
        <rFont val="Calibri"/>
        <family val="2"/>
        <scheme val="minor"/>
      </rPr>
      <t>values for the remaining calculations)</t>
    </r>
  </si>
  <si>
    <t>Datasheet value</t>
  </si>
  <si>
    <t>Default non-overlap value</t>
  </si>
  <si>
    <t>Vload</t>
  </si>
  <si>
    <t>VLoad</t>
  </si>
  <si>
    <t>-</t>
  </si>
  <si>
    <t xml:space="preserve"> USB cable resistance; </t>
  </si>
  <si>
    <t xml:space="preserve"> Set 0 for A8654</t>
  </si>
  <si>
    <t>Inductor value for selected ripple current</t>
  </si>
  <si>
    <t>Lo ≥</t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</si>
  <si>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vout_dev_down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</si>
  <si>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vout_dev_up</t>
    </r>
  </si>
  <si>
    <t xml:space="preserve">Estimated output voltage deviation when load transient is downward </t>
  </si>
  <si>
    <t xml:space="preserve">Estimated output voltage deviation when load transient is upward </t>
  </si>
  <si>
    <t>Curve fit value, slope, (refer to curve on the right)</t>
  </si>
  <si>
    <t>Curve fit value, offset,(refer to curve on the right)</t>
  </si>
  <si>
    <t>Estimated Slope Compensation at chosen Fsw</t>
  </si>
  <si>
    <t>Calculated load side current limit</t>
  </si>
  <si>
    <t xml:space="preserve"> Typical Output Voltage Calculations:</t>
  </si>
  <si>
    <t xml:space="preserve">Desired Load side current limit; load side current limit can be skipped by setting a value above peak current limit </t>
  </si>
  <si>
    <r>
      <t xml:space="preserve">   RIADJ should be between 10 k</t>
    </r>
    <r>
      <rPr>
        <b/>
        <sz val="11"/>
        <rFont val="Calibri"/>
        <family val="2"/>
      </rPr>
      <t>Ω and 34 kΩ; otherwise 
   adjust Rsen or IOUT_LIM; A8654 has no RIADJ</t>
    </r>
  </si>
  <si>
    <r>
      <t xml:space="preserve">   RGADJ should be between 10 k</t>
    </r>
    <r>
      <rPr>
        <b/>
        <sz val="11"/>
        <rFont val="Calibri"/>
        <family val="2"/>
      </rPr>
      <t>Ω and 34 kΩ; otherwise 
   adjust Rsen or IOUT_LIM; A8654 has no RGADJ</t>
    </r>
  </si>
  <si>
    <r>
      <t xml:space="preserve">                 For A8654 design: set Rsen =0 Ω , Rwire=0 </t>
    </r>
    <r>
      <rPr>
        <sz val="11"/>
        <color theme="1"/>
        <rFont val="Calibri"/>
        <family val="2"/>
      </rPr>
      <t>Ω; there are no RIADJ and RGADJ resistors.</t>
    </r>
  </si>
  <si>
    <t>Application circuit</t>
  </si>
  <si>
    <t>ALLEGRO A8652/53/54 DESIGN SPREADSHEET - Rev. 1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</si>
</sst>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5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vertAlign val="subscript"/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</font>
    <font>
      <b/>
      <i/>
      <sz val="16"/>
      <color theme="0"/>
      <name val="Calibri"/>
      <family val="2"/>
      <scheme val="minor"/>
    </font>
    <font>
      <i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i/>
      <sz val="11"/>
      <color rgb="FF0000FF"/>
      <name val="Calibri"/>
      <family val="2"/>
    </font>
    <font>
      <i/>
      <sz val="11"/>
      <color theme="0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rgb="FF0000FF"/>
      <name val="Calibri"/>
      <family val="2"/>
    </font>
    <font>
      <b/>
      <vertAlign val="subscript"/>
      <sz val="11"/>
      <color rgb="FF0000FF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4"/>
      <color theme="0"/>
      <name val="Calibri"/>
      <family val="2"/>
      <scheme val="minor"/>
    </font>
    <font>
      <b/>
      <sz val="10"/>
      <name val="Calibri"/>
      <family val="2"/>
    </font>
    <font>
      <b/>
      <vertAlign val="subscript"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vertAlign val="subscript"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2"/>
      <color rgb="FF0000FF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2"/>
      <color rgb="FFFF0000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2499465926084170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570">
    <xf numFmtId="0" fontId="0" fillId="0" borderId="0" xfId="0"/>
    <xf numFmtId="0" fontId="0" fillId="0" borderId="0" xfId="0" applyAlignment="1">
      <alignment horizontal="center"/>
    </xf>
    <xf numFmtId="0" fontId="10" fillId="0" borderId="0" xfId="0" applyFont="1"/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2" fontId="8" fillId="0" borderId="0" xfId="0" applyNumberFormat="1" applyFont="1" applyAlignment="1" applyProtection="1">
      <alignment horizontal="center"/>
    </xf>
    <xf numFmtId="0" fontId="5" fillId="0" borderId="0" xfId="1" applyProtection="1"/>
    <xf numFmtId="0" fontId="7" fillId="0" borderId="0" xfId="0" applyFont="1"/>
    <xf numFmtId="0" fontId="0" fillId="6" borderId="3" xfId="0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165" fontId="0" fillId="7" borderId="2" xfId="0" applyNumberForma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2" fontId="0" fillId="7" borderId="0" xfId="0" applyNumberFormat="1" applyFill="1" applyBorder="1" applyAlignment="1" applyProtection="1">
      <alignment horizontal="center"/>
    </xf>
    <xf numFmtId="0" fontId="0" fillId="7" borderId="0" xfId="0" applyFill="1" applyBorder="1" applyProtection="1"/>
    <xf numFmtId="165" fontId="0" fillId="7" borderId="0" xfId="0" applyNumberFormat="1" applyFill="1" applyBorder="1" applyAlignment="1" applyProtection="1">
      <alignment horizontal="center"/>
    </xf>
    <xf numFmtId="0" fontId="8" fillId="7" borderId="0" xfId="0" applyFont="1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left" indent="1"/>
    </xf>
    <xf numFmtId="0" fontId="0" fillId="7" borderId="10" xfId="0" applyFill="1" applyBorder="1" applyAlignment="1" applyProtection="1">
      <alignment horizontal="left" indent="1"/>
    </xf>
    <xf numFmtId="1" fontId="0" fillId="9" borderId="1" xfId="0" applyNumberFormat="1" applyFill="1" applyBorder="1" applyAlignment="1" applyProtection="1">
      <alignment horizontal="center"/>
      <protection locked="0"/>
    </xf>
    <xf numFmtId="0" fontId="8" fillId="6" borderId="13" xfId="0" applyFont="1" applyFill="1" applyBorder="1" applyAlignment="1" applyProtection="1">
      <alignment horizontal="center"/>
    </xf>
    <xf numFmtId="0" fontId="9" fillId="8" borderId="16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left" indent="1"/>
    </xf>
    <xf numFmtId="0" fontId="0" fillId="5" borderId="14" xfId="0" applyFill="1" applyBorder="1"/>
    <xf numFmtId="0" fontId="0" fillId="5" borderId="20" xfId="0" applyFill="1" applyBorder="1"/>
    <xf numFmtId="165" fontId="0" fillId="5" borderId="14" xfId="0" applyNumberFormat="1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2" xfId="0" applyFill="1" applyBorder="1" applyAlignment="1">
      <alignment horizontal="left" indent="1"/>
    </xf>
    <xf numFmtId="0" fontId="0" fillId="5" borderId="22" xfId="0" applyFill="1" applyBorder="1"/>
    <xf numFmtId="0" fontId="0" fillId="5" borderId="23" xfId="0" applyFill="1" applyBorder="1"/>
    <xf numFmtId="0" fontId="9" fillId="8" borderId="16" xfId="0" applyFont="1" applyFill="1" applyBorder="1" applyAlignment="1">
      <alignment horizontal="left" vertical="center"/>
    </xf>
    <xf numFmtId="0" fontId="7" fillId="8" borderId="17" xfId="0" applyFont="1" applyFill="1" applyBorder="1" applyAlignment="1">
      <alignment horizontal="center"/>
    </xf>
    <xf numFmtId="0" fontId="7" fillId="8" borderId="17" xfId="0" applyFont="1" applyFill="1" applyBorder="1"/>
    <xf numFmtId="0" fontId="7" fillId="8" borderId="18" xfId="0" applyFont="1" applyFill="1" applyBorder="1"/>
    <xf numFmtId="0" fontId="0" fillId="5" borderId="14" xfId="0" applyFill="1" applyBorder="1" applyAlignment="1">
      <alignment horizontal="left"/>
    </xf>
    <xf numFmtId="0" fontId="0" fillId="9" borderId="1" xfId="0" applyFill="1" applyBorder="1" applyAlignment="1" applyProtection="1">
      <alignment horizontal="center" vertical="center"/>
      <protection locked="0"/>
    </xf>
    <xf numFmtId="0" fontId="7" fillId="6" borderId="25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11" fillId="8" borderId="27" xfId="0" applyFont="1" applyFill="1" applyBorder="1" applyAlignment="1" applyProtection="1">
      <alignment horizontal="center"/>
    </xf>
    <xf numFmtId="0" fontId="11" fillId="8" borderId="28" xfId="0" applyFont="1" applyFill="1" applyBorder="1" applyAlignment="1" applyProtection="1">
      <alignment horizontal="center"/>
    </xf>
    <xf numFmtId="0" fontId="7" fillId="6" borderId="19" xfId="0" applyFont="1" applyFill="1" applyBorder="1" applyAlignment="1" applyProtection="1">
      <alignment horizontal="center"/>
    </xf>
    <xf numFmtId="0" fontId="7" fillId="7" borderId="40" xfId="0" applyFont="1" applyFill="1" applyBorder="1" applyAlignment="1" applyProtection="1">
      <alignment horizontal="center"/>
    </xf>
    <xf numFmtId="0" fontId="0" fillId="7" borderId="41" xfId="0" applyFill="1" applyBorder="1" applyProtection="1"/>
    <xf numFmtId="166" fontId="0" fillId="7" borderId="41" xfId="0" applyNumberFormat="1" applyFill="1" applyBorder="1" applyAlignment="1" applyProtection="1">
      <alignment horizontal="center"/>
    </xf>
    <xf numFmtId="0" fontId="7" fillId="7" borderId="42" xfId="0" applyFont="1" applyFill="1" applyBorder="1" applyAlignment="1" applyProtection="1">
      <alignment horizontal="center"/>
    </xf>
    <xf numFmtId="2" fontId="0" fillId="7" borderId="36" xfId="0" applyNumberFormat="1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3" xfId="0" applyFill="1" applyBorder="1" applyAlignment="1" applyProtection="1">
      <alignment horizontal="left" indent="1"/>
    </xf>
    <xf numFmtId="0" fontId="0" fillId="7" borderId="36" xfId="0" applyFill="1" applyBorder="1" applyProtection="1"/>
    <xf numFmtId="0" fontId="0" fillId="7" borderId="37" xfId="0" applyFill="1" applyBorder="1" applyProtection="1"/>
    <xf numFmtId="0" fontId="8" fillId="6" borderId="6" xfId="0" applyFont="1" applyFill="1" applyBorder="1" applyAlignment="1">
      <alignment horizontal="center" vertical="center"/>
    </xf>
    <xf numFmtId="0" fontId="7" fillId="6" borderId="32" xfId="0" applyFont="1" applyFill="1" applyBorder="1" applyAlignment="1" applyProtection="1">
      <alignment horizontal="center" vertical="center"/>
    </xf>
    <xf numFmtId="0" fontId="8" fillId="6" borderId="33" xfId="0" applyFont="1" applyFill="1" applyBorder="1" applyAlignment="1" applyProtection="1">
      <alignment horizontal="center" vertical="center"/>
    </xf>
    <xf numFmtId="0" fontId="8" fillId="6" borderId="34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</xf>
    <xf numFmtId="0" fontId="2" fillId="6" borderId="25" xfId="0" applyFont="1" applyFill="1" applyBorder="1" applyAlignment="1" applyProtection="1">
      <alignment horizontal="center" vertical="center"/>
    </xf>
    <xf numFmtId="0" fontId="8" fillId="6" borderId="13" xfId="0" applyFont="1" applyFill="1" applyBorder="1" applyAlignment="1" applyProtection="1">
      <alignment horizontal="center" vertical="center"/>
    </xf>
    <xf numFmtId="1" fontId="0" fillId="9" borderId="1" xfId="0" applyNumberFormat="1" applyFill="1" applyBorder="1" applyAlignment="1" applyProtection="1">
      <alignment horizontal="center" vertical="center"/>
      <protection locked="0"/>
    </xf>
    <xf numFmtId="0" fontId="8" fillId="6" borderId="8" xfId="0" applyFont="1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/>
    </xf>
    <xf numFmtId="0" fontId="0" fillId="5" borderId="14" xfId="0" applyFill="1" applyBorder="1" applyAlignment="1">
      <alignment vertical="center"/>
    </xf>
    <xf numFmtId="0" fontId="0" fillId="5" borderId="20" xfId="0" applyFill="1" applyBorder="1" applyAlignment="1">
      <alignment vertical="center"/>
    </xf>
    <xf numFmtId="0" fontId="0" fillId="5" borderId="21" xfId="0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0" fillId="5" borderId="22" xfId="0" applyFill="1" applyBorder="1" applyAlignment="1">
      <alignment horizontal="left" vertical="center"/>
    </xf>
    <xf numFmtId="0" fontId="0" fillId="5" borderId="22" xfId="0" applyFill="1" applyBorder="1" applyAlignment="1">
      <alignment vertical="center"/>
    </xf>
    <xf numFmtId="0" fontId="0" fillId="5" borderId="23" xfId="0" applyFill="1" applyBorder="1" applyAlignment="1">
      <alignment vertical="center"/>
    </xf>
    <xf numFmtId="0" fontId="7" fillId="7" borderId="42" xfId="0" applyFont="1" applyFill="1" applyBorder="1" applyAlignment="1" applyProtection="1">
      <alignment horizontal="center" vertical="center"/>
    </xf>
    <xf numFmtId="165" fontId="0" fillId="7" borderId="36" xfId="0" applyNumberFormat="1" applyFill="1" applyBorder="1" applyAlignment="1" applyProtection="1">
      <alignment horizontal="center" vertical="center"/>
    </xf>
    <xf numFmtId="0" fontId="0" fillId="7" borderId="36" xfId="0" applyFill="1" applyBorder="1" applyAlignment="1" applyProtection="1">
      <alignment horizontal="center" vertical="center"/>
    </xf>
    <xf numFmtId="0" fontId="0" fillId="7" borderId="34" xfId="0" applyFill="1" applyBorder="1" applyAlignment="1" applyProtection="1">
      <alignment horizontal="left" vertical="center" indent="1"/>
    </xf>
    <xf numFmtId="0" fontId="0" fillId="7" borderId="36" xfId="0" applyFill="1" applyBorder="1" applyAlignment="1" applyProtection="1">
      <alignment vertical="center"/>
    </xf>
    <xf numFmtId="0" fontId="0" fillId="7" borderId="37" xfId="0" applyFill="1" applyBorder="1" applyAlignment="1" applyProtection="1">
      <alignment vertical="center"/>
    </xf>
    <xf numFmtId="0" fontId="0" fillId="7" borderId="34" xfId="0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left" vertical="center" wrapText="1"/>
    </xf>
    <xf numFmtId="0" fontId="0" fillId="7" borderId="41" xfId="0" applyFont="1" applyFill="1" applyBorder="1" applyAlignment="1" applyProtection="1">
      <alignment horizontal="left" vertical="center" wrapText="1"/>
    </xf>
    <xf numFmtId="0" fontId="7" fillId="7" borderId="40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 wrapText="1"/>
    </xf>
    <xf numFmtId="0" fontId="0" fillId="7" borderId="7" xfId="0" applyFill="1" applyBorder="1" applyAlignment="1" applyProtection="1">
      <alignment horizontal="left" vertical="center" indent="1"/>
    </xf>
    <xf numFmtId="0" fontId="0" fillId="9" borderId="1" xfId="0" applyFont="1" applyFill="1" applyBorder="1" applyAlignment="1" applyProtection="1">
      <alignment horizontal="center" vertical="center" wrapText="1"/>
      <protection locked="0"/>
    </xf>
    <xf numFmtId="165" fontId="0" fillId="5" borderId="14" xfId="0" applyNumberFormat="1" applyFill="1" applyBorder="1" applyAlignment="1">
      <alignment horizontal="center"/>
    </xf>
    <xf numFmtId="0" fontId="11" fillId="8" borderId="26" xfId="0" applyFont="1" applyFill="1" applyBorder="1" applyAlignment="1" applyProtection="1">
      <alignment horizontal="center"/>
    </xf>
    <xf numFmtId="0" fontId="0" fillId="5" borderId="19" xfId="0" applyFont="1" applyFill="1" applyBorder="1" applyAlignment="1">
      <alignment horizontal="center"/>
    </xf>
    <xf numFmtId="164" fontId="0" fillId="9" borderId="1" xfId="0" applyNumberFormat="1" applyFill="1" applyBorder="1" applyAlignment="1" applyProtection="1">
      <alignment horizontal="center"/>
      <protection locked="0"/>
    </xf>
    <xf numFmtId="164" fontId="0" fillId="7" borderId="0" xfId="0" applyNumberFormat="1" applyFill="1" applyBorder="1" applyAlignment="1" applyProtection="1">
      <alignment horizont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7" borderId="0" xfId="0" applyFill="1" applyBorder="1" applyAlignment="1" applyProtection="1">
      <alignment horizontal="left" indent="1"/>
    </xf>
    <xf numFmtId="0" fontId="24" fillId="7" borderId="40" xfId="0" applyFont="1" applyFill="1" applyBorder="1" applyAlignment="1" applyProtection="1">
      <alignment horizontal="center"/>
    </xf>
    <xf numFmtId="2" fontId="24" fillId="7" borderId="0" xfId="0" applyNumberFormat="1" applyFont="1" applyFill="1" applyBorder="1" applyAlignment="1" applyProtection="1">
      <alignment horizontal="center"/>
    </xf>
    <xf numFmtId="0" fontId="24" fillId="7" borderId="0" xfId="0" applyFont="1" applyFill="1" applyBorder="1" applyAlignment="1" applyProtection="1">
      <alignment horizontal="center"/>
    </xf>
    <xf numFmtId="2" fontId="24" fillId="9" borderId="1" xfId="0" applyNumberFormat="1" applyFont="1" applyFill="1" applyBorder="1" applyAlignment="1" applyProtection="1">
      <alignment horizontal="center"/>
      <protection locked="0"/>
    </xf>
    <xf numFmtId="0" fontId="24" fillId="7" borderId="42" xfId="0" applyFont="1" applyFill="1" applyBorder="1" applyAlignment="1" applyProtection="1">
      <alignment horizontal="center"/>
    </xf>
    <xf numFmtId="0" fontId="24" fillId="7" borderId="36" xfId="0" applyFont="1" applyFill="1" applyBorder="1" applyAlignment="1" applyProtection="1">
      <alignment horizontal="center"/>
    </xf>
    <xf numFmtId="0" fontId="25" fillId="7" borderId="0" xfId="0" applyFont="1" applyFill="1" applyBorder="1" applyAlignment="1" applyProtection="1">
      <alignment horizontal="center"/>
    </xf>
    <xf numFmtId="0" fontId="24" fillId="7" borderId="40" xfId="0" applyFont="1" applyFill="1" applyBorder="1" applyAlignment="1" applyProtection="1">
      <alignment horizontal="center" vertical="center"/>
    </xf>
    <xf numFmtId="2" fontId="24" fillId="7" borderId="0" xfId="0" applyNumberFormat="1" applyFont="1" applyFill="1" applyBorder="1" applyAlignment="1" applyProtection="1">
      <alignment horizontal="center" vertical="center"/>
    </xf>
    <xf numFmtId="165" fontId="24" fillId="9" borderId="1" xfId="0" applyNumberFormat="1" applyFont="1" applyFill="1" applyBorder="1" applyAlignment="1" applyProtection="1">
      <alignment horizontal="center"/>
      <protection locked="0"/>
    </xf>
    <xf numFmtId="0" fontId="0" fillId="7" borderId="10" xfId="0" applyFont="1" applyFill="1" applyBorder="1" applyAlignment="1" applyProtection="1">
      <alignment horizontal="left" indent="1"/>
    </xf>
    <xf numFmtId="0" fontId="0" fillId="7" borderId="0" xfId="0" applyFont="1" applyFill="1" applyBorder="1" applyAlignment="1" applyProtection="1">
      <alignment horizontal="center"/>
    </xf>
    <xf numFmtId="0" fontId="0" fillId="7" borderId="0" xfId="0" applyFont="1" applyFill="1" applyBorder="1" applyProtection="1"/>
    <xf numFmtId="0" fontId="0" fillId="7" borderId="41" xfId="0" applyFont="1" applyFill="1" applyBorder="1" applyProtection="1"/>
    <xf numFmtId="165" fontId="0" fillId="7" borderId="0" xfId="0" applyNumberFormat="1" applyFont="1" applyFill="1" applyBorder="1" applyAlignment="1" applyProtection="1">
      <alignment horizontal="center"/>
    </xf>
    <xf numFmtId="1" fontId="24" fillId="9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</xf>
    <xf numFmtId="0" fontId="0" fillId="0" borderId="0" xfId="0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0" fontId="33" fillId="7" borderId="40" xfId="0" applyFont="1" applyFill="1" applyBorder="1" applyAlignment="1" applyProtection="1">
      <alignment horizontal="center"/>
    </xf>
    <xf numFmtId="0" fontId="35" fillId="7" borderId="0" xfId="0" applyFont="1" applyFill="1" applyBorder="1" applyProtection="1"/>
    <xf numFmtId="0" fontId="35" fillId="7" borderId="41" xfId="0" applyFont="1" applyFill="1" applyBorder="1" applyProtection="1"/>
    <xf numFmtId="0" fontId="7" fillId="7" borderId="0" xfId="0" applyFont="1" applyFill="1" applyBorder="1" applyAlignment="1" applyProtection="1">
      <alignment horizontal="left" vertical="center"/>
    </xf>
    <xf numFmtId="165" fontId="31" fillId="7" borderId="0" xfId="0" applyNumberFormat="1" applyFont="1" applyFill="1" applyBorder="1" applyAlignment="1" applyProtection="1">
      <alignment horizontal="center" vertical="center"/>
    </xf>
    <xf numFmtId="0" fontId="39" fillId="8" borderId="40" xfId="0" applyFont="1" applyFill="1" applyBorder="1" applyAlignment="1">
      <alignment horizontal="center"/>
    </xf>
    <xf numFmtId="0" fontId="39" fillId="0" borderId="0" xfId="0" applyFont="1"/>
    <xf numFmtId="0" fontId="39" fillId="8" borderId="42" xfId="0" applyFont="1" applyFill="1" applyBorder="1" applyAlignment="1">
      <alignment horizontal="center"/>
    </xf>
    <xf numFmtId="2" fontId="39" fillId="8" borderId="35" xfId="0" applyNumberFormat="1" applyFont="1" applyFill="1" applyBorder="1" applyAlignment="1">
      <alignment horizontal="center"/>
    </xf>
    <xf numFmtId="0" fontId="40" fillId="0" borderId="0" xfId="1" applyFont="1" applyAlignment="1" applyProtection="1">
      <alignment horizontal="center" vertical="center"/>
      <protection locked="0"/>
    </xf>
    <xf numFmtId="0" fontId="41" fillId="0" borderId="0" xfId="0" applyFont="1" applyAlignment="1">
      <alignment horizontal="center"/>
    </xf>
    <xf numFmtId="0" fontId="31" fillId="7" borderId="0" xfId="0" applyFont="1" applyFill="1" applyBorder="1" applyAlignment="1" applyProtection="1">
      <alignment horizontal="left" vertical="center"/>
    </xf>
    <xf numFmtId="0" fontId="11" fillId="8" borderId="16" xfId="0" applyFont="1" applyFill="1" applyBorder="1" applyAlignment="1" applyProtection="1">
      <alignment horizontal="center" vertical="center" wrapText="1"/>
    </xf>
    <xf numFmtId="0" fontId="0" fillId="6" borderId="12" xfId="0" applyFill="1" applyBorder="1" applyAlignment="1" applyProtection="1">
      <alignment horizontal="center"/>
    </xf>
    <xf numFmtId="0" fontId="8" fillId="6" borderId="50" xfId="0" applyFont="1" applyFill="1" applyBorder="1" applyAlignment="1" applyProtection="1">
      <alignment horizontal="center" vertical="center"/>
    </xf>
    <xf numFmtId="0" fontId="7" fillId="6" borderId="19" xfId="0" applyFont="1" applyFill="1" applyBorder="1" applyAlignment="1" applyProtection="1">
      <alignment horizontal="center" vertical="center"/>
    </xf>
    <xf numFmtId="0" fontId="0" fillId="7" borderId="36" xfId="0" applyFill="1" applyBorder="1"/>
    <xf numFmtId="0" fontId="0" fillId="7" borderId="37" xfId="0" applyFill="1" applyBorder="1"/>
    <xf numFmtId="0" fontId="0" fillId="7" borderId="42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34" xfId="0" applyFill="1" applyBorder="1" applyAlignment="1">
      <alignment horizontal="left" indent="1"/>
    </xf>
    <xf numFmtId="1" fontId="0" fillId="7" borderId="36" xfId="0" applyNumberFormat="1" applyFill="1" applyBorder="1" applyAlignment="1">
      <alignment horizontal="center" vertical="center"/>
    </xf>
    <xf numFmtId="0" fontId="7" fillId="6" borderId="21" xfId="0" applyFont="1" applyFill="1" applyBorder="1" applyAlignment="1" applyProtection="1">
      <alignment horizontal="center" vertical="center"/>
    </xf>
    <xf numFmtId="0" fontId="8" fillId="6" borderId="43" xfId="0" applyFont="1" applyFill="1" applyBorder="1" applyAlignment="1" applyProtection="1">
      <alignment horizontal="center" vertical="center"/>
    </xf>
    <xf numFmtId="0" fontId="0" fillId="5" borderId="21" xfId="0" applyFill="1" applyBorder="1" applyAlignment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32" fillId="0" borderId="0" xfId="1" applyFont="1" applyBorder="1" applyAlignment="1" applyProtection="1">
      <alignment horizontal="center" vertical="center"/>
    </xf>
    <xf numFmtId="0" fontId="32" fillId="0" borderId="0" xfId="1" applyFont="1" applyBorder="1" applyAlignment="1" applyProtection="1">
      <alignment horizontal="center"/>
    </xf>
    <xf numFmtId="0" fontId="32" fillId="0" borderId="0" xfId="1" applyFont="1" applyAlignment="1" applyProtection="1">
      <alignment horizontal="center" vertical="center"/>
    </xf>
    <xf numFmtId="0" fontId="32" fillId="0" borderId="0" xfId="1" applyFont="1" applyAlignment="1" applyProtection="1">
      <alignment horizont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vertical="center"/>
    </xf>
    <xf numFmtId="0" fontId="39" fillId="8" borderId="38" xfId="0" applyFont="1" applyFill="1" applyBorder="1" applyAlignment="1">
      <alignment horizontal="center"/>
    </xf>
    <xf numFmtId="164" fontId="39" fillId="2" borderId="0" xfId="0" applyNumberFormat="1" applyFont="1" applyFill="1" applyBorder="1" applyAlignment="1">
      <alignment horizontal="center" vertical="center"/>
    </xf>
    <xf numFmtId="165" fontId="39" fillId="2" borderId="0" xfId="0" applyNumberFormat="1" applyFont="1" applyFill="1" applyBorder="1" applyAlignment="1">
      <alignment horizontal="center" vertical="center"/>
    </xf>
    <xf numFmtId="164" fontId="39" fillId="2" borderId="36" xfId="0" applyNumberFormat="1" applyFont="1" applyFill="1" applyBorder="1" applyAlignment="1">
      <alignment horizontal="center" vertical="center"/>
    </xf>
    <xf numFmtId="165" fontId="39" fillId="2" borderId="36" xfId="0" applyNumberFormat="1" applyFont="1" applyFill="1" applyBorder="1" applyAlignment="1">
      <alignment horizontal="center" vertical="center"/>
    </xf>
    <xf numFmtId="164" fontId="39" fillId="3" borderId="0" xfId="0" applyNumberFormat="1" applyFont="1" applyFill="1" applyBorder="1" applyAlignment="1">
      <alignment horizontal="center" vertical="center"/>
    </xf>
    <xf numFmtId="165" fontId="39" fillId="3" borderId="0" xfId="0" applyNumberFormat="1" applyFont="1" applyFill="1" applyBorder="1" applyAlignment="1">
      <alignment horizontal="center" vertical="center"/>
    </xf>
    <xf numFmtId="164" fontId="39" fillId="3" borderId="36" xfId="0" applyNumberFormat="1" applyFont="1" applyFill="1" applyBorder="1" applyAlignment="1">
      <alignment horizontal="center" vertical="center"/>
    </xf>
    <xf numFmtId="165" fontId="39" fillId="3" borderId="36" xfId="0" applyNumberFormat="1" applyFont="1" applyFill="1" applyBorder="1" applyAlignment="1">
      <alignment horizontal="center" vertical="center"/>
    </xf>
    <xf numFmtId="164" fontId="39" fillId="4" borderId="0" xfId="0" applyNumberFormat="1" applyFont="1" applyFill="1" applyBorder="1" applyAlignment="1">
      <alignment horizontal="center" vertical="center"/>
    </xf>
    <xf numFmtId="165" fontId="39" fillId="4" borderId="0" xfId="0" applyNumberFormat="1" applyFont="1" applyFill="1" applyBorder="1" applyAlignment="1">
      <alignment horizontal="center" vertical="center"/>
    </xf>
    <xf numFmtId="164" fontId="39" fillId="4" borderId="36" xfId="0" applyNumberFormat="1" applyFont="1" applyFill="1" applyBorder="1" applyAlignment="1">
      <alignment horizontal="center" vertical="center"/>
    </xf>
    <xf numFmtId="0" fontId="6" fillId="8" borderId="36" xfId="1" applyFont="1" applyFill="1" applyBorder="1" applyAlignment="1" applyProtection="1">
      <alignment horizontal="center" vertical="center"/>
    </xf>
    <xf numFmtId="0" fontId="32" fillId="0" borderId="0" xfId="1" applyFont="1" applyAlignment="1" applyProtection="1">
      <alignment horizontal="left"/>
    </xf>
    <xf numFmtId="0" fontId="40" fillId="0" borderId="0" xfId="1" applyFont="1" applyAlignment="1" applyProtection="1">
      <alignment horizontal="left" vertical="center"/>
    </xf>
    <xf numFmtId="0" fontId="32" fillId="0" borderId="0" xfId="0" applyFont="1" applyAlignment="1">
      <alignment horizontal="left"/>
    </xf>
    <xf numFmtId="0" fontId="7" fillId="7" borderId="0" xfId="0" applyFont="1" applyFill="1" applyBorder="1" applyProtection="1"/>
    <xf numFmtId="0" fontId="0" fillId="7" borderId="0" xfId="0" applyFill="1" applyProtection="1"/>
    <xf numFmtId="0" fontId="0" fillId="7" borderId="0" xfId="0" applyFill="1" applyAlignment="1" applyProtection="1">
      <alignment horizontal="center"/>
    </xf>
    <xf numFmtId="165" fontId="8" fillId="7" borderId="0" xfId="0" applyNumberFormat="1" applyFont="1" applyFill="1" applyBorder="1" applyAlignment="1" applyProtection="1">
      <alignment horizontal="center" vertical="center"/>
    </xf>
    <xf numFmtId="165" fontId="0" fillId="7" borderId="0" xfId="0" applyNumberFormat="1" applyFont="1" applyFill="1" applyAlignment="1" applyProtection="1">
      <alignment horizontal="center"/>
    </xf>
    <xf numFmtId="0" fontId="38" fillId="8" borderId="36" xfId="0" applyFont="1" applyFill="1" applyBorder="1" applyAlignment="1">
      <alignment horizontal="center" vertical="center"/>
    </xf>
    <xf numFmtId="0" fontId="38" fillId="8" borderId="42" xfId="0" applyFont="1" applyFill="1" applyBorder="1" applyAlignment="1">
      <alignment horizontal="center" vertical="center"/>
    </xf>
    <xf numFmtId="0" fontId="38" fillId="8" borderId="37" xfId="0" applyFont="1" applyFill="1" applyBorder="1" applyAlignment="1">
      <alignment horizontal="center" vertical="center"/>
    </xf>
    <xf numFmtId="0" fontId="38" fillId="8" borderId="53" xfId="0" applyFont="1" applyFill="1" applyBorder="1" applyAlignment="1">
      <alignment horizontal="center" vertical="center"/>
    </xf>
    <xf numFmtId="0" fontId="8" fillId="6" borderId="15" xfId="0" applyFont="1" applyFill="1" applyBorder="1" applyAlignment="1" applyProtection="1">
      <alignment horizontal="center" vertical="center"/>
    </xf>
    <xf numFmtId="0" fontId="8" fillId="6" borderId="51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/>
    </xf>
    <xf numFmtId="1" fontId="7" fillId="7" borderId="0" xfId="0" applyNumberFormat="1" applyFont="1" applyFill="1" applyBorder="1" applyAlignment="1" applyProtection="1">
      <alignment horizontal="center"/>
    </xf>
    <xf numFmtId="0" fontId="7" fillId="7" borderId="0" xfId="0" applyFont="1" applyFill="1" applyBorder="1" applyAlignment="1" applyProtection="1">
      <alignment horizontal="center"/>
    </xf>
    <xf numFmtId="2" fontId="24" fillId="0" borderId="1" xfId="0" applyNumberFormat="1" applyFont="1" applyFill="1" applyBorder="1" applyAlignment="1" applyProtection="1">
      <alignment horizontal="center"/>
      <protection locked="0"/>
    </xf>
    <xf numFmtId="0" fontId="8" fillId="6" borderId="15" xfId="0" applyFont="1" applyFill="1" applyBorder="1" applyAlignment="1" applyProtection="1">
      <alignment horizontal="center"/>
    </xf>
    <xf numFmtId="0" fontId="0" fillId="0" borderId="0" xfId="0" applyFill="1"/>
    <xf numFmtId="0" fontId="45" fillId="0" borderId="0" xfId="0" applyFont="1" applyAlignment="1">
      <alignment vertical="center"/>
    </xf>
    <xf numFmtId="2" fontId="45" fillId="8" borderId="2" xfId="0" applyNumberFormat="1" applyFont="1" applyFill="1" applyBorder="1" applyAlignment="1">
      <alignment horizontal="left" vertical="center"/>
    </xf>
    <xf numFmtId="2" fontId="45" fillId="8" borderId="2" xfId="0" applyNumberFormat="1" applyFont="1" applyFill="1" applyBorder="1" applyAlignment="1">
      <alignment horizontal="center" vertical="center"/>
    </xf>
    <xf numFmtId="165" fontId="45" fillId="8" borderId="2" xfId="0" applyNumberFormat="1" applyFont="1" applyFill="1" applyBorder="1" applyAlignment="1">
      <alignment horizontal="center" vertical="center"/>
    </xf>
    <xf numFmtId="164" fontId="45" fillId="8" borderId="2" xfId="0" applyNumberFormat="1" applyFont="1" applyFill="1" applyBorder="1" applyAlignment="1">
      <alignment horizontal="center" vertical="center"/>
    </xf>
    <xf numFmtId="164" fontId="45" fillId="8" borderId="39" xfId="0" applyNumberFormat="1" applyFont="1" applyFill="1" applyBorder="1" applyAlignment="1">
      <alignment horizontal="center" vertical="center"/>
    </xf>
    <xf numFmtId="0" fontId="38" fillId="8" borderId="35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/>
    </xf>
    <xf numFmtId="0" fontId="46" fillId="8" borderId="38" xfId="0" applyFont="1" applyFill="1" applyBorder="1" applyAlignment="1">
      <alignment horizontal="left" vertical="center"/>
    </xf>
    <xf numFmtId="0" fontId="46" fillId="8" borderId="2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17" fillId="7" borderId="0" xfId="0" applyNumberFormat="1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7" fillId="7" borderId="40" xfId="0" applyFont="1" applyFill="1" applyBorder="1" applyAlignment="1" applyProtection="1">
      <alignment horizontal="center" vertical="center"/>
    </xf>
    <xf numFmtId="165" fontId="0" fillId="9" borderId="1" xfId="0" applyNumberFormat="1" applyFill="1" applyBorder="1" applyAlignment="1" applyProtection="1">
      <alignment horizontal="center" vertical="center"/>
      <protection locked="0"/>
    </xf>
    <xf numFmtId="0" fontId="0" fillId="7" borderId="41" xfId="0" applyFill="1" applyBorder="1" applyAlignment="1" applyProtection="1">
      <alignment horizontal="center" vertical="center"/>
    </xf>
    <xf numFmtId="0" fontId="0" fillId="7" borderId="37" xfId="0" applyFill="1" applyBorder="1" applyAlignment="1" applyProtection="1">
      <alignment horizontal="center" vertical="center"/>
    </xf>
    <xf numFmtId="0" fontId="38" fillId="8" borderId="2" xfId="0" applyFont="1" applyFill="1" applyBorder="1" applyAlignment="1">
      <alignment horizontal="center" vertical="center"/>
    </xf>
    <xf numFmtId="165" fontId="8" fillId="9" borderId="1" xfId="0" applyNumberFormat="1" applyFont="1" applyFill="1" applyBorder="1" applyAlignment="1" applyProtection="1">
      <alignment horizontal="center" vertical="center"/>
      <protection locked="0"/>
    </xf>
    <xf numFmtId="1" fontId="24" fillId="0" borderId="1" xfId="0" applyNumberFormat="1" applyFont="1" applyFill="1" applyBorder="1" applyAlignment="1" applyProtection="1">
      <alignment horizontal="center"/>
      <protection locked="0"/>
    </xf>
    <xf numFmtId="0" fontId="7" fillId="5" borderId="19" xfId="0" applyFont="1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4" xfId="0" applyFill="1" applyBorder="1" applyAlignment="1">
      <alignment horizontal="left" vertical="center" indent="1"/>
    </xf>
    <xf numFmtId="165" fontId="38" fillId="8" borderId="37" xfId="0" applyNumberFormat="1" applyFont="1" applyFill="1" applyBorder="1" applyAlignment="1">
      <alignment horizontal="center" vertical="center"/>
    </xf>
    <xf numFmtId="2" fontId="39" fillId="8" borderId="38" xfId="0" applyNumberFormat="1" applyFont="1" applyFill="1" applyBorder="1" applyAlignment="1">
      <alignment horizontal="center"/>
    </xf>
    <xf numFmtId="165" fontId="39" fillId="8" borderId="2" xfId="0" applyNumberFormat="1" applyFont="1" applyFill="1" applyBorder="1" applyAlignment="1">
      <alignment horizontal="center"/>
    </xf>
    <xf numFmtId="164" fontId="39" fillId="8" borderId="2" xfId="0" applyNumberFormat="1" applyFont="1" applyFill="1" applyBorder="1" applyAlignment="1">
      <alignment horizontal="center"/>
    </xf>
    <xf numFmtId="165" fontId="39" fillId="8" borderId="39" xfId="0" applyNumberFormat="1" applyFont="1" applyFill="1" applyBorder="1" applyAlignment="1">
      <alignment horizontal="center"/>
    </xf>
    <xf numFmtId="0" fontId="38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9" fillId="0" borderId="0" xfId="0" applyFont="1" applyFill="1"/>
    <xf numFmtId="0" fontId="38" fillId="8" borderId="0" xfId="0" applyFont="1" applyFill="1" applyBorder="1" applyAlignment="1">
      <alignment horizontal="left" vertical="center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0" fillId="7" borderId="0" xfId="0" applyFill="1" applyBorder="1" applyAlignment="1" applyProtection="1">
      <alignment horizontal="center" vertical="center"/>
    </xf>
    <xf numFmtId="0" fontId="24" fillId="7" borderId="0" xfId="0" applyFont="1" applyFill="1" applyBorder="1" applyAlignment="1" applyProtection="1">
      <alignment horizontal="center" vertical="center"/>
    </xf>
    <xf numFmtId="0" fontId="33" fillId="7" borderId="0" xfId="0" applyFont="1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left" vertical="center" indent="1"/>
    </xf>
    <xf numFmtId="0" fontId="35" fillId="7" borderId="10" xfId="0" applyFont="1" applyFill="1" applyBorder="1" applyAlignment="1" applyProtection="1">
      <alignment horizontal="left" vertical="center" indent="1"/>
    </xf>
    <xf numFmtId="2" fontId="0" fillId="7" borderId="0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0" fontId="0" fillId="0" borderId="40" xfId="0" applyBorder="1" applyAlignment="1">
      <alignment horizontal="center" vertical="center"/>
    </xf>
    <xf numFmtId="0" fontId="38" fillId="8" borderId="0" xfId="0" applyFont="1" applyFill="1" applyBorder="1" applyAlignment="1">
      <alignment horizontal="center"/>
    </xf>
    <xf numFmtId="0" fontId="0" fillId="8" borderId="39" xfId="0" applyFont="1" applyFill="1" applyBorder="1" applyAlignment="1"/>
    <xf numFmtId="0" fontId="48" fillId="8" borderId="38" xfId="0" applyFont="1" applyFill="1" applyBorder="1" applyAlignment="1">
      <alignment horizontal="center"/>
    </xf>
    <xf numFmtId="165" fontId="48" fillId="8" borderId="2" xfId="0" applyNumberFormat="1" applyFont="1" applyFill="1" applyBorder="1" applyAlignment="1">
      <alignment horizontal="center"/>
    </xf>
    <xf numFmtId="0" fontId="38" fillId="8" borderId="2" xfId="0" applyFont="1" applyFill="1" applyBorder="1" applyAlignment="1">
      <alignment horizontal="center"/>
    </xf>
    <xf numFmtId="0" fontId="38" fillId="8" borderId="39" xfId="0" applyFont="1" applyFill="1" applyBorder="1" applyAlignment="1">
      <alignment horizontal="center"/>
    </xf>
    <xf numFmtId="0" fontId="0" fillId="0" borderId="0" xfId="0" applyFont="1" applyAlignment="1"/>
    <xf numFmtId="0" fontId="39" fillId="0" borderId="0" xfId="0" applyFont="1" applyAlignment="1"/>
    <xf numFmtId="0" fontId="38" fillId="8" borderId="40" xfId="0" applyFont="1" applyFill="1" applyBorder="1" applyAlignment="1">
      <alignment horizontal="center" vertical="center"/>
    </xf>
    <xf numFmtId="0" fontId="38" fillId="8" borderId="40" xfId="0" applyFont="1" applyFill="1" applyBorder="1" applyAlignment="1">
      <alignment horizontal="center"/>
    </xf>
    <xf numFmtId="0" fontId="0" fillId="6" borderId="15" xfId="0" applyFill="1" applyBorder="1" applyAlignment="1" applyProtection="1">
      <alignment horizontal="center" vertical="center"/>
    </xf>
    <xf numFmtId="0" fontId="8" fillId="6" borderId="29" xfId="0" applyFont="1" applyFill="1" applyBorder="1" applyAlignment="1" applyProtection="1">
      <alignment horizontal="center" vertical="center"/>
    </xf>
    <xf numFmtId="165" fontId="8" fillId="6" borderId="3" xfId="0" applyNumberFormat="1" applyFont="1" applyFill="1" applyBorder="1" applyAlignment="1" applyProtection="1">
      <alignment horizontal="center" vertical="center"/>
    </xf>
    <xf numFmtId="165" fontId="8" fillId="6" borderId="52" xfId="0" applyNumberFormat="1" applyFont="1" applyFill="1" applyBorder="1" applyAlignment="1" applyProtection="1">
      <alignment horizontal="center" vertical="center"/>
    </xf>
    <xf numFmtId="2" fontId="8" fillId="9" borderId="1" xfId="0" applyNumberFormat="1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</xf>
    <xf numFmtId="0" fontId="8" fillId="6" borderId="11" xfId="0" applyFont="1" applyFill="1" applyBorder="1" applyAlignment="1" applyProtection="1">
      <alignment horizontal="center" vertical="center"/>
    </xf>
    <xf numFmtId="0" fontId="8" fillId="6" borderId="5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2" fontId="0" fillId="9" borderId="24" xfId="0" applyNumberFormat="1" applyFill="1" applyBorder="1" applyAlignment="1" applyProtection="1">
      <alignment horizontal="center" vertical="center"/>
      <protection locked="0"/>
    </xf>
    <xf numFmtId="0" fontId="0" fillId="6" borderId="11" xfId="0" applyFill="1" applyBorder="1" applyAlignment="1" applyProtection="1">
      <alignment horizontal="center" vertical="center"/>
    </xf>
    <xf numFmtId="0" fontId="7" fillId="6" borderId="25" xfId="0" applyFont="1" applyFill="1" applyBorder="1" applyAlignment="1" applyProtection="1">
      <alignment horizontal="center" vertical="center"/>
    </xf>
    <xf numFmtId="0" fontId="7" fillId="6" borderId="30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24" fillId="7" borderId="36" xfId="0" applyFont="1" applyFill="1" applyBorder="1" applyAlignment="1" applyProtection="1">
      <alignment horizontal="center" vertical="center"/>
    </xf>
    <xf numFmtId="0" fontId="0" fillId="7" borderId="33" xfId="0" applyFill="1" applyBorder="1" applyAlignment="1" applyProtection="1">
      <alignment horizontal="left" vertical="center" indent="1"/>
    </xf>
    <xf numFmtId="165" fontId="50" fillId="9" borderId="1" xfId="0" applyNumberFormat="1" applyFont="1" applyFill="1" applyBorder="1" applyAlignment="1" applyProtection="1">
      <alignment horizontal="center" vertical="center"/>
      <protection locked="0"/>
    </xf>
    <xf numFmtId="1" fontId="50" fillId="9" borderId="1" xfId="0" applyNumberFormat="1" applyFont="1" applyFill="1" applyBorder="1" applyAlignment="1" applyProtection="1">
      <alignment horizontal="center" vertical="center"/>
      <protection locked="0"/>
    </xf>
    <xf numFmtId="2" fontId="39" fillId="2" borderId="40" xfId="0" applyNumberFormat="1" applyFont="1" applyFill="1" applyBorder="1" applyAlignment="1">
      <alignment horizontal="center" vertical="center"/>
    </xf>
    <xf numFmtId="165" fontId="39" fillId="2" borderId="37" xfId="0" applyNumberFormat="1" applyFont="1" applyFill="1" applyBorder="1" applyAlignment="1">
      <alignment horizontal="center" vertical="center"/>
    </xf>
    <xf numFmtId="2" fontId="39" fillId="3" borderId="40" xfId="0" applyNumberFormat="1" applyFont="1" applyFill="1" applyBorder="1" applyAlignment="1">
      <alignment horizontal="center" vertical="center"/>
    </xf>
    <xf numFmtId="165" fontId="39" fillId="3" borderId="37" xfId="0" applyNumberFormat="1" applyFont="1" applyFill="1" applyBorder="1" applyAlignment="1">
      <alignment horizontal="center" vertical="center"/>
    </xf>
    <xf numFmtId="2" fontId="39" fillId="4" borderId="42" xfId="0" applyNumberFormat="1" applyFont="1" applyFill="1" applyBorder="1" applyAlignment="1">
      <alignment horizontal="center" vertical="center"/>
    </xf>
    <xf numFmtId="165" fontId="39" fillId="4" borderId="37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2" fontId="0" fillId="7" borderId="0" xfId="0" applyNumberFormat="1" applyFill="1" applyBorder="1" applyAlignment="1" applyProtection="1">
      <alignment horizontal="center"/>
    </xf>
    <xf numFmtId="0" fontId="35" fillId="6" borderId="13" xfId="0" applyFont="1" applyFill="1" applyBorder="1" applyAlignment="1" applyProtection="1">
      <alignment horizontal="left" indent="1"/>
    </xf>
    <xf numFmtId="0" fontId="35" fillId="6" borderId="14" xfId="0" applyFont="1" applyFill="1" applyBorder="1" applyAlignment="1" applyProtection="1">
      <alignment horizontal="left" indent="1"/>
    </xf>
    <xf numFmtId="0" fontId="35" fillId="6" borderId="20" xfId="0" applyFont="1" applyFill="1" applyBorder="1" applyAlignment="1" applyProtection="1">
      <alignment horizontal="left" indent="1"/>
    </xf>
    <xf numFmtId="2" fontId="7" fillId="7" borderId="0" xfId="0" applyNumberFormat="1" applyFont="1" applyFill="1" applyBorder="1" applyAlignment="1" applyProtection="1">
      <alignment horizontal="center"/>
    </xf>
    <xf numFmtId="165" fontId="0" fillId="6" borderId="10" xfId="0" applyNumberFormat="1" applyFill="1" applyBorder="1" applyAlignment="1" applyProtection="1">
      <alignment horizontal="center"/>
    </xf>
    <xf numFmtId="0" fontId="1" fillId="7" borderId="0" xfId="0" applyFont="1" applyFill="1" applyBorder="1" applyAlignment="1" applyProtection="1">
      <alignment horizontal="center"/>
    </xf>
    <xf numFmtId="0" fontId="1" fillId="7" borderId="36" xfId="0" applyFont="1" applyFill="1" applyBorder="1" applyAlignment="1" applyProtection="1">
      <alignment horizontal="center"/>
    </xf>
    <xf numFmtId="0" fontId="7" fillId="6" borderId="36" xfId="0" applyFont="1" applyFill="1" applyBorder="1" applyAlignment="1" applyProtection="1">
      <alignment horizontal="center" vertical="center"/>
    </xf>
    <xf numFmtId="0" fontId="0" fillId="6" borderId="36" xfId="0" applyFill="1" applyBorder="1" applyAlignment="1" applyProtection="1">
      <alignment horizontal="center" vertical="center"/>
    </xf>
    <xf numFmtId="0" fontId="0" fillId="6" borderId="36" xfId="0" applyFill="1" applyBorder="1" applyAlignment="1" applyProtection="1">
      <alignment horizontal="left" vertical="center" indent="1"/>
    </xf>
    <xf numFmtId="0" fontId="0" fillId="6" borderId="37" xfId="0" applyFill="1" applyBorder="1" applyAlignment="1" applyProtection="1">
      <alignment horizontal="left" vertical="center" indent="1"/>
    </xf>
    <xf numFmtId="0" fontId="9" fillId="5" borderId="1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0" fontId="0" fillId="5" borderId="41" xfId="0" applyFill="1" applyBorder="1"/>
    <xf numFmtId="0" fontId="0" fillId="5" borderId="42" xfId="0" applyFill="1" applyBorder="1" applyAlignment="1">
      <alignment vertical="center"/>
    </xf>
    <xf numFmtId="0" fontId="0" fillId="5" borderId="36" xfId="0" applyFill="1" applyBorder="1" applyAlignment="1">
      <alignment horizontal="center" vertical="center"/>
    </xf>
    <xf numFmtId="0" fontId="0" fillId="5" borderId="42" xfId="0" applyFill="1" applyBorder="1" applyAlignment="1"/>
    <xf numFmtId="0" fontId="0" fillId="5" borderId="36" xfId="0" applyFill="1" applyBorder="1" applyAlignment="1"/>
    <xf numFmtId="0" fontId="0" fillId="5" borderId="36" xfId="0" applyFill="1" applyBorder="1"/>
    <xf numFmtId="0" fontId="0" fillId="5" borderId="37" xfId="0" applyFill="1" applyBorder="1"/>
    <xf numFmtId="0" fontId="8" fillId="5" borderId="23" xfId="0" applyFont="1" applyFill="1" applyBorder="1" applyAlignment="1">
      <alignment horizontal="center" vertical="center"/>
    </xf>
    <xf numFmtId="0" fontId="0" fillId="5" borderId="44" xfId="0" applyFill="1" applyBorder="1"/>
    <xf numFmtId="0" fontId="0" fillId="5" borderId="46" xfId="0" applyFill="1" applyBorder="1"/>
    <xf numFmtId="0" fontId="8" fillId="5" borderId="22" xfId="0" applyFont="1" applyFill="1" applyBorder="1" applyAlignment="1">
      <alignment horizontal="left" vertical="center"/>
    </xf>
    <xf numFmtId="0" fontId="0" fillId="5" borderId="5" xfId="0" applyFill="1" applyBorder="1"/>
    <xf numFmtId="0" fontId="7" fillId="5" borderId="16" xfId="0" applyFont="1" applyFill="1" applyBorder="1" applyAlignment="1">
      <alignment vertical="center"/>
    </xf>
    <xf numFmtId="0" fontId="51" fillId="5" borderId="16" xfId="0" applyFont="1" applyFill="1" applyBorder="1" applyAlignment="1">
      <alignment horizontal="left" vertical="center"/>
    </xf>
    <xf numFmtId="0" fontId="0" fillId="5" borderId="17" xfId="0" applyFill="1" applyBorder="1" applyAlignment="1"/>
    <xf numFmtId="0" fontId="0" fillId="5" borderId="17" xfId="0" applyFill="1" applyBorder="1"/>
    <xf numFmtId="0" fontId="0" fillId="5" borderId="18" xfId="0" applyFill="1" applyBorder="1"/>
    <xf numFmtId="2" fontId="33" fillId="5" borderId="22" xfId="0" applyNumberFormat="1" applyFont="1" applyFill="1" applyBorder="1" applyAlignment="1">
      <alignment horizontal="center"/>
    </xf>
    <xf numFmtId="2" fontId="7" fillId="5" borderId="36" xfId="0" applyNumberFormat="1" applyFont="1" applyFill="1" applyBorder="1" applyAlignment="1">
      <alignment horizontal="center" vertical="center"/>
    </xf>
    <xf numFmtId="2" fontId="0" fillId="9" borderId="53" xfId="0" applyNumberFormat="1" applyFill="1" applyBorder="1" applyAlignment="1" applyProtection="1">
      <alignment horizontal="center" vertical="center"/>
      <protection locked="0"/>
    </xf>
    <xf numFmtId="2" fontId="0" fillId="9" borderId="57" xfId="0" applyNumberFormat="1" applyFill="1" applyBorder="1" applyAlignment="1" applyProtection="1">
      <alignment horizontal="center" vertical="center"/>
      <protection locked="0"/>
    </xf>
    <xf numFmtId="0" fontId="8" fillId="6" borderId="58" xfId="0" applyFont="1" applyFill="1" applyBorder="1" applyAlignment="1" applyProtection="1">
      <alignment horizontal="center" vertical="center"/>
    </xf>
    <xf numFmtId="0" fontId="0" fillId="0" borderId="22" xfId="0" applyBorder="1"/>
    <xf numFmtId="0" fontId="8" fillId="5" borderId="56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165" fontId="0" fillId="5" borderId="56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2" fontId="39" fillId="2" borderId="0" xfId="0" applyNumberFormat="1" applyFont="1" applyFill="1" applyBorder="1" applyAlignment="1">
      <alignment horizontal="center"/>
    </xf>
    <xf numFmtId="2" fontId="39" fillId="3" borderId="7" xfId="0" applyNumberFormat="1" applyFont="1" applyFill="1" applyBorder="1" applyAlignment="1">
      <alignment horizontal="center"/>
    </xf>
    <xf numFmtId="2" fontId="39" fillId="4" borderId="0" xfId="0" applyNumberFormat="1" applyFont="1" applyFill="1" applyBorder="1" applyAlignment="1">
      <alignment horizontal="center"/>
    </xf>
    <xf numFmtId="0" fontId="39" fillId="8" borderId="16" xfId="0" applyFont="1" applyFill="1" applyBorder="1" applyAlignment="1">
      <alignment horizontal="center"/>
    </xf>
    <xf numFmtId="2" fontId="39" fillId="8" borderId="58" xfId="0" applyNumberFormat="1" applyFont="1" applyFill="1" applyBorder="1" applyAlignment="1">
      <alignment horizontal="center"/>
    </xf>
    <xf numFmtId="2" fontId="39" fillId="2" borderId="17" xfId="0" applyNumberFormat="1" applyFont="1" applyFill="1" applyBorder="1" applyAlignment="1">
      <alignment horizontal="center"/>
    </xf>
    <xf numFmtId="165" fontId="39" fillId="2" borderId="17" xfId="0" applyNumberFormat="1" applyFont="1" applyFill="1" applyBorder="1" applyAlignment="1">
      <alignment horizontal="center"/>
    </xf>
    <xf numFmtId="164" fontId="39" fillId="2" borderId="17" xfId="0" applyNumberFormat="1" applyFont="1" applyFill="1" applyBorder="1" applyAlignment="1">
      <alignment horizontal="center"/>
    </xf>
    <xf numFmtId="164" fontId="39" fillId="2" borderId="17" xfId="0" applyNumberFormat="1" applyFont="1" applyFill="1" applyBorder="1" applyAlignment="1">
      <alignment horizontal="center" vertical="center"/>
    </xf>
    <xf numFmtId="165" fontId="39" fillId="2" borderId="17" xfId="0" applyNumberFormat="1" applyFont="1" applyFill="1" applyBorder="1" applyAlignment="1">
      <alignment horizontal="center" vertical="center"/>
    </xf>
    <xf numFmtId="164" fontId="39" fillId="2" borderId="18" xfId="0" applyNumberFormat="1" applyFont="1" applyFill="1" applyBorder="1" applyAlignment="1">
      <alignment horizontal="center"/>
    </xf>
    <xf numFmtId="2" fontId="39" fillId="3" borderId="29" xfId="0" applyNumberFormat="1" applyFont="1" applyFill="1" applyBorder="1" applyAlignment="1">
      <alignment horizontal="center"/>
    </xf>
    <xf numFmtId="165" fontId="39" fillId="3" borderId="17" xfId="0" applyNumberFormat="1" applyFont="1" applyFill="1" applyBorder="1" applyAlignment="1">
      <alignment horizontal="center"/>
    </xf>
    <xf numFmtId="164" fontId="39" fillId="3" borderId="17" xfId="0" applyNumberFormat="1" applyFont="1" applyFill="1" applyBorder="1" applyAlignment="1">
      <alignment horizontal="center"/>
    </xf>
    <xf numFmtId="164" fontId="39" fillId="3" borderId="17" xfId="0" applyNumberFormat="1" applyFont="1" applyFill="1" applyBorder="1" applyAlignment="1">
      <alignment horizontal="center" vertical="center"/>
    </xf>
    <xf numFmtId="165" fontId="39" fillId="3" borderId="17" xfId="0" applyNumberFormat="1" applyFont="1" applyFill="1" applyBorder="1" applyAlignment="1">
      <alignment horizontal="center" vertical="center"/>
    </xf>
    <xf numFmtId="164" fontId="39" fillId="3" borderId="18" xfId="0" applyNumberFormat="1" applyFont="1" applyFill="1" applyBorder="1" applyAlignment="1">
      <alignment horizontal="center"/>
    </xf>
    <xf numFmtId="2" fontId="39" fillId="4" borderId="17" xfId="0" applyNumberFormat="1" applyFont="1" applyFill="1" applyBorder="1" applyAlignment="1">
      <alignment horizontal="center"/>
    </xf>
    <xf numFmtId="165" fontId="39" fillId="4" borderId="17" xfId="0" applyNumberFormat="1" applyFont="1" applyFill="1" applyBorder="1" applyAlignment="1">
      <alignment horizontal="center"/>
    </xf>
    <xf numFmtId="164" fontId="39" fillId="4" borderId="17" xfId="0" applyNumberFormat="1" applyFont="1" applyFill="1" applyBorder="1" applyAlignment="1">
      <alignment horizontal="center"/>
    </xf>
    <xf numFmtId="164" fontId="39" fillId="4" borderId="17" xfId="0" applyNumberFormat="1" applyFont="1" applyFill="1" applyBorder="1" applyAlignment="1">
      <alignment horizontal="center" vertical="center"/>
    </xf>
    <xf numFmtId="165" fontId="39" fillId="4" borderId="17" xfId="0" applyNumberFormat="1" applyFont="1" applyFill="1" applyBorder="1" applyAlignment="1">
      <alignment horizontal="center" vertical="center"/>
    </xf>
    <xf numFmtId="164" fontId="39" fillId="4" borderId="18" xfId="0" applyNumberFormat="1" applyFont="1" applyFill="1" applyBorder="1" applyAlignment="1">
      <alignment horizontal="center"/>
    </xf>
    <xf numFmtId="0" fontId="39" fillId="0" borderId="56" xfId="0" applyFont="1" applyBorder="1"/>
    <xf numFmtId="0" fontId="39" fillId="8" borderId="55" xfId="0" applyFont="1" applyFill="1" applyBorder="1" applyAlignment="1">
      <alignment horizontal="center"/>
    </xf>
    <xf numFmtId="2" fontId="39" fillId="8" borderId="59" xfId="0" applyNumberFormat="1" applyFont="1" applyFill="1" applyBorder="1" applyAlignment="1">
      <alignment horizontal="center"/>
    </xf>
    <xf numFmtId="164" fontId="39" fillId="2" borderId="56" xfId="0" applyNumberFormat="1" applyFont="1" applyFill="1" applyBorder="1" applyAlignment="1">
      <alignment horizontal="center" vertical="center"/>
    </xf>
    <xf numFmtId="164" fontId="39" fillId="3" borderId="56" xfId="0" applyNumberFormat="1" applyFont="1" applyFill="1" applyBorder="1" applyAlignment="1">
      <alignment horizontal="center" vertical="center"/>
    </xf>
    <xf numFmtId="164" fontId="39" fillId="4" borderId="56" xfId="0" applyNumberFormat="1" applyFont="1" applyFill="1" applyBorder="1" applyAlignment="1">
      <alignment horizontal="center" vertical="center"/>
    </xf>
    <xf numFmtId="0" fontId="39" fillId="8" borderId="19" xfId="0" applyFont="1" applyFill="1" applyBorder="1" applyAlignment="1">
      <alignment horizontal="center"/>
    </xf>
    <xf numFmtId="2" fontId="39" fillId="8" borderId="15" xfId="0" applyNumberFormat="1" applyFont="1" applyFill="1" applyBorder="1" applyAlignment="1">
      <alignment horizontal="center"/>
    </xf>
    <xf numFmtId="2" fontId="39" fillId="2" borderId="14" xfId="0" applyNumberFormat="1" applyFont="1" applyFill="1" applyBorder="1" applyAlignment="1">
      <alignment horizontal="center"/>
    </xf>
    <xf numFmtId="164" fontId="39" fillId="2" borderId="14" xfId="0" applyNumberFormat="1" applyFont="1" applyFill="1" applyBorder="1" applyAlignment="1">
      <alignment horizontal="center"/>
    </xf>
    <xf numFmtId="164" fontId="39" fillId="2" borderId="14" xfId="0" applyNumberFormat="1" applyFont="1" applyFill="1" applyBorder="1" applyAlignment="1">
      <alignment horizontal="center" vertical="center"/>
    </xf>
    <xf numFmtId="165" fontId="39" fillId="2" borderId="14" xfId="0" applyNumberFormat="1" applyFont="1" applyFill="1" applyBorder="1" applyAlignment="1">
      <alignment horizontal="center" vertical="center"/>
    </xf>
    <xf numFmtId="2" fontId="39" fillId="3" borderId="13" xfId="0" applyNumberFormat="1" applyFont="1" applyFill="1" applyBorder="1" applyAlignment="1">
      <alignment horizontal="center"/>
    </xf>
    <xf numFmtId="164" fontId="39" fillId="3" borderId="14" xfId="0" applyNumberFormat="1" applyFont="1" applyFill="1" applyBorder="1" applyAlignment="1">
      <alignment horizontal="center" vertical="center"/>
    </xf>
    <xf numFmtId="165" fontId="39" fillId="3" borderId="14" xfId="0" applyNumberFormat="1" applyFont="1" applyFill="1" applyBorder="1" applyAlignment="1">
      <alignment horizontal="center" vertical="center"/>
    </xf>
    <xf numFmtId="2" fontId="39" fillId="4" borderId="14" xfId="0" applyNumberFormat="1" applyFont="1" applyFill="1" applyBorder="1" applyAlignment="1">
      <alignment horizontal="center"/>
    </xf>
    <xf numFmtId="164" fontId="39" fillId="4" borderId="14" xfId="0" applyNumberFormat="1" applyFont="1" applyFill="1" applyBorder="1" applyAlignment="1">
      <alignment horizontal="center" vertical="center"/>
    </xf>
    <xf numFmtId="165" fontId="39" fillId="4" borderId="14" xfId="0" applyNumberFormat="1" applyFont="1" applyFill="1" applyBorder="1" applyAlignment="1">
      <alignment horizontal="center" vertical="center"/>
    </xf>
    <xf numFmtId="0" fontId="39" fillId="0" borderId="14" xfId="0" applyFont="1" applyBorder="1"/>
    <xf numFmtId="2" fontId="39" fillId="2" borderId="56" xfId="0" applyNumberFormat="1" applyFont="1" applyFill="1" applyBorder="1" applyAlignment="1">
      <alignment horizontal="center"/>
    </xf>
    <xf numFmtId="165" fontId="39" fillId="2" borderId="56" xfId="0" applyNumberFormat="1" applyFont="1" applyFill="1" applyBorder="1" applyAlignment="1">
      <alignment horizontal="center"/>
    </xf>
    <xf numFmtId="164" fontId="39" fillId="2" borderId="56" xfId="0" applyNumberFormat="1" applyFont="1" applyFill="1" applyBorder="1" applyAlignment="1">
      <alignment horizontal="center"/>
    </xf>
    <xf numFmtId="165" fontId="39" fillId="2" borderId="56" xfId="0" applyNumberFormat="1" applyFont="1" applyFill="1" applyBorder="1" applyAlignment="1">
      <alignment horizontal="center" vertical="center"/>
    </xf>
    <xf numFmtId="164" fontId="39" fillId="2" borderId="60" xfId="0" applyNumberFormat="1" applyFont="1" applyFill="1" applyBorder="1" applyAlignment="1">
      <alignment horizontal="center"/>
    </xf>
    <xf numFmtId="2" fontId="39" fillId="3" borderId="9" xfId="0" applyNumberFormat="1" applyFont="1" applyFill="1" applyBorder="1" applyAlignment="1">
      <alignment horizontal="center"/>
    </xf>
    <xf numFmtId="165" fontId="39" fillId="3" borderId="56" xfId="0" applyNumberFormat="1" applyFont="1" applyFill="1" applyBorder="1" applyAlignment="1">
      <alignment horizontal="center"/>
    </xf>
    <xf numFmtId="164" fontId="39" fillId="3" borderId="56" xfId="0" applyNumberFormat="1" applyFont="1" applyFill="1" applyBorder="1" applyAlignment="1">
      <alignment horizontal="center"/>
    </xf>
    <xf numFmtId="165" fontId="39" fillId="3" borderId="56" xfId="0" applyNumberFormat="1" applyFont="1" applyFill="1" applyBorder="1" applyAlignment="1">
      <alignment horizontal="center" vertical="center"/>
    </xf>
    <xf numFmtId="164" fontId="39" fillId="3" borderId="60" xfId="0" applyNumberFormat="1" applyFont="1" applyFill="1" applyBorder="1" applyAlignment="1">
      <alignment horizontal="center"/>
    </xf>
    <xf numFmtId="2" fontId="39" fillId="4" borderId="56" xfId="0" applyNumberFormat="1" applyFont="1" applyFill="1" applyBorder="1" applyAlignment="1">
      <alignment horizontal="center"/>
    </xf>
    <xf numFmtId="165" fontId="39" fillId="4" borderId="56" xfId="0" applyNumberFormat="1" applyFont="1" applyFill="1" applyBorder="1" applyAlignment="1">
      <alignment horizontal="center"/>
    </xf>
    <xf numFmtId="164" fontId="39" fillId="4" borderId="56" xfId="0" applyNumberFormat="1" applyFont="1" applyFill="1" applyBorder="1" applyAlignment="1">
      <alignment horizontal="center"/>
    </xf>
    <xf numFmtId="165" fontId="39" fillId="4" borderId="56" xfId="0" applyNumberFormat="1" applyFont="1" applyFill="1" applyBorder="1" applyAlignment="1">
      <alignment horizontal="center" vertical="center"/>
    </xf>
    <xf numFmtId="164" fontId="39" fillId="4" borderId="60" xfId="0" applyNumberFormat="1" applyFont="1" applyFill="1" applyBorder="1" applyAlignment="1">
      <alignment horizontal="center"/>
    </xf>
    <xf numFmtId="0" fontId="0" fillId="0" borderId="56" xfId="0" applyBorder="1"/>
    <xf numFmtId="0" fontId="39" fillId="8" borderId="21" xfId="0" applyFont="1" applyFill="1" applyBorder="1" applyAlignment="1">
      <alignment horizontal="center"/>
    </xf>
    <xf numFmtId="2" fontId="39" fillId="8" borderId="51" xfId="0" applyNumberFormat="1" applyFont="1" applyFill="1" applyBorder="1" applyAlignment="1">
      <alignment horizontal="center"/>
    </xf>
    <xf numFmtId="2" fontId="39" fillId="2" borderId="22" xfId="0" applyNumberFormat="1" applyFont="1" applyFill="1" applyBorder="1" applyAlignment="1">
      <alignment horizontal="center"/>
    </xf>
    <xf numFmtId="165" fontId="39" fillId="2" borderId="22" xfId="0" applyNumberFormat="1" applyFont="1" applyFill="1" applyBorder="1" applyAlignment="1">
      <alignment horizontal="center"/>
    </xf>
    <xf numFmtId="164" fontId="39" fillId="2" borderId="22" xfId="0" applyNumberFormat="1" applyFont="1" applyFill="1" applyBorder="1" applyAlignment="1">
      <alignment horizontal="center"/>
    </xf>
    <xf numFmtId="164" fontId="39" fillId="2" borderId="22" xfId="0" applyNumberFormat="1" applyFont="1" applyFill="1" applyBorder="1" applyAlignment="1">
      <alignment horizontal="center" vertical="center"/>
    </xf>
    <xf numFmtId="165" fontId="39" fillId="2" borderId="22" xfId="0" applyNumberFormat="1" applyFont="1" applyFill="1" applyBorder="1" applyAlignment="1">
      <alignment horizontal="center" vertical="center"/>
    </xf>
    <xf numFmtId="164" fontId="39" fillId="2" borderId="23" xfId="0" applyNumberFormat="1" applyFont="1" applyFill="1" applyBorder="1" applyAlignment="1">
      <alignment horizontal="center"/>
    </xf>
    <xf numFmtId="2" fontId="39" fillId="3" borderId="43" xfId="0" applyNumberFormat="1" applyFont="1" applyFill="1" applyBorder="1" applyAlignment="1">
      <alignment horizontal="center"/>
    </xf>
    <xf numFmtId="164" fontId="39" fillId="3" borderId="22" xfId="0" applyNumberFormat="1" applyFont="1" applyFill="1" applyBorder="1" applyAlignment="1">
      <alignment horizontal="center" vertical="center"/>
    </xf>
    <xf numFmtId="165" fontId="39" fillId="3" borderId="22" xfId="0" applyNumberFormat="1" applyFont="1" applyFill="1" applyBorder="1" applyAlignment="1">
      <alignment horizontal="center" vertical="center"/>
    </xf>
    <xf numFmtId="164" fontId="39" fillId="3" borderId="23" xfId="0" applyNumberFormat="1" applyFont="1" applyFill="1" applyBorder="1" applyAlignment="1">
      <alignment horizontal="center"/>
    </xf>
    <xf numFmtId="2" fontId="39" fillId="4" borderId="22" xfId="0" applyNumberFormat="1" applyFont="1" applyFill="1" applyBorder="1" applyAlignment="1">
      <alignment horizontal="center"/>
    </xf>
    <xf numFmtId="165" fontId="39" fillId="4" borderId="22" xfId="0" applyNumberFormat="1" applyFont="1" applyFill="1" applyBorder="1" applyAlignment="1">
      <alignment horizontal="center"/>
    </xf>
    <xf numFmtId="164" fontId="39" fillId="4" borderId="22" xfId="0" applyNumberFormat="1" applyFont="1" applyFill="1" applyBorder="1" applyAlignment="1">
      <alignment horizontal="center"/>
    </xf>
    <xf numFmtId="164" fontId="39" fillId="4" borderId="22" xfId="0" applyNumberFormat="1" applyFont="1" applyFill="1" applyBorder="1" applyAlignment="1">
      <alignment horizontal="center" vertical="center"/>
    </xf>
    <xf numFmtId="165" fontId="39" fillId="4" borderId="22" xfId="0" applyNumberFormat="1" applyFont="1" applyFill="1" applyBorder="1" applyAlignment="1">
      <alignment horizontal="center" vertical="center"/>
    </xf>
    <xf numFmtId="164" fontId="39" fillId="4" borderId="23" xfId="0" applyNumberFormat="1" applyFont="1" applyFill="1" applyBorder="1" applyAlignment="1">
      <alignment horizontal="center"/>
    </xf>
    <xf numFmtId="2" fontId="39" fillId="2" borderId="16" xfId="0" applyNumberFormat="1" applyFont="1" applyFill="1" applyBorder="1" applyAlignment="1">
      <alignment horizontal="center" vertical="center"/>
    </xf>
    <xf numFmtId="165" fontId="39" fillId="2" borderId="18" xfId="0" applyNumberFormat="1" applyFont="1" applyFill="1" applyBorder="1" applyAlignment="1">
      <alignment horizontal="center" vertical="center"/>
    </xf>
    <xf numFmtId="2" fontId="39" fillId="3" borderId="16" xfId="0" applyNumberFormat="1" applyFont="1" applyFill="1" applyBorder="1" applyAlignment="1">
      <alignment horizontal="center" vertical="center"/>
    </xf>
    <xf numFmtId="165" fontId="39" fillId="3" borderId="18" xfId="0" applyNumberFormat="1" applyFont="1" applyFill="1" applyBorder="1" applyAlignment="1">
      <alignment horizontal="center" vertical="center"/>
    </xf>
    <xf numFmtId="2" fontId="39" fillId="4" borderId="16" xfId="0" applyNumberFormat="1" applyFont="1" applyFill="1" applyBorder="1" applyAlignment="1">
      <alignment horizontal="center" vertical="center"/>
    </xf>
    <xf numFmtId="165" fontId="39" fillId="4" borderId="18" xfId="0" applyNumberFormat="1" applyFont="1" applyFill="1" applyBorder="1" applyAlignment="1">
      <alignment horizontal="center" vertical="center"/>
    </xf>
    <xf numFmtId="2" fontId="39" fillId="2" borderId="55" xfId="0" applyNumberFormat="1" applyFont="1" applyFill="1" applyBorder="1" applyAlignment="1">
      <alignment horizontal="center" vertical="center"/>
    </xf>
    <xf numFmtId="165" fontId="39" fillId="2" borderId="60" xfId="0" applyNumberFormat="1" applyFont="1" applyFill="1" applyBorder="1" applyAlignment="1">
      <alignment horizontal="center" vertical="center"/>
    </xf>
    <xf numFmtId="2" fontId="39" fillId="3" borderId="55" xfId="0" applyNumberFormat="1" applyFont="1" applyFill="1" applyBorder="1" applyAlignment="1">
      <alignment horizontal="center" vertical="center"/>
    </xf>
    <xf numFmtId="165" fontId="39" fillId="3" borderId="60" xfId="0" applyNumberFormat="1" applyFont="1" applyFill="1" applyBorder="1" applyAlignment="1">
      <alignment horizontal="center" vertical="center"/>
    </xf>
    <xf numFmtId="2" fontId="39" fillId="4" borderId="55" xfId="0" applyNumberFormat="1" applyFont="1" applyFill="1" applyBorder="1" applyAlignment="1">
      <alignment horizontal="center" vertical="center"/>
    </xf>
    <xf numFmtId="165" fontId="39" fillId="4" borderId="60" xfId="0" applyNumberFormat="1" applyFont="1" applyFill="1" applyBorder="1" applyAlignment="1">
      <alignment horizontal="center" vertical="center"/>
    </xf>
    <xf numFmtId="2" fontId="39" fillId="3" borderId="9" xfId="0" applyNumberFormat="1" applyFont="1" applyFill="1" applyBorder="1" applyAlignment="1">
      <alignment horizontal="center" vertical="center"/>
    </xf>
    <xf numFmtId="2" fontId="39" fillId="2" borderId="21" xfId="0" applyNumberFormat="1" applyFont="1" applyFill="1" applyBorder="1" applyAlignment="1">
      <alignment horizontal="center" vertical="center"/>
    </xf>
    <xf numFmtId="165" fontId="39" fillId="2" borderId="23" xfId="0" applyNumberFormat="1" applyFont="1" applyFill="1" applyBorder="1" applyAlignment="1">
      <alignment horizontal="center" vertical="center"/>
    </xf>
    <xf numFmtId="2" fontId="39" fillId="3" borderId="43" xfId="0" applyNumberFormat="1" applyFont="1" applyFill="1" applyBorder="1" applyAlignment="1">
      <alignment horizontal="center" vertical="center"/>
    </xf>
    <xf numFmtId="165" fontId="39" fillId="3" borderId="23" xfId="0" applyNumberFormat="1" applyFont="1" applyFill="1" applyBorder="1" applyAlignment="1">
      <alignment horizontal="center" vertical="center"/>
    </xf>
    <xf numFmtId="2" fontId="39" fillId="4" borderId="21" xfId="0" applyNumberFormat="1" applyFont="1" applyFill="1" applyBorder="1" applyAlignment="1">
      <alignment horizontal="center" vertical="center"/>
    </xf>
    <xf numFmtId="165" fontId="39" fillId="4" borderId="23" xfId="0" applyNumberFormat="1" applyFont="1" applyFill="1" applyBorder="1" applyAlignment="1">
      <alignment horizontal="center" vertical="center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164" fontId="39" fillId="3" borderId="36" xfId="0" applyNumberFormat="1" applyFont="1" applyFill="1" applyBorder="1" applyAlignment="1">
      <alignment horizontal="center"/>
    </xf>
    <xf numFmtId="164" fontId="39" fillId="2" borderId="2" xfId="0" applyNumberFormat="1" applyFont="1" applyFill="1" applyBorder="1" applyAlignment="1">
      <alignment horizontal="center"/>
    </xf>
    <xf numFmtId="0" fontId="39" fillId="0" borderId="40" xfId="0" applyFont="1" applyBorder="1"/>
    <xf numFmtId="0" fontId="39" fillId="0" borderId="0" xfId="0" applyFont="1" applyBorder="1"/>
    <xf numFmtId="0" fontId="39" fillId="0" borderId="40" xfId="0" applyFont="1" applyBorder="1" applyAlignment="1"/>
    <xf numFmtId="0" fontId="39" fillId="0" borderId="0" xfId="0" applyFont="1" applyBorder="1" applyAlignment="1"/>
    <xf numFmtId="0" fontId="0" fillId="0" borderId="40" xfId="0" applyBorder="1"/>
    <xf numFmtId="0" fontId="0" fillId="0" borderId="0" xfId="0" applyBorder="1"/>
    <xf numFmtId="0" fontId="0" fillId="0" borderId="0" xfId="0" applyFont="1" applyBorder="1" applyAlignment="1"/>
    <xf numFmtId="0" fontId="38" fillId="0" borderId="0" xfId="0" applyFont="1" applyBorder="1" applyAlignment="1">
      <alignment vertical="center"/>
    </xf>
    <xf numFmtId="165" fontId="0" fillId="7" borderId="0" xfId="0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7" borderId="61" xfId="0" applyFill="1" applyBorder="1" applyAlignment="1" applyProtection="1">
      <alignment horizontal="center"/>
    </xf>
    <xf numFmtId="0" fontId="7" fillId="7" borderId="38" xfId="0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8" fillId="6" borderId="14" xfId="0" applyFont="1" applyFill="1" applyBorder="1" applyAlignment="1">
      <alignment horizontal="center"/>
    </xf>
    <xf numFmtId="0" fontId="8" fillId="6" borderId="36" xfId="0" applyFont="1" applyFill="1" applyBorder="1" applyAlignment="1">
      <alignment horizontal="center"/>
    </xf>
    <xf numFmtId="164" fontId="0" fillId="6" borderId="36" xfId="0" applyNumberFormat="1" applyFill="1" applyBorder="1" applyAlignment="1" applyProtection="1">
      <alignment horizontal="center" vertical="center"/>
    </xf>
    <xf numFmtId="164" fontId="0" fillId="6" borderId="44" xfId="0" applyNumberForma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53" xfId="0" applyFont="1" applyFill="1" applyBorder="1" applyAlignment="1" applyProtection="1">
      <alignment horizontal="center"/>
      <protection locked="0"/>
    </xf>
    <xf numFmtId="165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165" fontId="0" fillId="0" borderId="1" xfId="0" applyNumberFormat="1" applyFill="1" applyBorder="1" applyAlignment="1" applyProtection="1">
      <alignment horizontal="center"/>
      <protection locked="0"/>
    </xf>
    <xf numFmtId="0" fontId="8" fillId="5" borderId="44" xfId="0" applyFont="1" applyFill="1" applyBorder="1" applyAlignment="1" applyProtection="1">
      <alignment horizontal="center"/>
    </xf>
    <xf numFmtId="165" fontId="8" fillId="5" borderId="14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/>
    </xf>
    <xf numFmtId="0" fontId="0" fillId="5" borderId="1" xfId="0" applyFill="1" applyBorder="1" applyAlignment="1" applyProtection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ont="1" applyFill="1" applyBorder="1" applyAlignment="1" applyProtection="1">
      <alignment horizontal="center"/>
    </xf>
    <xf numFmtId="164" fontId="0" fillId="5" borderId="1" xfId="0" applyNumberFormat="1" applyFont="1" applyFill="1" applyBorder="1" applyAlignment="1" applyProtection="1">
      <alignment horizontal="center"/>
    </xf>
    <xf numFmtId="1" fontId="0" fillId="5" borderId="14" xfId="0" applyNumberFormat="1" applyFont="1" applyFill="1" applyBorder="1" applyAlignment="1">
      <alignment horizontal="center"/>
    </xf>
    <xf numFmtId="0" fontId="0" fillId="5" borderId="46" xfId="0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/>
      <protection locked="0"/>
    </xf>
    <xf numFmtId="0" fontId="20" fillId="5" borderId="36" xfId="0" applyFont="1" applyFill="1" applyBorder="1" applyAlignment="1">
      <alignment horizontal="center"/>
    </xf>
    <xf numFmtId="0" fontId="7" fillId="7" borderId="34" xfId="0" quotePrefix="1" applyFont="1" applyFill="1" applyBorder="1" applyAlignment="1" applyProtection="1">
      <alignment horizontal="left" indent="1"/>
    </xf>
    <xf numFmtId="2" fontId="24" fillId="9" borderId="24" xfId="0" applyNumberFormat="1" applyFont="1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</xf>
    <xf numFmtId="0" fontId="0" fillId="7" borderId="22" xfId="0" applyFill="1" applyBorder="1" applyProtection="1"/>
    <xf numFmtId="0" fontId="0" fillId="7" borderId="23" xfId="0" applyFill="1" applyBorder="1" applyProtection="1"/>
    <xf numFmtId="0" fontId="0" fillId="7" borderId="22" xfId="0" applyFill="1" applyBorder="1" applyAlignment="1" applyProtection="1">
      <alignment horizontal="left" indent="1"/>
    </xf>
    <xf numFmtId="0" fontId="1" fillId="7" borderId="51" xfId="0" applyFont="1" applyFill="1" applyBorder="1" applyAlignment="1" applyProtection="1">
      <alignment horizontal="center" vertical="center"/>
    </xf>
    <xf numFmtId="0" fontId="24" fillId="7" borderId="62" xfId="0" applyFont="1" applyFill="1" applyBorder="1" applyAlignment="1" applyProtection="1">
      <alignment horizontal="center"/>
    </xf>
    <xf numFmtId="2" fontId="33" fillId="7" borderId="22" xfId="0" applyNumberFormat="1" applyFont="1" applyFill="1" applyBorder="1" applyAlignment="1" applyProtection="1">
      <alignment horizontal="center"/>
    </xf>
    <xf numFmtId="0" fontId="33" fillId="7" borderId="42" xfId="0" applyFont="1" applyFill="1" applyBorder="1" applyAlignment="1" applyProtection="1">
      <alignment horizontal="center"/>
    </xf>
    <xf numFmtId="165" fontId="7" fillId="7" borderId="0" xfId="0" applyNumberFormat="1" applyFont="1" applyFill="1" applyBorder="1" applyAlignment="1" applyProtection="1">
      <alignment horizontal="center" vertical="center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25" fillId="7" borderId="0" xfId="0" applyFont="1" applyFill="1" applyBorder="1" applyAlignment="1" applyProtection="1">
      <alignment horizontal="center" vertical="center"/>
    </xf>
    <xf numFmtId="0" fontId="25" fillId="7" borderId="40" xfId="0" applyFont="1" applyFill="1" applyBorder="1" applyAlignment="1" applyProtection="1">
      <alignment horizontal="center" vertical="center"/>
    </xf>
    <xf numFmtId="0" fontId="25" fillId="7" borderId="32" xfId="0" applyFont="1" applyFill="1" applyBorder="1" applyAlignment="1" applyProtection="1">
      <alignment horizontal="center" vertical="center"/>
    </xf>
    <xf numFmtId="0" fontId="0" fillId="6" borderId="13" xfId="0" applyFill="1" applyBorder="1" applyAlignment="1" applyProtection="1">
      <alignment horizontal="left" vertical="center" indent="1"/>
    </xf>
    <xf numFmtId="0" fontId="0" fillId="6" borderId="14" xfId="0" applyFill="1" applyBorder="1" applyAlignment="1" applyProtection="1">
      <alignment horizontal="left" vertical="center" indent="1"/>
    </xf>
    <xf numFmtId="0" fontId="0" fillId="6" borderId="20" xfId="0" applyFill="1" applyBorder="1" applyAlignment="1" applyProtection="1">
      <alignment horizontal="left" vertical="center" indent="1"/>
    </xf>
    <xf numFmtId="0" fontId="17" fillId="7" borderId="38" xfId="0" applyFont="1" applyFill="1" applyBorder="1" applyAlignment="1" applyProtection="1">
      <alignment horizontal="left" vertical="center" wrapText="1"/>
    </xf>
    <xf numFmtId="0" fontId="17" fillId="7" borderId="2" xfId="0" applyFont="1" applyFill="1" applyBorder="1" applyAlignment="1" applyProtection="1">
      <alignment horizontal="left" vertical="center" wrapText="1"/>
    </xf>
    <xf numFmtId="0" fontId="17" fillId="7" borderId="39" xfId="0" applyFont="1" applyFill="1" applyBorder="1" applyAlignment="1" applyProtection="1">
      <alignment horizontal="left" vertical="center" wrapText="1"/>
    </xf>
    <xf numFmtId="0" fontId="11" fillId="8" borderId="29" xfId="0" applyFont="1" applyFill="1" applyBorder="1" applyAlignment="1" applyProtection="1">
      <alignment horizontal="center" vertical="center"/>
    </xf>
    <xf numFmtId="0" fontId="11" fillId="8" borderId="17" xfId="0" applyFont="1" applyFill="1" applyBorder="1" applyAlignment="1" applyProtection="1">
      <alignment horizontal="center" vertical="center"/>
    </xf>
    <xf numFmtId="0" fontId="11" fillId="8" borderId="18" xfId="0" applyFont="1" applyFill="1" applyBorder="1" applyAlignment="1" applyProtection="1">
      <alignment horizontal="center" vertical="center"/>
    </xf>
    <xf numFmtId="0" fontId="0" fillId="6" borderId="13" xfId="0" applyFill="1" applyBorder="1" applyAlignment="1">
      <alignment horizontal="left" vertical="center" indent="1"/>
    </xf>
    <xf numFmtId="0" fontId="0" fillId="6" borderId="14" xfId="0" applyFill="1" applyBorder="1" applyAlignment="1">
      <alignment horizontal="left" vertical="center" indent="1"/>
    </xf>
    <xf numFmtId="0" fontId="0" fillId="6" borderId="20" xfId="0" applyFill="1" applyBorder="1" applyAlignment="1">
      <alignment horizontal="left" vertical="center" indent="1"/>
    </xf>
    <xf numFmtId="0" fontId="21" fillId="11" borderId="45" xfId="0" applyFont="1" applyFill="1" applyBorder="1" applyAlignment="1" applyProtection="1">
      <alignment horizontal="center" vertical="center" wrapText="1"/>
    </xf>
    <xf numFmtId="0" fontId="12" fillId="11" borderId="44" xfId="0" applyFont="1" applyFill="1" applyBorder="1" applyAlignment="1" applyProtection="1">
      <alignment horizontal="center" vertical="center"/>
    </xf>
    <xf numFmtId="0" fontId="12" fillId="11" borderId="46" xfId="0" applyFont="1" applyFill="1" applyBorder="1" applyAlignment="1" applyProtection="1">
      <alignment horizontal="center" vertical="center"/>
    </xf>
    <xf numFmtId="0" fontId="0" fillId="6" borderId="4" xfId="0" applyFill="1" applyBorder="1" applyAlignment="1" applyProtection="1">
      <alignment horizontal="left" vertical="center" indent="1"/>
    </xf>
    <xf numFmtId="0" fontId="0" fillId="6" borderId="5" xfId="0" applyFill="1" applyBorder="1" applyAlignment="1" applyProtection="1">
      <alignment horizontal="left" vertical="center" indent="1"/>
    </xf>
    <xf numFmtId="0" fontId="0" fillId="6" borderId="31" xfId="0" applyFill="1" applyBorder="1" applyAlignment="1" applyProtection="1">
      <alignment horizontal="left" vertical="center" indent="1"/>
    </xf>
    <xf numFmtId="0" fontId="0" fillId="6" borderId="43" xfId="0" applyFill="1" applyBorder="1" applyAlignment="1" applyProtection="1">
      <alignment horizontal="left" vertical="center" indent="1"/>
    </xf>
    <xf numFmtId="0" fontId="0" fillId="6" borderId="22" xfId="0" applyFill="1" applyBorder="1" applyAlignment="1" applyProtection="1">
      <alignment horizontal="left" vertical="center" indent="1"/>
    </xf>
    <xf numFmtId="0" fontId="0" fillId="6" borderId="23" xfId="0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left" vertical="center" wrapText="1"/>
    </xf>
    <xf numFmtId="0" fontId="17" fillId="7" borderId="0" xfId="0" applyFont="1" applyFill="1" applyBorder="1" applyAlignment="1" applyProtection="1">
      <alignment horizontal="left" vertical="center" wrapText="1"/>
    </xf>
    <xf numFmtId="0" fontId="17" fillId="7" borderId="41" xfId="0" applyFont="1" applyFill="1" applyBorder="1" applyAlignment="1" applyProtection="1">
      <alignment horizontal="left" vertical="center" wrapText="1"/>
    </xf>
    <xf numFmtId="0" fontId="27" fillId="10" borderId="45" xfId="0" applyFont="1" applyFill="1" applyBorder="1" applyAlignment="1" applyProtection="1">
      <alignment horizontal="center" vertical="center"/>
    </xf>
    <xf numFmtId="0" fontId="27" fillId="10" borderId="44" xfId="0" applyFont="1" applyFill="1" applyBorder="1" applyAlignment="1" applyProtection="1">
      <alignment horizontal="center" vertical="center"/>
    </xf>
    <xf numFmtId="0" fontId="27" fillId="10" borderId="46" xfId="0" applyFont="1" applyFill="1" applyBorder="1" applyAlignment="1" applyProtection="1">
      <alignment horizontal="center" vertical="center"/>
    </xf>
    <xf numFmtId="0" fontId="28" fillId="12" borderId="45" xfId="0" applyFont="1" applyFill="1" applyBorder="1" applyAlignment="1" applyProtection="1">
      <alignment horizontal="center" vertical="center"/>
    </xf>
    <xf numFmtId="0" fontId="28" fillId="12" borderId="44" xfId="0" applyFont="1" applyFill="1" applyBorder="1" applyAlignment="1" applyProtection="1">
      <alignment horizontal="center" vertical="center"/>
    </xf>
    <xf numFmtId="0" fontId="28" fillId="12" borderId="46" xfId="0" applyFont="1" applyFill="1" applyBorder="1" applyAlignment="1" applyProtection="1">
      <alignment horizontal="center" vertical="center"/>
    </xf>
    <xf numFmtId="0" fontId="11" fillId="8" borderId="29" xfId="0" applyFont="1" applyFill="1" applyBorder="1" applyAlignment="1" applyProtection="1">
      <alignment horizontal="center"/>
    </xf>
    <xf numFmtId="0" fontId="11" fillId="8" borderId="17" xfId="0" applyFont="1" applyFill="1" applyBorder="1" applyAlignment="1" applyProtection="1">
      <alignment horizontal="center"/>
    </xf>
    <xf numFmtId="0" fontId="11" fillId="8" borderId="18" xfId="0" applyFont="1" applyFill="1" applyBorder="1" applyAlignment="1" applyProtection="1">
      <alignment horizontal="center"/>
    </xf>
    <xf numFmtId="0" fontId="0" fillId="6" borderId="13" xfId="0" applyFont="1" applyFill="1" applyBorder="1" applyAlignment="1" applyProtection="1">
      <alignment horizontal="left" vertical="center" indent="1"/>
    </xf>
    <xf numFmtId="0" fontId="0" fillId="6" borderId="14" xfId="0" applyFont="1" applyFill="1" applyBorder="1" applyAlignment="1" applyProtection="1">
      <alignment horizontal="left" vertical="center" indent="1"/>
    </xf>
    <xf numFmtId="0" fontId="0" fillId="6" borderId="20" xfId="0" applyFont="1" applyFill="1" applyBorder="1" applyAlignment="1" applyProtection="1">
      <alignment horizontal="left" vertical="center" indent="1"/>
    </xf>
    <xf numFmtId="0" fontId="17" fillId="7" borderId="40" xfId="0" applyFont="1" applyFill="1" applyBorder="1" applyAlignment="1" applyProtection="1">
      <alignment horizontal="center" vertical="center"/>
    </xf>
    <xf numFmtId="0" fontId="17" fillId="7" borderId="0" xfId="0" applyFont="1" applyFill="1" applyBorder="1" applyAlignment="1" applyProtection="1">
      <alignment horizontal="center" vertical="center"/>
    </xf>
    <xf numFmtId="0" fontId="17" fillId="7" borderId="41" xfId="0" applyFont="1" applyFill="1" applyBorder="1" applyAlignment="1" applyProtection="1">
      <alignment horizontal="center" vertical="center"/>
    </xf>
    <xf numFmtId="0" fontId="17" fillId="7" borderId="38" xfId="0" applyFont="1" applyFill="1" applyBorder="1" applyAlignment="1" applyProtection="1">
      <alignment horizontal="center" vertical="center"/>
    </xf>
    <xf numFmtId="0" fontId="17" fillId="7" borderId="2" xfId="0" applyFont="1" applyFill="1" applyBorder="1" applyAlignment="1" applyProtection="1">
      <alignment horizontal="center" vertical="center"/>
    </xf>
    <xf numFmtId="0" fontId="17" fillId="7" borderId="39" xfId="0" applyFont="1" applyFill="1" applyBorder="1" applyAlignment="1" applyProtection="1">
      <alignment horizontal="center" vertical="center"/>
    </xf>
    <xf numFmtId="0" fontId="49" fillId="7" borderId="4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1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165" fontId="0" fillId="7" borderId="0" xfId="0" applyNumberFormat="1" applyFill="1" applyBorder="1" applyAlignment="1" applyProtection="1">
      <alignment horizontal="center" vertical="center"/>
    </xf>
    <xf numFmtId="1" fontId="0" fillId="7" borderId="0" xfId="0" applyNumberFormat="1" applyFill="1" applyBorder="1" applyAlignment="1" applyProtection="1">
      <alignment horizontal="center" vertical="center"/>
    </xf>
    <xf numFmtId="1" fontId="0" fillId="9" borderId="45" xfId="0" applyNumberFormat="1" applyFill="1" applyBorder="1" applyAlignment="1" applyProtection="1">
      <alignment horizontal="center" vertical="center"/>
      <protection locked="0"/>
    </xf>
    <xf numFmtId="1" fontId="0" fillId="9" borderId="46" xfId="0" applyNumberFormat="1" applyFill="1" applyBorder="1" applyAlignment="1" applyProtection="1">
      <alignment horizontal="center" vertical="center"/>
      <protection locked="0"/>
    </xf>
    <xf numFmtId="2" fontId="0" fillId="7" borderId="0" xfId="0" applyNumberFormat="1" applyFill="1" applyBorder="1" applyAlignment="1" applyProtection="1">
      <alignment horizontal="center" vertical="center"/>
    </xf>
    <xf numFmtId="2" fontId="0" fillId="7" borderId="36" xfId="0" applyNumberFormat="1" applyFill="1" applyBorder="1" applyAlignment="1" applyProtection="1">
      <alignment horizontal="center" vertical="center"/>
    </xf>
    <xf numFmtId="2" fontId="0" fillId="7" borderId="0" xfId="0" applyNumberFormat="1" applyFont="1" applyFill="1" applyBorder="1" applyAlignment="1" applyProtection="1">
      <alignment horizontal="center" vertical="center" wrapText="1"/>
    </xf>
    <xf numFmtId="2" fontId="24" fillId="9" borderId="45" xfId="0" applyNumberFormat="1" applyFont="1" applyFill="1" applyBorder="1" applyAlignment="1" applyProtection="1">
      <alignment horizontal="center"/>
      <protection locked="0"/>
    </xf>
    <xf numFmtId="2" fontId="24" fillId="9" borderId="46" xfId="0" applyNumberFormat="1" applyFont="1" applyFill="1" applyBorder="1" applyAlignment="1" applyProtection="1">
      <alignment horizontal="center"/>
      <protection locked="0"/>
    </xf>
    <xf numFmtId="2" fontId="0" fillId="7" borderId="0" xfId="0" applyNumberFormat="1" applyFill="1" applyBorder="1" applyAlignment="1" applyProtection="1">
      <alignment horizontal="center"/>
    </xf>
    <xf numFmtId="2" fontId="24" fillId="9" borderId="45" xfId="0" applyNumberFormat="1" applyFont="1" applyFill="1" applyBorder="1" applyAlignment="1" applyProtection="1">
      <alignment horizontal="center" vertical="center"/>
      <protection locked="0"/>
    </xf>
    <xf numFmtId="2" fontId="24" fillId="9" borderId="46" xfId="0" applyNumberFormat="1" applyFont="1" applyFill="1" applyBorder="1" applyAlignment="1" applyProtection="1">
      <alignment horizontal="center" vertical="center"/>
      <protection locked="0"/>
    </xf>
    <xf numFmtId="1" fontId="24" fillId="7" borderId="36" xfId="0" applyNumberFormat="1" applyFont="1" applyFill="1" applyBorder="1" applyAlignment="1" applyProtection="1">
      <alignment horizontal="center" vertical="center"/>
    </xf>
    <xf numFmtId="165" fontId="35" fillId="9" borderId="45" xfId="0" applyNumberFormat="1" applyFont="1" applyFill="1" applyBorder="1" applyAlignment="1" applyProtection="1">
      <alignment horizontal="center"/>
      <protection locked="0"/>
    </xf>
    <xf numFmtId="165" fontId="35" fillId="9" borderId="46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23" xfId="0" applyBorder="1"/>
    <xf numFmtId="0" fontId="21" fillId="11" borderId="44" xfId="0" applyFont="1" applyFill="1" applyBorder="1" applyAlignment="1" applyProtection="1">
      <alignment horizontal="center" vertical="center" wrapText="1"/>
    </xf>
    <xf numFmtId="0" fontId="21" fillId="11" borderId="46" xfId="0" applyFont="1" applyFill="1" applyBorder="1" applyAlignment="1" applyProtection="1">
      <alignment horizontal="center" vertical="center" wrapText="1"/>
    </xf>
    <xf numFmtId="0" fontId="17" fillId="7" borderId="54" xfId="0" applyFont="1" applyFill="1" applyBorder="1" applyAlignment="1" applyProtection="1">
      <alignment horizontal="left" vertical="center" wrapText="1"/>
    </xf>
    <xf numFmtId="0" fontId="17" fillId="7" borderId="5" xfId="0" applyFont="1" applyFill="1" applyBorder="1" applyAlignment="1" applyProtection="1">
      <alignment horizontal="left" vertical="center" wrapText="1"/>
    </xf>
    <xf numFmtId="0" fontId="17" fillId="7" borderId="31" xfId="0" applyFont="1" applyFill="1" applyBorder="1" applyAlignment="1" applyProtection="1">
      <alignment horizontal="left" vertical="center" wrapText="1"/>
    </xf>
    <xf numFmtId="0" fontId="0" fillId="0" borderId="17" xfId="0" applyBorder="1"/>
    <xf numFmtId="0" fontId="0" fillId="0" borderId="18" xfId="0" applyBorder="1"/>
    <xf numFmtId="0" fontId="35" fillId="6" borderId="13" xfId="0" applyFont="1" applyFill="1" applyBorder="1" applyAlignment="1" applyProtection="1">
      <alignment horizontal="left" indent="1"/>
    </xf>
    <xf numFmtId="0" fontId="0" fillId="0" borderId="14" xfId="0" applyBorder="1"/>
    <xf numFmtId="0" fontId="0" fillId="0" borderId="20" xfId="0" applyBorder="1"/>
    <xf numFmtId="0" fontId="0" fillId="6" borderId="13" xfId="0" applyFill="1" applyBorder="1" applyAlignment="1" applyProtection="1">
      <alignment horizontal="left" vertical="center" wrapText="1"/>
    </xf>
    <xf numFmtId="0" fontId="0" fillId="6" borderId="14" xfId="0" applyFill="1" applyBorder="1" applyAlignment="1" applyProtection="1">
      <alignment horizontal="left" vertical="center" wrapText="1"/>
    </xf>
    <xf numFmtId="0" fontId="0" fillId="6" borderId="20" xfId="0" applyFill="1" applyBorder="1" applyAlignment="1" applyProtection="1">
      <alignment horizontal="left" vertical="center" wrapText="1"/>
    </xf>
    <xf numFmtId="0" fontId="0" fillId="6" borderId="13" xfId="0" applyFill="1" applyBorder="1" applyAlignment="1" applyProtection="1">
      <alignment horizontal="left" indent="1"/>
    </xf>
    <xf numFmtId="0" fontId="19" fillId="10" borderId="45" xfId="0" applyFont="1" applyFill="1" applyBorder="1" applyAlignment="1">
      <alignment horizontal="center" vertical="center"/>
    </xf>
    <xf numFmtId="0" fontId="19" fillId="10" borderId="44" xfId="0" applyFont="1" applyFill="1" applyBorder="1" applyAlignment="1">
      <alignment horizontal="center" vertical="center"/>
    </xf>
    <xf numFmtId="0" fontId="19" fillId="10" borderId="46" xfId="0" applyFont="1" applyFill="1" applyBorder="1" applyAlignment="1">
      <alignment horizontal="center" vertical="center"/>
    </xf>
    <xf numFmtId="0" fontId="19" fillId="10" borderId="36" xfId="0" applyFont="1" applyFill="1" applyBorder="1" applyAlignment="1">
      <alignment horizontal="center" vertical="center"/>
    </xf>
    <xf numFmtId="0" fontId="40" fillId="0" borderId="0" xfId="1" applyFont="1" applyAlignment="1" applyProtection="1">
      <alignment horizontal="center" vertical="center"/>
    </xf>
    <xf numFmtId="0" fontId="9" fillId="5" borderId="17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8" borderId="17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7" fillId="5" borderId="5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56" xfId="0" applyFill="1" applyBorder="1" applyAlignment="1">
      <alignment horizontal="center" vertical="center"/>
    </xf>
    <xf numFmtId="0" fontId="33" fillId="7" borderId="7" xfId="0" applyFont="1" applyFill="1" applyBorder="1" applyAlignment="1" applyProtection="1">
      <alignment horizontal="left" wrapText="1"/>
    </xf>
    <xf numFmtId="0" fontId="33" fillId="7" borderId="0" xfId="0" applyFont="1" applyFill="1" applyBorder="1" applyAlignment="1" applyProtection="1">
      <alignment horizontal="left" wrapText="1"/>
    </xf>
    <xf numFmtId="0" fontId="33" fillId="7" borderId="41" xfId="0" applyFont="1" applyFill="1" applyBorder="1" applyAlignment="1" applyProtection="1">
      <alignment horizontal="left" wrapText="1"/>
    </xf>
    <xf numFmtId="0" fontId="0" fillId="6" borderId="13" xfId="0" applyFill="1" applyBorder="1" applyAlignment="1" applyProtection="1">
      <alignment horizontal="left" vertical="center" wrapText="1" indent="1"/>
    </xf>
    <xf numFmtId="0" fontId="0" fillId="6" borderId="14" xfId="0" applyFill="1" applyBorder="1" applyAlignment="1" applyProtection="1">
      <alignment horizontal="left" vertical="center" wrapText="1" indent="1"/>
    </xf>
    <xf numFmtId="0" fontId="0" fillId="6" borderId="20" xfId="0" applyFill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5" borderId="56" xfId="0" applyFill="1" applyBorder="1"/>
    <xf numFmtId="0" fontId="0" fillId="0" borderId="1" xfId="0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20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ndense val="0"/>
        <extend val="0"/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u val="none"/>
        <color theme="0"/>
      </font>
      <fill>
        <patternFill>
          <bgColor rgb="FFFF0000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  <colors>
    <mruColors>
      <color rgb="FF0000FF"/>
      <color rgb="FF99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28876765404324461"/>
          <c:y val="1.805606123747066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283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4.0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Efficiency!$U$4:$U$11</c:f>
              <c:numCache>
                <c:formatCode>0.0</c:formatCode>
                <c:ptCount val="8"/>
                <c:pt idx="0">
                  <c:v>91.169515328270137</c:v>
                </c:pt>
                <c:pt idx="1">
                  <c:v>94.232589957147283</c:v>
                </c:pt>
                <c:pt idx="2">
                  <c:v>94.277444645133158</c:v>
                </c:pt>
                <c:pt idx="3">
                  <c:v>93.648254358905731</c:v>
                </c:pt>
                <c:pt idx="4">
                  <c:v>92.724125179012248</c:v>
                </c:pt>
                <c:pt idx="5">
                  <c:v>91.6089776121689</c:v>
                </c:pt>
                <c:pt idx="6">
                  <c:v>90.330621676196728</c:v>
                </c:pt>
                <c:pt idx="7">
                  <c:v>88.885483650650315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Efficiency!$AO$4:$AO$11</c:f>
              <c:numCache>
                <c:formatCode>0.0</c:formatCode>
                <c:ptCount val="8"/>
                <c:pt idx="0">
                  <c:v>81.73445684190348</c:v>
                </c:pt>
                <c:pt idx="1">
                  <c:v>89.531769891086427</c:v>
                </c:pt>
                <c:pt idx="2">
                  <c:v>91.402191484866407</c:v>
                </c:pt>
                <c:pt idx="3">
                  <c:v>91.90620675636562</c:v>
                </c:pt>
                <c:pt idx="4">
                  <c:v>91.867079308028991</c:v>
                </c:pt>
                <c:pt idx="5">
                  <c:v>91.541830181454458</c:v>
                </c:pt>
                <c:pt idx="6">
                  <c:v>91.030885723079336</c:v>
                </c:pt>
                <c:pt idx="7">
                  <c:v>90.375697045533954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Efficiency!$BI$4:$BI$11</c:f>
              <c:numCache>
                <c:formatCode>0.0</c:formatCode>
                <c:ptCount val="8"/>
                <c:pt idx="0">
                  <c:v>73.854933469541905</c:v>
                </c:pt>
                <c:pt idx="1">
                  <c:v>84.443648123143774</c:v>
                </c:pt>
                <c:pt idx="2">
                  <c:v>87.391999528515328</c:v>
                </c:pt>
                <c:pt idx="3">
                  <c:v>88.462501706424689</c:v>
                </c:pt>
                <c:pt idx="4">
                  <c:v>88.770616590715818</c:v>
                </c:pt>
                <c:pt idx="5">
                  <c:v>88.677369924024291</c:v>
                </c:pt>
                <c:pt idx="6">
                  <c:v>88.329571234580314</c:v>
                </c:pt>
                <c:pt idx="7">
                  <c:v>87.792741828625637</c:v>
                </c:pt>
              </c:numCache>
            </c:numRef>
          </c:yVal>
          <c:smooth val="1"/>
        </c:ser>
        <c:axId val="61378944"/>
        <c:axId val="61380864"/>
      </c:scatterChart>
      <c:valAx>
        <c:axId val="61378944"/>
        <c:scaling>
          <c:orientation val="minMax"/>
          <c:max val="2.7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58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80864"/>
        <c:crosses val="autoZero"/>
        <c:crossBetween val="midCat"/>
        <c:majorUnit val="0.25"/>
        <c:minorUnit val="0.125"/>
      </c:valAx>
      <c:valAx>
        <c:axId val="61380864"/>
        <c:scaling>
          <c:orientation val="minMax"/>
          <c:max val="95"/>
          <c:min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67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78944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30768028996377"/>
          <c:y val="0.68932428425526249"/>
          <c:w val="0.12461751371987591"/>
          <c:h val="0.1578844644419494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Efficiency </a:t>
            </a:r>
            <a:r>
              <a:rPr lang="en-US" baseline="0"/>
              <a:t>vs. Iout at High Ambient</a:t>
            </a:r>
            <a:endParaRPr lang="en-US"/>
          </a:p>
        </c:rich>
      </c:tx>
      <c:layout>
        <c:manualLayout>
          <c:xMode val="edge"/>
          <c:yMode val="edge"/>
          <c:x val="0.23718035245594304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4.0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Efficiency!$B$14:$B$21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Efficiency!$U$14:$U$21</c:f>
              <c:numCache>
                <c:formatCode>0.0</c:formatCode>
                <c:ptCount val="8"/>
                <c:pt idx="0">
                  <c:v>90.91352205599064</c:v>
                </c:pt>
                <c:pt idx="1">
                  <c:v>93.598356285540774</c:v>
                </c:pt>
                <c:pt idx="2">
                  <c:v>93.258119584839349</c:v>
                </c:pt>
                <c:pt idx="3">
                  <c:v>92.232518947227732</c:v>
                </c:pt>
                <c:pt idx="4">
                  <c:v>90.895102162099761</c:v>
                </c:pt>
                <c:pt idx="5">
                  <c:v>89.343415016541968</c:v>
                </c:pt>
                <c:pt idx="6">
                  <c:v>87.5977909636117</c:v>
                </c:pt>
                <c:pt idx="7">
                  <c:v>85.645628395281278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Efficiency!$V$14:$V$21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Efficiency!$AO$14:$AO$21</c:f>
              <c:numCache>
                <c:formatCode>0.0</c:formatCode>
                <c:ptCount val="8"/>
                <c:pt idx="0">
                  <c:v>81.553882862561892</c:v>
                </c:pt>
                <c:pt idx="1">
                  <c:v>89.136109287231037</c:v>
                </c:pt>
                <c:pt idx="2">
                  <c:v>90.777291302658512</c:v>
                </c:pt>
                <c:pt idx="3">
                  <c:v>91.050373692884307</c:v>
                </c:pt>
                <c:pt idx="4">
                  <c:v>90.778857133564671</c:v>
                </c:pt>
                <c:pt idx="5">
                  <c:v>90.217799812908538</c:v>
                </c:pt>
                <c:pt idx="6">
                  <c:v>89.464870856057061</c:v>
                </c:pt>
                <c:pt idx="7">
                  <c:v>88.558197691228244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Efficiency!$AP$14:$AP$21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Efficiency!$BI$14:$BI$21</c:f>
              <c:numCache>
                <c:formatCode>0.0</c:formatCode>
                <c:ptCount val="8"/>
                <c:pt idx="0">
                  <c:v>73.690225745748975</c:v>
                </c:pt>
                <c:pt idx="1">
                  <c:v>84.086404477535837</c:v>
                </c:pt>
                <c:pt idx="2">
                  <c:v>86.824447478944904</c:v>
                </c:pt>
                <c:pt idx="3">
                  <c:v>87.681349473908881</c:v>
                </c:pt>
                <c:pt idx="4">
                  <c:v>87.774345774130779</c:v>
                </c:pt>
                <c:pt idx="5">
                  <c:v>87.463433738811986</c:v>
                </c:pt>
                <c:pt idx="6">
                  <c:v>86.893457697533961</c:v>
                </c:pt>
                <c:pt idx="7">
                  <c:v>86.127456504655612</c:v>
                </c:pt>
              </c:numCache>
            </c:numRef>
          </c:yVal>
          <c:smooth val="1"/>
        </c:ser>
        <c:axId val="61390848"/>
        <c:axId val="61392768"/>
      </c:scatterChart>
      <c:valAx>
        <c:axId val="61390848"/>
        <c:scaling>
          <c:orientation val="minMax"/>
          <c:max val="2.7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92768"/>
        <c:crosses val="autoZero"/>
        <c:crossBetween val="midCat"/>
        <c:majorUnit val="0.25"/>
        <c:minorUnit val="0.125"/>
      </c:valAx>
      <c:valAx>
        <c:axId val="61392768"/>
        <c:scaling>
          <c:orientation val="minMax"/>
          <c:max val="95"/>
          <c:min val="6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Efficiency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673478315211081E-2"/>
              <c:y val="0.2792664096904208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390848"/>
        <c:crosses val="autoZero"/>
        <c:crossBetween val="midCat"/>
        <c:majorUnit val="5"/>
        <c:min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3109267591551061"/>
          <c:y val="0.68932428425526249"/>
          <c:w val="0.12461751371987591"/>
          <c:h val="0.15788446444194948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25</a:t>
            </a:r>
            <a:r>
              <a:rPr lang="en-US" baseline="0">
                <a:latin typeface="Calibri"/>
                <a:cs typeface="Calibri"/>
              </a:rPr>
              <a:t>°</a:t>
            </a:r>
            <a:r>
              <a:rPr lang="en-US" baseline="0"/>
              <a:t>C</a:t>
            </a:r>
            <a:endParaRPr lang="en-US"/>
          </a:p>
        </c:rich>
      </c:tx>
      <c:layout>
        <c:manualLayout>
          <c:xMode val="edge"/>
          <c:yMode val="edge"/>
          <c:x val="0.33043432070991491"/>
          <c:y val="2.08453859585546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4.0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Efficiency!$B$4:$B$11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Efficiency!$N$4:$N$11</c:f>
              <c:numCache>
                <c:formatCode>0.0</c:formatCode>
                <c:ptCount val="8"/>
                <c:pt idx="0">
                  <c:v>27.963813805720328</c:v>
                </c:pt>
                <c:pt idx="1">
                  <c:v>29.063882220026667</c:v>
                </c:pt>
                <c:pt idx="2">
                  <c:v>30.908154242358371</c:v>
                </c:pt>
                <c:pt idx="3">
                  <c:v>33.545147419237516</c:v>
                </c:pt>
                <c:pt idx="4">
                  <c:v>37.048200291378059</c:v>
                </c:pt>
                <c:pt idx="5">
                  <c:v>41.520938441325171</c:v>
                </c:pt>
                <c:pt idx="6">
                  <c:v>47.105603284316409</c:v>
                </c:pt>
                <c:pt idx="7">
                  <c:v>53.995581204720324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Efficiency!$V$4:$V$11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Efficiency!$AH$4:$AH$11</c:f>
              <c:numCache>
                <c:formatCode>0.0</c:formatCode>
                <c:ptCount val="8"/>
                <c:pt idx="0">
                  <c:v>33.892762918933883</c:v>
                </c:pt>
                <c:pt idx="1">
                  <c:v>35.797008790390137</c:v>
                </c:pt>
                <c:pt idx="2">
                  <c:v>38.416628642915867</c:v>
                </c:pt>
                <c:pt idx="3">
                  <c:v>41.808460812714543</c:v>
                </c:pt>
                <c:pt idx="4">
                  <c:v>46.052441103540616</c:v>
                </c:pt>
                <c:pt idx="5">
                  <c:v>51.257149839389783</c:v>
                </c:pt>
                <c:pt idx="6">
                  <c:v>57.568040490109276</c:v>
                </c:pt>
                <c:pt idx="7">
                  <c:v>65.179657535939981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Efficiency!$AP$4:$AP$11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Efficiency!$BB$4:$BB$11</c:f>
              <c:numCache>
                <c:formatCode>0.0</c:formatCode>
                <c:ptCount val="8"/>
                <c:pt idx="0">
                  <c:v>38.74749667496404</c:v>
                </c:pt>
                <c:pt idx="1">
                  <c:v>41.858972643119131</c:v>
                </c:pt>
                <c:pt idx="2">
                  <c:v>45.703886208543068</c:v>
                </c:pt>
                <c:pt idx="3">
                  <c:v>50.35150962937108</c:v>
                </c:pt>
                <c:pt idx="4">
                  <c:v>55.894640425270538</c:v>
                </c:pt>
                <c:pt idx="5">
                  <c:v>62.45541826084321</c:v>
                </c:pt>
                <c:pt idx="6">
                  <c:v>70.193751015704038</c:v>
                </c:pt>
                <c:pt idx="7">
                  <c:v>79.319579218799419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Efficiency!$G$72:$G$73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Efficiency!$H$72:$H$73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61403520"/>
        <c:axId val="61405440"/>
      </c:scatterChart>
      <c:valAx>
        <c:axId val="61403520"/>
        <c:scaling>
          <c:orientation val="minMax"/>
          <c:max val="2.75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05440"/>
        <c:crosses val="autoZero"/>
        <c:crossBetween val="midCat"/>
        <c:majorUnit val="0.25"/>
        <c:minorUnit val="0.125"/>
      </c:valAx>
      <c:valAx>
        <c:axId val="61405440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40352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267997750281216"/>
          <c:y val="0.15375943069877981"/>
          <c:w val="0.1685914260717412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Predicted TJ</a:t>
            </a:r>
            <a:r>
              <a:rPr lang="en-US" baseline="0"/>
              <a:t> vs. Iout at High Ambient</a:t>
            </a:r>
            <a:endParaRPr lang="en-US"/>
          </a:p>
        </c:rich>
      </c:tx>
      <c:layout>
        <c:manualLayout>
          <c:xMode val="edge"/>
          <c:yMode val="edge"/>
          <c:x val="0.2728946381702288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Efficiency!$C$2</c:f>
              <c:strCache>
                <c:ptCount val="1"/>
                <c:pt idx="0">
                  <c:v>4.0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Efficiency!$B$14:$B$21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Efficiency!$N$14:$N$21</c:f>
              <c:numCache>
                <c:formatCode>0.0</c:formatCode>
                <c:ptCount val="8"/>
                <c:pt idx="0">
                  <c:v>88.03806263363343</c:v>
                </c:pt>
                <c:pt idx="1">
                  <c:v>89.473709119649669</c:v>
                </c:pt>
                <c:pt idx="2">
                  <c:v>91.932742664774736</c:v>
                </c:pt>
                <c:pt idx="3">
                  <c:v>95.480817515771832</c:v>
                </c:pt>
                <c:pt idx="4">
                  <c:v>100.21763554959178</c:v>
                </c:pt>
                <c:pt idx="5">
                  <c:v>106.28440096460531</c:v>
                </c:pt>
                <c:pt idx="6">
                  <c:v>113.8751938388376</c:v>
                </c:pt>
                <c:pt idx="7">
                  <c:v>123.25409061232455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Efficiency!$W$2</c:f>
              <c:strCache>
                <c:ptCount val="1"/>
                <c:pt idx="0">
                  <c:v>12.0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Efficiency!$V$14:$V$21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Efficiency!$AH$14:$AH$21</c:f>
              <c:numCache>
                <c:formatCode>0.0</c:formatCode>
                <c:ptCount val="8"/>
                <c:pt idx="0">
                  <c:v>93.990902280839293</c:v>
                </c:pt>
                <c:pt idx="1">
                  <c:v>96.200361587712422</c:v>
                </c:pt>
                <c:pt idx="2">
                  <c:v>99.379992810323856</c:v>
                </c:pt>
                <c:pt idx="3">
                  <c:v>103.60338962669934</c:v>
                </c:pt>
                <c:pt idx="4">
                  <c:v>108.97550682760006</c:v>
                </c:pt>
                <c:pt idx="5">
                  <c:v>115.6402116762403</c:v>
                </c:pt>
                <c:pt idx="6">
                  <c:v>123.79157075719772</c:v>
                </c:pt>
                <c:pt idx="7">
                  <c:v>133.69074060000136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Efficiency!$AQ$2</c:f>
              <c:strCache>
                <c:ptCount val="1"/>
                <c:pt idx="0">
                  <c:v>18.0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Efficiency!$AP$14:$AP$21</c:f>
              <c:numCache>
                <c:formatCode>0.00</c:formatCode>
                <c:ptCount val="8"/>
                <c:pt idx="0">
                  <c:v>0.25</c:v>
                </c:pt>
                <c:pt idx="1">
                  <c:v>0.58571428571428574</c:v>
                </c:pt>
                <c:pt idx="2">
                  <c:v>0.92142857142857149</c:v>
                </c:pt>
                <c:pt idx="3">
                  <c:v>1.2571428571428571</c:v>
                </c:pt>
                <c:pt idx="4">
                  <c:v>1.592857142857143</c:v>
                </c:pt>
                <c:pt idx="5">
                  <c:v>1.9285714285714288</c:v>
                </c:pt>
                <c:pt idx="6">
                  <c:v>2.2642857142857147</c:v>
                </c:pt>
                <c:pt idx="7">
                  <c:v>2.6</c:v>
                </c:pt>
              </c:numCache>
            </c:numRef>
          </c:xVal>
          <c:yVal>
            <c:numRef>
              <c:f>Efficiency!$BB$14:$BB$21</c:f>
              <c:numCache>
                <c:formatCode>0.0</c:formatCode>
                <c:ptCount val="8"/>
                <c:pt idx="0">
                  <c:v>98.859189296348802</c:v>
                </c:pt>
                <c:pt idx="1">
                  <c:v>102.26971668619144</c:v>
                </c:pt>
                <c:pt idx="2">
                  <c:v>106.65902672807685</c:v>
                </c:pt>
                <c:pt idx="3">
                  <c:v>112.11225503881711</c:v>
                </c:pt>
                <c:pt idx="4">
                  <c:v>118.74469462513767</c:v>
                </c:pt>
                <c:pt idx="5">
                  <c:v>126.71013285391442</c:v>
                </c:pt>
                <c:pt idx="6">
                  <c:v>136.2117934612877</c:v>
                </c:pt>
                <c:pt idx="7">
                  <c:v>147.51838435525244</c:v>
                </c:pt>
              </c:numCache>
            </c:numRef>
          </c:yVal>
          <c:smooth val="1"/>
        </c:ser>
        <c:ser>
          <c:idx val="3"/>
          <c:order val="3"/>
          <c:tx>
            <c:v>TSD_min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Efficiency!$G$72:$G$73</c:f>
              <c:numCache>
                <c:formatCode>General</c:formatCode>
                <c:ptCount val="2"/>
                <c:pt idx="0">
                  <c:v>0</c:v>
                </c:pt>
                <c:pt idx="1">
                  <c:v>3.5</c:v>
                </c:pt>
              </c:numCache>
            </c:numRef>
          </c:xVal>
          <c:yVal>
            <c:numRef>
              <c:f>Efficiency!$H$72:$H$73</c:f>
              <c:numCache>
                <c:formatCode>General</c:formatCode>
                <c:ptCount val="2"/>
                <c:pt idx="0">
                  <c:v>155</c:v>
                </c:pt>
                <c:pt idx="1">
                  <c:v>155</c:v>
                </c:pt>
              </c:numCache>
            </c:numRef>
          </c:yVal>
          <c:smooth val="1"/>
        </c:ser>
        <c:axId val="61838080"/>
        <c:axId val="61840000"/>
      </c:scatterChart>
      <c:valAx>
        <c:axId val="61838080"/>
        <c:scaling>
          <c:orientation val="minMax"/>
          <c:max val="2"/>
          <c:min val="0.2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Current (A)</a:t>
                </a:r>
              </a:p>
            </c:rich>
          </c:tx>
          <c:layout>
            <c:manualLayout>
              <c:xMode val="edge"/>
              <c:yMode val="edge"/>
              <c:x val="0.42932121716960808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40000"/>
        <c:crosses val="autoZero"/>
        <c:crossBetween val="midCat"/>
        <c:majorUnit val="0.25"/>
        <c:minorUnit val="0.125"/>
      </c:valAx>
      <c:valAx>
        <c:axId val="61840000"/>
        <c:scaling>
          <c:orientation val="minMax"/>
          <c:max val="160"/>
          <c:min val="2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Predicted</a:t>
                </a:r>
                <a:r>
                  <a:rPr lang="en-US" baseline="0"/>
                  <a:t> Junction Temp (C)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528433945757546E-3"/>
              <c:y val="0.2653194082957203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38080"/>
        <c:crosses val="autoZero"/>
        <c:crossBetween val="midCat"/>
        <c:majorUnit val="20"/>
        <c:min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9339426321709783"/>
          <c:y val="0.67258788258162294"/>
          <c:w val="0.14875015623047141"/>
          <c:h val="0.1594616677099464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Typical VLoad </a:t>
            </a:r>
            <a:r>
              <a:rPr lang="en-US" sz="1200" baseline="0"/>
              <a:t>vs Vin at 100%, 66%, and 33% Load at Room Temp.</a:t>
            </a:r>
            <a:endParaRPr lang="en-US" sz="1200"/>
          </a:p>
        </c:rich>
      </c:tx>
      <c:layout>
        <c:manualLayout>
          <c:xMode val="edge"/>
          <c:yMode val="edge"/>
          <c:x val="0.17410714285714482"/>
          <c:y val="1.80559856796143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06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Dropout!$C$5</c:f>
              <c:strCache>
                <c:ptCount val="1"/>
                <c:pt idx="0">
                  <c:v>2.60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Dropout!$R$5:$R$45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4.8941753211816827</c:v>
                </c:pt>
                <c:pt idx="27">
                  <c:v>4.6714429359588356</c:v>
                </c:pt>
                <c:pt idx="28">
                  <c:v>4.4486984336445747</c:v>
                </c:pt>
                <c:pt idx="29">
                  <c:v>4.2259428895945828</c:v>
                </c:pt>
                <c:pt idx="30">
                  <c:v>4.0031773562524</c:v>
                </c:pt>
                <c:pt idx="31">
                  <c:v>3.7804018336180247</c:v>
                </c:pt>
                <c:pt idx="32">
                  <c:v>3.5576163216914565</c:v>
                </c:pt>
                <c:pt idx="33">
                  <c:v>3.3348208204726961</c:v>
                </c:pt>
                <c:pt idx="34">
                  <c:v>3.1120153299617446</c:v>
                </c:pt>
                <c:pt idx="35">
                  <c:v>2.8891998501586</c:v>
                </c:pt>
                <c:pt idx="36">
                  <c:v>2.6663743810632639</c:v>
                </c:pt>
                <c:pt idx="37">
                  <c:v>2.443538922675736</c:v>
                </c:pt>
                <c:pt idx="38">
                  <c:v>2.2206934749960157</c:v>
                </c:pt>
                <c:pt idx="39">
                  <c:v>1.9978380380241034</c:v>
                </c:pt>
                <c:pt idx="40">
                  <c:v>1.7749726117599984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Dropout!$S$5</c:f>
              <c:strCache>
                <c:ptCount val="1"/>
                <c:pt idx="0">
                  <c:v>1.73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Dropout!$AH$5:$AH$45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4.9211096513833255</c:v>
                </c:pt>
                <c:pt idx="28">
                  <c:v>4.698122255060416</c:v>
                </c:pt>
                <c:pt idx="29">
                  <c:v>4.4751296692319915</c:v>
                </c:pt>
                <c:pt idx="30">
                  <c:v>4.2521327714166572</c:v>
                </c:pt>
                <c:pt idx="31">
                  <c:v>4.029131789066855</c:v>
                </c:pt>
                <c:pt idx="32">
                  <c:v>3.8061267221825812</c:v>
                </c:pt>
                <c:pt idx="33">
                  <c:v>3.5831175707638381</c:v>
                </c:pt>
                <c:pt idx="34">
                  <c:v>3.3601043348106243</c:v>
                </c:pt>
                <c:pt idx="35">
                  <c:v>3.1370870143229403</c:v>
                </c:pt>
                <c:pt idx="36">
                  <c:v>2.9140656093007866</c:v>
                </c:pt>
                <c:pt idx="37">
                  <c:v>2.6910401197441631</c:v>
                </c:pt>
                <c:pt idx="38">
                  <c:v>2.4680105456530694</c:v>
                </c:pt>
                <c:pt idx="39">
                  <c:v>2.2449768870275055</c:v>
                </c:pt>
                <c:pt idx="40">
                  <c:v>2.0219391438674714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Dropout!$AI$5</c:f>
              <c:strCache>
                <c:ptCount val="1"/>
                <c:pt idx="0">
                  <c:v>0.87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Dropout!$B$5:$B$45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Dropout!$AX$5:$AX$45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4.9279301391803667</c:v>
                </c:pt>
                <c:pt idx="29">
                  <c:v>4.7047812461483236</c:v>
                </c:pt>
                <c:pt idx="30">
                  <c:v>4.4816310034058331</c:v>
                </c:pt>
                <c:pt idx="31">
                  <c:v>4.2584797731825681</c:v>
                </c:pt>
                <c:pt idx="32">
                  <c:v>4.0353275685921624</c:v>
                </c:pt>
                <c:pt idx="33">
                  <c:v>3.8121743896346172</c:v>
                </c:pt>
                <c:pt idx="34">
                  <c:v>3.5890202363099317</c:v>
                </c:pt>
                <c:pt idx="35">
                  <c:v>3.3658651086181068</c:v>
                </c:pt>
                <c:pt idx="36">
                  <c:v>3.1427090065591416</c:v>
                </c:pt>
                <c:pt idx="37">
                  <c:v>2.919551930133037</c:v>
                </c:pt>
                <c:pt idx="38">
                  <c:v>2.6963938793397917</c:v>
                </c:pt>
                <c:pt idx="39">
                  <c:v>2.4732348541794078</c:v>
                </c:pt>
                <c:pt idx="40">
                  <c:v>2.2500748546518823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Dropout!$G$115:$G$116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Dropout!$H$115:$H$116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</c:ser>
        <c:axId val="62103936"/>
        <c:axId val="62105856"/>
      </c:scatterChart>
      <c:valAx>
        <c:axId val="62103936"/>
        <c:scaling>
          <c:orientation val="minMax"/>
          <c:max val="12"/>
          <c:min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786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05856"/>
        <c:crosses val="autoZero"/>
        <c:crossBetween val="midCat"/>
        <c:majorUnit val="1"/>
        <c:minorUnit val="0.5"/>
      </c:valAx>
      <c:valAx>
        <c:axId val="62105856"/>
        <c:scaling>
          <c:orientation val="minMax"/>
          <c:max val="5.5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226501499028138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03936"/>
        <c:crosses val="autoZero"/>
        <c:crossBetween val="midCat"/>
        <c:majorUnit val="0.5"/>
        <c:min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77752124734408323"/>
          <c:y val="0.62237867756070331"/>
          <c:w val="0.1468136795400575"/>
          <c:h val="0.18177686994146691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aseline="0"/>
              <a:t>Worst case VLoad vs Vin at 100%, 66%, and 33% Load at High Ambient</a:t>
            </a:r>
            <a:endParaRPr lang="en-US" sz="1200"/>
          </a:p>
        </c:rich>
      </c:tx>
      <c:layout>
        <c:manualLayout>
          <c:xMode val="edge"/>
          <c:yMode val="edge"/>
          <c:x val="0.1388788901387327"/>
          <c:y val="1.24771851217342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8306357366707"/>
          <c:y val="9.5288366062676766E-2"/>
          <c:w val="0.8459127521131935"/>
          <c:h val="0.76452025424533065"/>
        </c:manualLayout>
      </c:layout>
      <c:scatterChart>
        <c:scatterStyle val="smoothMarker"/>
        <c:ser>
          <c:idx val="0"/>
          <c:order val="0"/>
          <c:tx>
            <c:strRef>
              <c:f>Dropout!$C$49</c:f>
              <c:strCache>
                <c:ptCount val="1"/>
                <c:pt idx="0">
                  <c:v>2.60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Dropout!$R$49:$R$89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4.9902023511650384</c:v>
                </c:pt>
                <c:pt idx="26">
                  <c:v>4.7674837421459477</c:v>
                </c:pt>
                <c:pt idx="27">
                  <c:v>4.5447522215930851</c:v>
                </c:pt>
                <c:pt idx="28">
                  <c:v>4.3220078186844466</c:v>
                </c:pt>
                <c:pt idx="29">
                  <c:v>4.0992522746344537</c:v>
                </c:pt>
                <c:pt idx="30">
                  <c:v>3.8764867412922719</c:v>
                </c:pt>
                <c:pt idx="31">
                  <c:v>3.6537112186578953</c:v>
                </c:pt>
                <c:pt idx="32">
                  <c:v>3.4309257067313275</c:v>
                </c:pt>
                <c:pt idx="33">
                  <c:v>3.2081302055125676</c:v>
                </c:pt>
                <c:pt idx="34">
                  <c:v>2.9853247150016156</c:v>
                </c:pt>
                <c:pt idx="35">
                  <c:v>2.7625092351984719</c:v>
                </c:pt>
                <c:pt idx="36">
                  <c:v>2.5396837661031353</c:v>
                </c:pt>
                <c:pt idx="37">
                  <c:v>2.316848307715607</c:v>
                </c:pt>
                <c:pt idx="38">
                  <c:v>2.0940028600358871</c:v>
                </c:pt>
                <c:pt idx="39">
                  <c:v>1.8711474230639749</c:v>
                </c:pt>
                <c:pt idx="40">
                  <c:v>1.6482819967998699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Dropout!$S$49</c:f>
              <c:strCache>
                <c:ptCount val="1"/>
                <c:pt idx="0">
                  <c:v>1.73</c:v>
                </c:pt>
              </c:strCache>
            </c:strRef>
          </c:tx>
          <c:spPr>
            <a:ln w="38100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Dropout!$AH$49:$AH$89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4.8422608693447993</c:v>
                </c:pt>
                <c:pt idx="28">
                  <c:v>4.6192738618144009</c:v>
                </c:pt>
                <c:pt idx="29">
                  <c:v>4.3962812986308952</c:v>
                </c:pt>
                <c:pt idx="30">
                  <c:v>4.173284400815561</c:v>
                </c:pt>
                <c:pt idx="31">
                  <c:v>3.9502834184657587</c:v>
                </c:pt>
                <c:pt idx="32">
                  <c:v>3.727278351581484</c:v>
                </c:pt>
                <c:pt idx="33">
                  <c:v>3.5042692001627418</c:v>
                </c:pt>
                <c:pt idx="34">
                  <c:v>3.2812559642095285</c:v>
                </c:pt>
                <c:pt idx="35">
                  <c:v>3.0582386437218441</c:v>
                </c:pt>
                <c:pt idx="36">
                  <c:v>2.8352172386996908</c:v>
                </c:pt>
                <c:pt idx="37">
                  <c:v>2.6121917491430668</c:v>
                </c:pt>
                <c:pt idx="38">
                  <c:v>2.3891621750519731</c:v>
                </c:pt>
                <c:pt idx="39">
                  <c:v>2.1661285164264088</c:v>
                </c:pt>
                <c:pt idx="40">
                  <c:v>1.9430907732663747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Dropout!$AI$49</c:f>
              <c:strCache>
                <c:ptCount val="1"/>
                <c:pt idx="0">
                  <c:v>0.87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Dropout!$B$49:$B$89</c:f>
              <c:numCache>
                <c:formatCode>0.00</c:formatCode>
                <c:ptCount val="41"/>
                <c:pt idx="0">
                  <c:v>11.999999999999995</c:v>
                </c:pt>
                <c:pt idx="1">
                  <c:v>11.764999999999995</c:v>
                </c:pt>
                <c:pt idx="2">
                  <c:v>11.529999999999996</c:v>
                </c:pt>
                <c:pt idx="3">
                  <c:v>11.294999999999996</c:v>
                </c:pt>
                <c:pt idx="4">
                  <c:v>11.059999999999997</c:v>
                </c:pt>
                <c:pt idx="5">
                  <c:v>10.824999999999998</c:v>
                </c:pt>
                <c:pt idx="6">
                  <c:v>10.589999999999998</c:v>
                </c:pt>
                <c:pt idx="7">
                  <c:v>10.354999999999999</c:v>
                </c:pt>
                <c:pt idx="8">
                  <c:v>10.119999999999999</c:v>
                </c:pt>
                <c:pt idx="9">
                  <c:v>9.8849999999999998</c:v>
                </c:pt>
                <c:pt idx="10">
                  <c:v>9.65</c:v>
                </c:pt>
                <c:pt idx="11">
                  <c:v>9.4150000000000009</c:v>
                </c:pt>
                <c:pt idx="12">
                  <c:v>9.1800000000000015</c:v>
                </c:pt>
                <c:pt idx="13">
                  <c:v>8.9450000000000021</c:v>
                </c:pt>
                <c:pt idx="14">
                  <c:v>8.7100000000000026</c:v>
                </c:pt>
                <c:pt idx="15">
                  <c:v>8.4750000000000032</c:v>
                </c:pt>
                <c:pt idx="16">
                  <c:v>8.2400000000000038</c:v>
                </c:pt>
                <c:pt idx="17">
                  <c:v>8.0050000000000043</c:v>
                </c:pt>
                <c:pt idx="18">
                  <c:v>7.7700000000000049</c:v>
                </c:pt>
                <c:pt idx="19">
                  <c:v>7.5350000000000046</c:v>
                </c:pt>
                <c:pt idx="20">
                  <c:v>7.3000000000000043</c:v>
                </c:pt>
                <c:pt idx="21">
                  <c:v>7.0650000000000039</c:v>
                </c:pt>
                <c:pt idx="22">
                  <c:v>6.8300000000000036</c:v>
                </c:pt>
                <c:pt idx="23">
                  <c:v>6.5950000000000033</c:v>
                </c:pt>
                <c:pt idx="24">
                  <c:v>6.360000000000003</c:v>
                </c:pt>
                <c:pt idx="25">
                  <c:v>6.1250000000000027</c:v>
                </c:pt>
                <c:pt idx="26">
                  <c:v>5.8900000000000023</c:v>
                </c:pt>
                <c:pt idx="27">
                  <c:v>5.655000000000002</c:v>
                </c:pt>
                <c:pt idx="28">
                  <c:v>5.4200000000000017</c:v>
                </c:pt>
                <c:pt idx="29">
                  <c:v>5.1850000000000014</c:v>
                </c:pt>
                <c:pt idx="30">
                  <c:v>4.9500000000000011</c:v>
                </c:pt>
                <c:pt idx="31">
                  <c:v>4.7150000000000007</c:v>
                </c:pt>
                <c:pt idx="32">
                  <c:v>4.4800000000000004</c:v>
                </c:pt>
                <c:pt idx="33">
                  <c:v>4.2450000000000001</c:v>
                </c:pt>
                <c:pt idx="34">
                  <c:v>4.01</c:v>
                </c:pt>
                <c:pt idx="35">
                  <c:v>3.7749999999999995</c:v>
                </c:pt>
                <c:pt idx="36">
                  <c:v>3.5399999999999996</c:v>
                </c:pt>
                <c:pt idx="37">
                  <c:v>3.3049999999999997</c:v>
                </c:pt>
                <c:pt idx="38">
                  <c:v>3.07</c:v>
                </c:pt>
                <c:pt idx="39">
                  <c:v>2.835</c:v>
                </c:pt>
                <c:pt idx="40">
                  <c:v>2.6</c:v>
                </c:pt>
              </c:numCache>
            </c:numRef>
          </c:xVal>
          <c:yVal>
            <c:numRef>
              <c:f>Dropout!$AX$49:$AX$89</c:f>
              <c:numCache>
                <c:formatCode>0.000</c:formatCode>
                <c:ptCount val="41"/>
                <c:pt idx="0">
                  <c:v>4.9936842105263155</c:v>
                </c:pt>
                <c:pt idx="1">
                  <c:v>4.9936842105263155</c:v>
                </c:pt>
                <c:pt idx="2">
                  <c:v>4.9936842105263155</c:v>
                </c:pt>
                <c:pt idx="3">
                  <c:v>4.9936842105263155</c:v>
                </c:pt>
                <c:pt idx="4">
                  <c:v>4.9936842105263155</c:v>
                </c:pt>
                <c:pt idx="5">
                  <c:v>4.9936842105263155</c:v>
                </c:pt>
                <c:pt idx="6">
                  <c:v>4.9936842105263155</c:v>
                </c:pt>
                <c:pt idx="7">
                  <c:v>4.9936842105263155</c:v>
                </c:pt>
                <c:pt idx="8">
                  <c:v>4.9936842105263155</c:v>
                </c:pt>
                <c:pt idx="9">
                  <c:v>4.9936842105263155</c:v>
                </c:pt>
                <c:pt idx="10">
                  <c:v>4.9936842105263155</c:v>
                </c:pt>
                <c:pt idx="11">
                  <c:v>4.9936842105263155</c:v>
                </c:pt>
                <c:pt idx="12">
                  <c:v>4.9936842105263155</c:v>
                </c:pt>
                <c:pt idx="13">
                  <c:v>4.9936842105263155</c:v>
                </c:pt>
                <c:pt idx="14">
                  <c:v>4.9936842105263155</c:v>
                </c:pt>
                <c:pt idx="15">
                  <c:v>4.9936842105263155</c:v>
                </c:pt>
                <c:pt idx="16">
                  <c:v>4.9936842105263155</c:v>
                </c:pt>
                <c:pt idx="17">
                  <c:v>4.9936842105263155</c:v>
                </c:pt>
                <c:pt idx="18">
                  <c:v>4.9936842105263155</c:v>
                </c:pt>
                <c:pt idx="19">
                  <c:v>4.9936842105263155</c:v>
                </c:pt>
                <c:pt idx="20">
                  <c:v>4.9936842105263155</c:v>
                </c:pt>
                <c:pt idx="21">
                  <c:v>4.9936842105263155</c:v>
                </c:pt>
                <c:pt idx="22">
                  <c:v>4.9936842105263155</c:v>
                </c:pt>
                <c:pt idx="23">
                  <c:v>4.9936842105263155</c:v>
                </c:pt>
                <c:pt idx="24">
                  <c:v>4.9936842105263155</c:v>
                </c:pt>
                <c:pt idx="25">
                  <c:v>4.9936842105263155</c:v>
                </c:pt>
                <c:pt idx="26">
                  <c:v>4.9936842105263155</c:v>
                </c:pt>
                <c:pt idx="27">
                  <c:v>4.9936842105263155</c:v>
                </c:pt>
                <c:pt idx="28">
                  <c:v>4.8899838244216696</c:v>
                </c:pt>
                <c:pt idx="29">
                  <c:v>4.6668350536637302</c:v>
                </c:pt>
                <c:pt idx="30">
                  <c:v>4.4436848111350633</c:v>
                </c:pt>
                <c:pt idx="31">
                  <c:v>4.2205335809117974</c:v>
                </c:pt>
                <c:pt idx="32">
                  <c:v>3.9973813763213908</c:v>
                </c:pt>
                <c:pt idx="33">
                  <c:v>3.7742281973638465</c:v>
                </c:pt>
                <c:pt idx="34">
                  <c:v>3.5510740440391615</c:v>
                </c:pt>
                <c:pt idx="35">
                  <c:v>3.3279189163473362</c:v>
                </c:pt>
                <c:pt idx="36">
                  <c:v>3.104762814288371</c:v>
                </c:pt>
                <c:pt idx="37">
                  <c:v>2.8816057378622659</c:v>
                </c:pt>
                <c:pt idx="38">
                  <c:v>2.658447687069021</c:v>
                </c:pt>
                <c:pt idx="39">
                  <c:v>2.4352886619086367</c:v>
                </c:pt>
                <c:pt idx="40">
                  <c:v>2.2121286623811116</c:v>
                </c:pt>
              </c:numCache>
            </c:numRef>
          </c:yVal>
          <c:smooth val="1"/>
        </c:ser>
        <c:ser>
          <c:idx val="3"/>
          <c:order val="3"/>
          <c:tx>
            <c:v>Vin_min</c:v>
          </c:tx>
          <c:spPr>
            <a:ln>
              <a:solidFill>
                <a:srgbClr val="FF0000">
                  <a:alpha val="74000"/>
                </a:srgbClr>
              </a:solidFill>
            </a:ln>
          </c:spPr>
          <c:marker>
            <c:symbol val="none"/>
          </c:marker>
          <c:xVal>
            <c:numRef>
              <c:f>Dropout!$G$115:$G$116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Dropout!$H$115:$H$116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yVal>
          <c:smooth val="1"/>
        </c:ser>
        <c:axId val="62135296"/>
        <c:axId val="62137472"/>
      </c:scatterChart>
      <c:valAx>
        <c:axId val="62135296"/>
        <c:scaling>
          <c:orientation val="minMax"/>
          <c:max val="12"/>
          <c:min val="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Input Voltage</a:t>
                </a:r>
                <a:r>
                  <a:rPr lang="en-US" baseline="0"/>
                  <a:t> (V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0.42932121716960808"/>
              <c:y val="0.93319844953155684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37472"/>
        <c:crosses val="autoZero"/>
        <c:crossBetween val="midCat"/>
        <c:majorUnit val="1"/>
        <c:minorUnit val="0.5"/>
      </c:valAx>
      <c:valAx>
        <c:axId val="62137472"/>
        <c:scaling>
          <c:orientation val="minMax"/>
          <c:max val="5.5"/>
          <c:min val="1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Output Voltage (V)</a:t>
                </a:r>
              </a:p>
            </c:rich>
          </c:tx>
          <c:layout>
            <c:manualLayout>
              <c:xMode val="edge"/>
              <c:yMode val="edge"/>
              <c:x val="5.7845894263217094E-3"/>
              <c:y val="0.33784381554816406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35296"/>
        <c:crosses val="autoZero"/>
        <c:crossBetween val="midCat"/>
        <c:majorUnit val="0.5"/>
        <c:minorUnit val="0.2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664823147106858"/>
          <c:y val="0.11470782679361732"/>
          <c:w val="0.1567343144606958"/>
          <c:h val="0.17619806938358637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DC Bias</a:t>
            </a:r>
            <a:r>
              <a:rPr lang="en-US" sz="1600" baseline="0"/>
              <a:t> Effect on 10uF/16V/X7R/1206</a:t>
            </a:r>
            <a:endParaRPr lang="en-US" sz="1600"/>
          </a:p>
        </c:rich>
      </c:tx>
      <c:layout>
        <c:manualLayout>
          <c:xMode val="edge"/>
          <c:yMode val="edge"/>
          <c:x val="0.14362228054826698"/>
          <c:y val="2.1798365122615852E-2"/>
        </c:manualLayout>
      </c:layout>
    </c:title>
    <c:plotArea>
      <c:layout>
        <c:manualLayout>
          <c:layoutTarget val="inner"/>
          <c:xMode val="edge"/>
          <c:yMode val="edge"/>
          <c:x val="0.13811863517060374"/>
          <c:y val="0.12319251646677815"/>
          <c:w val="0.82715987168271365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Eq val="1"/>
            <c:trendlineLbl>
              <c:layout>
                <c:manualLayout>
                  <c:x val="-0.17416739574220153"/>
                  <c:y val="4.7561343660380277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rgbClr val="FF0000"/>
                        </a:solidFill>
                      </a:defRPr>
                    </a:pPr>
                    <a:r>
                      <a:rPr lang="en-US" sz="1200" baseline="0"/>
                      <a:t>y = 0.0034x</a:t>
                    </a:r>
                    <a:r>
                      <a:rPr lang="en-US" sz="1200" baseline="30000"/>
                      <a:t>3</a:t>
                    </a:r>
                    <a:r>
                      <a:rPr lang="en-US" sz="1200" baseline="0"/>
                      <a:t> - 0.0743x</a:t>
                    </a:r>
                    <a:r>
                      <a:rPr lang="en-US" sz="1200" baseline="30000"/>
                      <a:t>2</a:t>
                    </a:r>
                    <a:r>
                      <a:rPr lang="en-US" sz="1200" baseline="0"/>
                      <a:t> + 0.0683x + 9.947</a:t>
                    </a:r>
                    <a:endParaRPr lang="en-US" sz="1200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Constants!$B$50:$B$54</c:f>
              <c:numCache>
                <c:formatCode>0.0</c:formatCode>
                <c:ptCount val="5"/>
                <c:pt idx="0">
                  <c:v>0.8</c:v>
                </c:pt>
                <c:pt idx="1">
                  <c:v>2</c:v>
                </c:pt>
                <c:pt idx="2">
                  <c:v>3.3</c:v>
                </c:pt>
                <c:pt idx="3">
                  <c:v>5</c:v>
                </c:pt>
                <c:pt idx="4">
                  <c:v>8</c:v>
                </c:pt>
              </c:numCache>
            </c:numRef>
          </c:xVal>
          <c:yVal>
            <c:numRef>
              <c:f>Constants!$C$50:$C$54</c:f>
              <c:numCache>
                <c:formatCode>0.00</c:formatCode>
                <c:ptCount val="5"/>
                <c:pt idx="0">
                  <c:v>9.9600000000000009</c:v>
                </c:pt>
                <c:pt idx="1">
                  <c:v>9.8000000000000007</c:v>
                </c:pt>
                <c:pt idx="2">
                  <c:v>9.5</c:v>
                </c:pt>
                <c:pt idx="3">
                  <c:v>8.85</c:v>
                </c:pt>
                <c:pt idx="4">
                  <c:v>7.48</c:v>
                </c:pt>
              </c:numCache>
            </c:numRef>
          </c:yVal>
        </c:ser>
        <c:axId val="62149760"/>
        <c:axId val="62151680"/>
      </c:scatterChart>
      <c:valAx>
        <c:axId val="62149760"/>
        <c:scaling>
          <c:orientation val="minMax"/>
          <c:max val="8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DC Bias (V)</a:t>
                </a:r>
              </a:p>
            </c:rich>
          </c:tx>
          <c:layout>
            <c:manualLayout>
              <c:xMode val="edge"/>
              <c:yMode val="edge"/>
              <c:x val="0.44261184018664335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62151680"/>
        <c:crosses val="autoZero"/>
        <c:crossBetween val="midCat"/>
        <c:majorUnit val="1"/>
        <c:minorUnit val="1"/>
      </c:valAx>
      <c:valAx>
        <c:axId val="62151680"/>
        <c:scaling>
          <c:orientation val="minMax"/>
          <c:max val="10.5"/>
          <c:min val="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Capacitance</a:t>
                </a:r>
              </a:p>
            </c:rich>
          </c:tx>
          <c:layout>
            <c:manualLayout>
              <c:xMode val="edge"/>
              <c:yMode val="edge"/>
              <c:x val="1.1942840478273547E-2"/>
              <c:y val="0.36412996059416775"/>
            </c:manualLayout>
          </c:layout>
        </c:title>
        <c:numFmt formatCode="0.0" sourceLinked="0"/>
        <c:tickLblPos val="nextTo"/>
        <c:crossAx val="6214976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405144356956416"/>
          <c:y val="0.14972044025831921"/>
          <c:w val="0.2491294117647059"/>
          <c:h val="0.12401320662871176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600"/>
              <a:t>Minimum Current Limit</a:t>
            </a:r>
          </a:p>
        </c:rich>
      </c:tx>
      <c:layout>
        <c:manualLayout>
          <c:xMode val="edge"/>
          <c:yMode val="edge"/>
          <c:x val="0.2609016999260903"/>
          <c:y val="1.0899182561307902E-2"/>
        </c:manualLayout>
      </c:layout>
    </c:title>
    <c:plotArea>
      <c:layout>
        <c:manualLayout>
          <c:layoutTarget val="inner"/>
          <c:xMode val="edge"/>
          <c:yMode val="edge"/>
          <c:x val="0.13521471678567895"/>
          <c:y val="9.7761090490391708E-2"/>
          <c:w val="0.81528175940313463"/>
          <c:h val="0.72752930406860061"/>
        </c:manualLayout>
      </c:layout>
      <c:scatterChart>
        <c:scatterStyle val="lineMarker"/>
        <c:ser>
          <c:idx val="0"/>
          <c:order val="0"/>
          <c:tx>
            <c:v> Measured</c:v>
          </c:tx>
          <c:trendline>
            <c:name> Curve Fit</c:name>
            <c:spPr>
              <a:ln w="19050">
                <a:solidFill>
                  <a:srgbClr val="FF0000"/>
                </a:solidFill>
                <a:prstDash val="dash"/>
              </a:ln>
            </c:spPr>
            <c:trendlineType val="linear"/>
          </c:trendline>
          <c:trendline>
            <c:spPr>
              <a:ln w="12700"/>
            </c:spPr>
            <c:trendlineType val="linear"/>
            <c:dispEq val="1"/>
            <c:trendlineLbl>
              <c:layout>
                <c:manualLayout>
                  <c:x val="-0.47164946953692871"/>
                  <c:y val="-5.4268567780378807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200">
                      <a:solidFill>
                        <a:srgbClr val="FF0000"/>
                      </a:solidFill>
                    </a:defRPr>
                  </a:pPr>
                  <a:endParaRPr lang="en-US"/>
                </a:p>
              </c:txPr>
            </c:trendlineLbl>
          </c:trendline>
          <c:xVal>
            <c:numRef>
              <c:f>Constants!$A$33:$A$34</c:f>
              <c:numCache>
                <c:formatCode>General</c:formatCode>
                <c:ptCount val="2"/>
                <c:pt idx="0">
                  <c:v>5</c:v>
                </c:pt>
                <c:pt idx="1">
                  <c:v>90</c:v>
                </c:pt>
              </c:numCache>
            </c:numRef>
          </c:xVal>
          <c:yVal>
            <c:numRef>
              <c:f>Constants!$B$33:$B$34</c:f>
              <c:numCache>
                <c:formatCode>0.00</c:formatCode>
                <c:ptCount val="2"/>
                <c:pt idx="0">
                  <c:v>3.5</c:v>
                </c:pt>
                <c:pt idx="1">
                  <c:v>2.4</c:v>
                </c:pt>
              </c:numCache>
            </c:numRef>
          </c:yVal>
        </c:ser>
        <c:axId val="62183296"/>
        <c:axId val="62185472"/>
      </c:scatterChart>
      <c:valAx>
        <c:axId val="62183296"/>
        <c:scaling>
          <c:orientation val="minMax"/>
          <c:max val="90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Duty Cycle</a:t>
                </a:r>
                <a:r>
                  <a:rPr lang="en-US" sz="1100" baseline="0"/>
                  <a:t> (%)</a:t>
                </a:r>
              </a:p>
            </c:rich>
          </c:tx>
          <c:layout>
            <c:manualLayout>
              <c:xMode val="edge"/>
              <c:yMode val="edge"/>
              <c:x val="0.41820509686843466"/>
              <c:y val="0.91745256638560457"/>
            </c:manualLayout>
          </c:layout>
        </c:title>
        <c:numFmt formatCode="0" sourceLinked="0"/>
        <c:tickLblPos val="nextTo"/>
        <c:spPr>
          <a:ln>
            <a:solidFill>
              <a:schemeClr val="tx1"/>
            </a:solidFill>
          </a:ln>
        </c:spPr>
        <c:crossAx val="62185472"/>
        <c:crosses val="autoZero"/>
        <c:crossBetween val="midCat"/>
        <c:majorUnit val="10"/>
        <c:minorUnit val="10"/>
      </c:valAx>
      <c:valAx>
        <c:axId val="62185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/>
                  <a:t>ILIM_min</a:t>
                </a:r>
              </a:p>
            </c:rich>
          </c:tx>
          <c:layout>
            <c:manualLayout>
              <c:xMode val="edge"/>
              <c:yMode val="edge"/>
              <c:x val="9.0060582781920067E-3"/>
              <c:y val="0.36413013360067392"/>
            </c:manualLayout>
          </c:layout>
        </c:title>
        <c:numFmt formatCode="0.0" sourceLinked="0"/>
        <c:tickLblPos val="nextTo"/>
        <c:crossAx val="621832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1681023796637546"/>
          <c:y val="0.5134459010062421"/>
          <c:w val="0.27278058091962776"/>
          <c:h val="0.22869717579580481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16</xdr:row>
      <xdr:rowOff>171450</xdr:rowOff>
    </xdr:from>
    <xdr:to>
      <xdr:col>5</xdr:col>
      <xdr:colOff>473075</xdr:colOff>
      <xdr:row>30</xdr:row>
      <xdr:rowOff>95250</xdr:rowOff>
    </xdr:to>
    <xdr:pic>
      <xdr:nvPicPr>
        <xdr:cNvPr id="1025" name="Picture 0" descr="A8600SAA19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0725" y="3857625"/>
          <a:ext cx="345440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98425</xdr:colOff>
      <xdr:row>21</xdr:row>
      <xdr:rowOff>114300</xdr:rowOff>
    </xdr:from>
    <xdr:to>
      <xdr:col>14</xdr:col>
      <xdr:colOff>231775</xdr:colOff>
      <xdr:row>45</xdr:row>
      <xdr:rowOff>101600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98425</xdr:colOff>
      <xdr:row>45</xdr:row>
      <xdr:rowOff>168275</xdr:rowOff>
    </xdr:from>
    <xdr:to>
      <xdr:col>14</xdr:col>
      <xdr:colOff>231775</xdr:colOff>
      <xdr:row>69</xdr:row>
      <xdr:rowOff>149225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14</xdr:col>
      <xdr:colOff>298450</xdr:colOff>
      <xdr:row>21</xdr:row>
      <xdr:rowOff>109538</xdr:rowOff>
    </xdr:from>
    <xdr:to>
      <xdr:col>28</xdr:col>
      <xdr:colOff>431800</xdr:colOff>
      <xdr:row>45</xdr:row>
      <xdr:rowOff>96838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14</xdr:col>
      <xdr:colOff>307975</xdr:colOff>
      <xdr:row>45</xdr:row>
      <xdr:rowOff>177800</xdr:rowOff>
    </xdr:from>
    <xdr:to>
      <xdr:col>28</xdr:col>
      <xdr:colOff>441325</xdr:colOff>
      <xdr:row>69</xdr:row>
      <xdr:rowOff>158750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95249</xdr:colOff>
      <xdr:row>89</xdr:row>
      <xdr:rowOff>95250</xdr:rowOff>
    </xdr:from>
    <xdr:to>
      <xdr:col>14</xdr:col>
      <xdr:colOff>228599</xdr:colOff>
      <xdr:row>113</xdr:row>
      <xdr:rowOff>76200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14</xdr:col>
      <xdr:colOff>314324</xdr:colOff>
      <xdr:row>89</xdr:row>
      <xdr:rowOff>95249</xdr:rowOff>
    </xdr:from>
    <xdr:to>
      <xdr:col>29</xdr:col>
      <xdr:colOff>104774</xdr:colOff>
      <xdr:row>113</xdr:row>
      <xdr:rowOff>85724</xdr:rowOff>
    </xdr:to>
    <xdr:graphicFrame macro="">
      <xdr:nvGraphicFramePr>
        <xdr:cNvPr id="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85725</xdr:colOff>
      <xdr:row>17</xdr:row>
      <xdr:rowOff>161925</xdr:rowOff>
    </xdr:from>
    <xdr:to>
      <xdr:col>14</xdr:col>
      <xdr:colOff>238125</xdr:colOff>
      <xdr:row>27</xdr:row>
      <xdr:rowOff>178498</xdr:rowOff>
    </xdr:to>
    <xdr:pic>
      <xdr:nvPicPr>
        <xdr:cNvPr id="17" name="Picture 16" descr="82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15175" y="3019425"/>
          <a:ext cx="3200400" cy="2188273"/>
        </a:xfrm>
        <a:prstGeom prst="rect">
          <a:avLst/>
        </a:prstGeom>
      </xdr:spPr>
    </xdr:pic>
    <xdr:clientData/>
  </xdr:twoCellAnchor>
  <xdr:twoCellAnchor editAs="oneCell">
    <xdr:from>
      <xdr:col>14</xdr:col>
      <xdr:colOff>352425</xdr:colOff>
      <xdr:row>17</xdr:row>
      <xdr:rowOff>161925</xdr:rowOff>
    </xdr:from>
    <xdr:to>
      <xdr:col>19</xdr:col>
      <xdr:colOff>504825</xdr:colOff>
      <xdr:row>27</xdr:row>
      <xdr:rowOff>178498</xdr:rowOff>
    </xdr:to>
    <xdr:pic>
      <xdr:nvPicPr>
        <xdr:cNvPr id="18" name="Picture 17" descr="82_1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29875" y="3019425"/>
          <a:ext cx="3200400" cy="2188273"/>
        </a:xfrm>
        <a:prstGeom prst="rect">
          <a:avLst/>
        </a:prstGeom>
      </xdr:spPr>
    </xdr:pic>
    <xdr:clientData/>
  </xdr:twoCellAnchor>
  <xdr:twoCellAnchor>
    <xdr:from>
      <xdr:col>9</xdr:col>
      <xdr:colOff>114300</xdr:colOff>
      <xdr:row>47</xdr:row>
      <xdr:rowOff>161925</xdr:rowOff>
    </xdr:from>
    <xdr:to>
      <xdr:col>16</xdr:col>
      <xdr:colOff>133350</xdr:colOff>
      <xdr:row>66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19050</xdr:colOff>
      <xdr:row>29</xdr:row>
      <xdr:rowOff>161925</xdr:rowOff>
    </xdr:from>
    <xdr:to>
      <xdr:col>17</xdr:col>
      <xdr:colOff>47625</xdr:colOff>
      <xdr:row>46</xdr:row>
      <xdr:rowOff>171450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390526</xdr:colOff>
      <xdr:row>24</xdr:row>
      <xdr:rowOff>9525</xdr:rowOff>
    </xdr:from>
    <xdr:to>
      <xdr:col>14</xdr:col>
      <xdr:colOff>19050</xdr:colOff>
      <xdr:row>25</xdr:row>
      <xdr:rowOff>0</xdr:rowOff>
    </xdr:to>
    <xdr:sp macro="" textlink="">
      <xdr:nvSpPr>
        <xdr:cNvPr id="13" name="TextBox 12"/>
        <xdr:cNvSpPr txBox="1"/>
      </xdr:nvSpPr>
      <xdr:spPr>
        <a:xfrm>
          <a:off x="7286626" y="3895725"/>
          <a:ext cx="26765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  <xdr:twoCellAnchor>
    <xdr:from>
      <xdr:col>14</xdr:col>
      <xdr:colOff>571501</xdr:colOff>
      <xdr:row>24</xdr:row>
      <xdr:rowOff>19051</xdr:rowOff>
    </xdr:from>
    <xdr:to>
      <xdr:col>19</xdr:col>
      <xdr:colOff>238125</xdr:colOff>
      <xdr:row>25</xdr:row>
      <xdr:rowOff>0</xdr:rowOff>
    </xdr:to>
    <xdr:sp macro="" textlink="">
      <xdr:nvSpPr>
        <xdr:cNvPr id="14" name="TextBox 13"/>
        <xdr:cNvSpPr txBox="1"/>
      </xdr:nvSpPr>
      <xdr:spPr>
        <a:xfrm>
          <a:off x="10515601" y="3905251"/>
          <a:ext cx="2714624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/>
            <a:t>Measured 1.1A</a:t>
          </a:r>
          <a:r>
            <a:rPr lang="en-US" sz="1200" b="1" baseline="0"/>
            <a:t> Transient with 1x 10uF</a:t>
          </a:r>
          <a:endParaRPr lang="en-US" sz="12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P88"/>
  <sheetViews>
    <sheetView tabSelected="1" topLeftCell="A14" workbookViewId="0">
      <selection activeCell="B59" sqref="B59:C60 C5 B46"/>
    </sheetView>
  </sheetViews>
  <sheetFormatPr defaultRowHeight="15"/>
  <cols>
    <col min="1" max="1" width="20.7109375" style="4" customWidth="1"/>
    <col min="2" max="4" width="12.7109375" style="6" customWidth="1"/>
    <col min="5" max="5" width="15.7109375" style="5" customWidth="1"/>
    <col min="6" max="6" width="15.7109375" style="6" customWidth="1"/>
    <col min="7" max="8" width="9.140625" style="6"/>
    <col min="9" max="10" width="9.140625" style="6" customWidth="1"/>
    <col min="11" max="11" width="9.140625" style="6"/>
    <col min="12" max="12" width="9.7109375" style="6" bestFit="1" customWidth="1"/>
    <col min="13" max="16" width="9.140625" style="6"/>
  </cols>
  <sheetData>
    <row r="1" spans="1:16" ht="24" customHeight="1" thickBot="1">
      <c r="A1" s="492" t="s">
        <v>347</v>
      </c>
      <c r="B1" s="493"/>
      <c r="C1" s="493"/>
      <c r="D1" s="493"/>
      <c r="E1" s="493"/>
      <c r="F1" s="493"/>
      <c r="G1" s="493"/>
      <c r="H1" s="493"/>
      <c r="I1" s="494"/>
    </row>
    <row r="2" spans="1:16" ht="24" customHeight="1" thickBot="1">
      <c r="A2" s="495" t="s">
        <v>159</v>
      </c>
      <c r="B2" s="496"/>
      <c r="C2" s="496"/>
      <c r="D2" s="496"/>
      <c r="E2" s="496"/>
      <c r="F2" s="496"/>
      <c r="G2" s="496"/>
      <c r="H2" s="496"/>
      <c r="I2" s="497"/>
    </row>
    <row r="3" spans="1:16" s="2" customFormat="1" ht="18" customHeight="1" thickBot="1">
      <c r="A3" s="99" t="s">
        <v>130</v>
      </c>
      <c r="B3" s="50" t="s">
        <v>31</v>
      </c>
      <c r="C3" s="50" t="s">
        <v>32</v>
      </c>
      <c r="D3" s="50" t="s">
        <v>33</v>
      </c>
      <c r="E3" s="51" t="s">
        <v>34</v>
      </c>
      <c r="F3" s="498" t="s">
        <v>36</v>
      </c>
      <c r="G3" s="499"/>
      <c r="H3" s="499"/>
      <c r="I3" s="500"/>
      <c r="J3" s="3"/>
      <c r="K3" s="3"/>
      <c r="L3" s="3"/>
      <c r="M3" s="3"/>
      <c r="N3" s="3"/>
      <c r="O3" s="3"/>
      <c r="P3" s="3"/>
    </row>
    <row r="4" spans="1:16" ht="18.75" customHeight="1" thickBot="1">
      <c r="A4" s="139" t="s">
        <v>103</v>
      </c>
      <c r="B4" s="208">
        <v>4</v>
      </c>
      <c r="C4" s="208">
        <v>12</v>
      </c>
      <c r="D4" s="208">
        <v>18</v>
      </c>
      <c r="E4" s="246" t="s">
        <v>2</v>
      </c>
      <c r="F4" s="501" t="str">
        <f>IF(B4&lt;Constants!D7,"Vin_min is lower than UVLO Stop_max","Steady-state input operating voltages")</f>
        <v>Steady-state input operating voltages</v>
      </c>
      <c r="G4" s="502"/>
      <c r="H4" s="502"/>
      <c r="I4" s="503"/>
    </row>
    <row r="5" spans="1:16" ht="18.75" customHeight="1" thickBot="1">
      <c r="A5" s="258" t="s">
        <v>50</v>
      </c>
      <c r="B5" s="252" t="s">
        <v>328</v>
      </c>
      <c r="C5" s="307">
        <v>5</v>
      </c>
      <c r="D5" s="71">
        <f>Vload_max+Iout*Rwire/1000</f>
        <v>5.3999999999999995</v>
      </c>
      <c r="E5" s="72" t="s">
        <v>2</v>
      </c>
      <c r="F5" s="468" t="s">
        <v>322</v>
      </c>
      <c r="G5" s="469"/>
      <c r="H5" s="469"/>
      <c r="I5" s="470"/>
    </row>
    <row r="6" spans="1:16" ht="18.75" customHeight="1" thickBot="1">
      <c r="A6" s="258" t="s">
        <v>74</v>
      </c>
      <c r="B6" s="248" t="s">
        <v>22</v>
      </c>
      <c r="C6" s="249" t="s">
        <v>22</v>
      </c>
      <c r="D6" s="250">
        <v>2.6</v>
      </c>
      <c r="E6" s="246" t="s">
        <v>67</v>
      </c>
      <c r="F6" s="468" t="s">
        <v>91</v>
      </c>
      <c r="G6" s="469"/>
      <c r="H6" s="469"/>
      <c r="I6" s="470"/>
    </row>
    <row r="7" spans="1:16" ht="18.75" customHeight="1" thickBot="1">
      <c r="A7" s="68" t="s">
        <v>45</v>
      </c>
      <c r="B7" s="69" t="s">
        <v>22</v>
      </c>
      <c r="C7" s="70">
        <v>25</v>
      </c>
      <c r="D7" s="71" t="s">
        <v>22</v>
      </c>
      <c r="E7" s="72" t="s">
        <v>75</v>
      </c>
      <c r="F7" s="468" t="s">
        <v>49</v>
      </c>
      <c r="G7" s="469"/>
      <c r="H7" s="469"/>
      <c r="I7" s="470"/>
    </row>
    <row r="8" spans="1:16" ht="18.75" customHeight="1" thickBot="1">
      <c r="A8" s="258" t="s">
        <v>133</v>
      </c>
      <c r="B8" s="251" t="s">
        <v>22</v>
      </c>
      <c r="C8" s="252" t="s">
        <v>22</v>
      </c>
      <c r="D8" s="66">
        <v>1.6</v>
      </c>
      <c r="E8" s="246" t="s">
        <v>24</v>
      </c>
      <c r="F8" s="468" t="s">
        <v>153</v>
      </c>
      <c r="G8" s="469"/>
      <c r="H8" s="469"/>
      <c r="I8" s="470"/>
    </row>
    <row r="9" spans="1:16" ht="18.75" customHeight="1" thickBot="1">
      <c r="A9" s="258" t="s">
        <v>132</v>
      </c>
      <c r="B9" s="253" t="s">
        <v>22</v>
      </c>
      <c r="C9" s="69" t="s">
        <v>22</v>
      </c>
      <c r="D9" s="66">
        <v>1.6</v>
      </c>
      <c r="E9" s="246" t="s">
        <v>24</v>
      </c>
      <c r="F9" s="468" t="s">
        <v>153</v>
      </c>
      <c r="G9" s="469"/>
      <c r="H9" s="469"/>
      <c r="I9" s="470"/>
    </row>
    <row r="10" spans="1:16" ht="18.75" customHeight="1" thickBot="1">
      <c r="A10" s="139" t="s">
        <v>131</v>
      </c>
      <c r="B10" s="66">
        <v>-20</v>
      </c>
      <c r="C10" s="254" t="s">
        <v>22</v>
      </c>
      <c r="D10" s="66">
        <v>20</v>
      </c>
      <c r="E10" s="246" t="s">
        <v>24</v>
      </c>
      <c r="F10" s="468" t="s">
        <v>59</v>
      </c>
      <c r="G10" s="469"/>
      <c r="H10" s="469"/>
      <c r="I10" s="470"/>
    </row>
    <row r="11" spans="1:16" ht="18.75" customHeight="1" thickBot="1">
      <c r="A11" s="259" t="s">
        <v>70</v>
      </c>
      <c r="B11" s="255" t="s">
        <v>22</v>
      </c>
      <c r="C11" s="256">
        <v>0.75</v>
      </c>
      <c r="D11" s="71" t="s">
        <v>22</v>
      </c>
      <c r="E11" s="257" t="s">
        <v>37</v>
      </c>
      <c r="F11" s="483" t="s">
        <v>66</v>
      </c>
      <c r="G11" s="484"/>
      <c r="H11" s="484"/>
      <c r="I11" s="485"/>
    </row>
    <row r="12" spans="1:16" ht="18.75" customHeight="1" thickBot="1">
      <c r="A12" s="47" t="s">
        <v>142</v>
      </c>
      <c r="B12" s="48" t="s">
        <v>22</v>
      </c>
      <c r="C12" s="46">
        <v>34</v>
      </c>
      <c r="D12" s="62" t="s">
        <v>22</v>
      </c>
      <c r="E12" s="49" t="s">
        <v>23</v>
      </c>
      <c r="F12" s="477" t="s">
        <v>259</v>
      </c>
      <c r="G12" s="478"/>
      <c r="H12" s="478"/>
      <c r="I12" s="479"/>
    </row>
    <row r="13" spans="1:16" ht="18.75" customHeight="1" thickBot="1">
      <c r="A13" s="63" t="s">
        <v>98</v>
      </c>
      <c r="B13" s="64" t="s">
        <v>22</v>
      </c>
      <c r="C13" s="65" t="s">
        <v>22</v>
      </c>
      <c r="D13" s="66">
        <v>85</v>
      </c>
      <c r="E13" s="67" t="s">
        <v>97</v>
      </c>
      <c r="F13" s="486" t="s">
        <v>163</v>
      </c>
      <c r="G13" s="487"/>
      <c r="H13" s="487"/>
      <c r="I13" s="488"/>
    </row>
    <row r="14" spans="1:16" ht="32.1" customHeight="1" thickBot="1">
      <c r="A14" s="480" t="s">
        <v>179</v>
      </c>
      <c r="B14" s="481"/>
      <c r="C14" s="481"/>
      <c r="D14" s="481"/>
      <c r="E14" s="481"/>
      <c r="F14" s="481"/>
      <c r="G14" s="481"/>
      <c r="H14" s="481"/>
      <c r="I14" s="482"/>
    </row>
    <row r="15" spans="1:16" s="2" customFormat="1" ht="18" customHeight="1">
      <c r="A15" s="136" t="s">
        <v>30</v>
      </c>
      <c r="B15" s="205" t="s">
        <v>29</v>
      </c>
      <c r="C15" s="205" t="s">
        <v>34</v>
      </c>
      <c r="D15" s="474" t="s">
        <v>36</v>
      </c>
      <c r="E15" s="475"/>
      <c r="F15" s="475"/>
      <c r="G15" s="475"/>
      <c r="H15" s="475"/>
      <c r="I15" s="476"/>
      <c r="J15" s="3"/>
      <c r="K15" s="3"/>
      <c r="L15" s="3"/>
      <c r="M15" s="3"/>
      <c r="N15" s="3"/>
      <c r="O15" s="3"/>
      <c r="P15" s="3"/>
    </row>
    <row r="16" spans="1:16" s="2" customFormat="1" ht="18" customHeight="1">
      <c r="A16" s="489" t="s">
        <v>244</v>
      </c>
      <c r="B16" s="490"/>
      <c r="C16" s="490"/>
      <c r="D16" s="490"/>
      <c r="E16" s="490"/>
      <c r="F16" s="490"/>
      <c r="G16" s="490"/>
      <c r="H16" s="490"/>
      <c r="I16" s="491"/>
      <c r="J16" s="3"/>
      <c r="K16" s="3"/>
      <c r="L16" s="3"/>
      <c r="M16" s="3"/>
      <c r="N16" s="3"/>
      <c r="O16" s="3"/>
      <c r="P16" s="3"/>
    </row>
    <row r="17" spans="1:14" ht="15.75" thickBot="1">
      <c r="A17" s="53" t="s">
        <v>51</v>
      </c>
      <c r="B17" s="17">
        <f>RFB_combo*1000*Vload_typ/VFB_typ/1000</f>
        <v>25</v>
      </c>
      <c r="C17" s="16" t="s">
        <v>65</v>
      </c>
      <c r="D17" s="21" t="s">
        <v>89</v>
      </c>
      <c r="E17" s="16"/>
      <c r="F17" s="18"/>
      <c r="G17" s="18"/>
      <c r="H17" s="18"/>
      <c r="I17" s="54"/>
      <c r="K17" s="206"/>
    </row>
    <row r="18" spans="1:14" ht="15.75" thickBot="1">
      <c r="A18" s="105" t="s">
        <v>53</v>
      </c>
      <c r="B18" s="108">
        <v>24.9</v>
      </c>
      <c r="C18" s="107" t="s">
        <v>180</v>
      </c>
      <c r="D18" s="21" t="s">
        <v>92</v>
      </c>
      <c r="E18" s="16"/>
      <c r="F18" s="18"/>
      <c r="G18" s="18"/>
      <c r="H18" s="18"/>
      <c r="I18" s="54"/>
    </row>
    <row r="19" spans="1:14" ht="15.75" thickBot="1">
      <c r="A19" s="53" t="s">
        <v>52</v>
      </c>
      <c r="B19" s="17">
        <f>1000/((1/RFB_combo*1000)-(1/RFB1_calc*1000))</f>
        <v>4.7619047619047619</v>
      </c>
      <c r="C19" s="16" t="s">
        <v>65</v>
      </c>
      <c r="D19" s="21" t="s">
        <v>90</v>
      </c>
      <c r="E19" s="16"/>
      <c r="F19" s="18"/>
      <c r="G19" s="18"/>
      <c r="H19" s="18"/>
      <c r="I19" s="54"/>
    </row>
    <row r="20" spans="1:14" ht="15.75" thickBot="1">
      <c r="A20" s="109" t="s">
        <v>54</v>
      </c>
      <c r="B20" s="108">
        <v>4.75</v>
      </c>
      <c r="C20" s="110" t="s">
        <v>180</v>
      </c>
      <c r="D20" s="91" t="s">
        <v>92</v>
      </c>
      <c r="E20" s="58"/>
      <c r="F20" s="60"/>
      <c r="G20" s="60"/>
      <c r="H20" s="60"/>
      <c r="I20" s="61"/>
    </row>
    <row r="21" spans="1:14" ht="15.75">
      <c r="A21" s="471" t="s">
        <v>341</v>
      </c>
      <c r="B21" s="472"/>
      <c r="C21" s="472"/>
      <c r="D21" s="472"/>
      <c r="E21" s="472"/>
      <c r="F21" s="472"/>
      <c r="G21" s="472"/>
      <c r="H21" s="472"/>
      <c r="I21" s="473"/>
    </row>
    <row r="22" spans="1:14" ht="15.75">
      <c r="A22" s="53" t="s">
        <v>152</v>
      </c>
      <c r="B22" s="204">
        <f>VFB_min*(1+(1-RFB1tol_max/100)*IF(ISBLANK(RFB1_Sel),RFB1_calc,RFB1_Sel)/((1+RFB2tol_max/100)*IF(ISBLANK(RFB2_Sel),RFB2_calc,RFB2_Sel)))</f>
        <v>4.8129836717778698</v>
      </c>
      <c r="C22" s="204">
        <f>VFB_typ*(1+IF(ISBLANK(RFB1_Sel),RFB1_calc,RFB1_Sel)/IF(ISBLANK(RFB2_Sel),RFB2_calc,RFB2_Sel))</f>
        <v>4.9936842105263155</v>
      </c>
      <c r="D22" s="204">
        <f>(VFB_max+0)*(1+(1+RFB1tol_max/100)*IF(ISBLANK(RFB1_Sel),RFB1_calc,RFB1_Sel)/((1-RFB1tol_max/100)*IF(ISBLANK(RFB2_Sel),RFB2_calc,RFB2_Sel)))</f>
        <v>5.1813648267008983</v>
      </c>
      <c r="E22" s="21" t="s">
        <v>151</v>
      </c>
      <c r="F22" s="18"/>
      <c r="G22" s="18"/>
      <c r="H22" s="18"/>
      <c r="I22" s="54"/>
    </row>
    <row r="23" spans="1:14" ht="15.75" thickBot="1">
      <c r="A23" s="53" t="s">
        <v>231</v>
      </c>
      <c r="B23" s="19">
        <f ca="1">MIN(Efficiency!AQ4:AQ11,Efficiency!AQ14:AQ21)</f>
        <v>28.119584413091012</v>
      </c>
      <c r="C23" s="19">
        <f ca="1">AVERAGE(Efficiency!W4:W11,Efficiency!W14:W21)</f>
        <v>45.539594609362219</v>
      </c>
      <c r="D23" s="19">
        <f ca="1">MAX(Efficiency!C4:C11,Efficiency!C14:C21)</f>
        <v>93.5</v>
      </c>
      <c r="E23" s="21" t="s">
        <v>273</v>
      </c>
      <c r="F23" s="173"/>
      <c r="G23" s="18"/>
      <c r="H23" s="18"/>
      <c r="I23" s="54"/>
    </row>
    <row r="24" spans="1:14" ht="15.75" customHeight="1">
      <c r="A24" s="471" t="s">
        <v>134</v>
      </c>
      <c r="B24" s="472"/>
      <c r="C24" s="472"/>
      <c r="D24" s="472"/>
      <c r="E24" s="472"/>
      <c r="F24" s="472"/>
      <c r="G24" s="472"/>
      <c r="H24" s="472"/>
      <c r="I24" s="473"/>
      <c r="L24" s="5"/>
    </row>
    <row r="25" spans="1:14" ht="15.75" customHeight="1" thickBot="1">
      <c r="A25" s="53" t="s">
        <v>41</v>
      </c>
      <c r="B25" s="102">
        <f ca="1">MIN(SysDuty_min/100/tonmin_max/0.000000001/1000000, Fsw_max)</f>
        <v>2.0829321787474822</v>
      </c>
      <c r="C25" s="16" t="s">
        <v>16</v>
      </c>
      <c r="D25" s="22" t="s">
        <v>190</v>
      </c>
      <c r="E25" s="16"/>
      <c r="F25" s="18"/>
      <c r="G25" s="18"/>
      <c r="H25" s="18"/>
      <c r="I25" s="54"/>
    </row>
    <row r="26" spans="1:14" ht="15.75" thickBot="1">
      <c r="A26" s="53" t="s">
        <v>40</v>
      </c>
      <c r="B26" s="101">
        <v>0.5</v>
      </c>
      <c r="C26" s="16" t="s">
        <v>16</v>
      </c>
      <c r="D26" s="96" t="s">
        <v>188</v>
      </c>
      <c r="E26" s="135" t="str">
        <f ca="1">IF(D23&gt;B29," See the DROPOUT tab for operation approaching Vin_min "," ")</f>
        <v xml:space="preserve"> See the DROPOUT tab for operation approaching Vin_min </v>
      </c>
      <c r="F26" s="127"/>
      <c r="G26" s="128"/>
      <c r="H26" s="123"/>
      <c r="I26" s="54"/>
      <c r="M26" s="5"/>
      <c r="N26" s="122"/>
    </row>
    <row r="27" spans="1:14" ht="18">
      <c r="A27" s="105" t="s">
        <v>181</v>
      </c>
      <c r="B27" s="106">
        <f>(26000/IF(ISBLANK(Fsw_Sel),1000*Fsw_Recom,1000*Fsw_Sel)-2.2)</f>
        <v>49.8</v>
      </c>
      <c r="C27" s="107" t="s">
        <v>180</v>
      </c>
      <c r="D27" s="22" t="s">
        <v>86</v>
      </c>
      <c r="E27" s="16"/>
      <c r="F27" s="18"/>
      <c r="G27" s="18"/>
      <c r="H27" s="18"/>
      <c r="I27" s="54"/>
      <c r="L27" s="5"/>
    </row>
    <row r="28" spans="1:14" ht="18">
      <c r="A28" s="53" t="s">
        <v>230</v>
      </c>
      <c r="B28" s="119">
        <f>100*IF(ISBLANK(Fsw_Sel),Fsw_Recom,Fsw_Sel)*1000000*tonmin_typ/1000000000</f>
        <v>4.75</v>
      </c>
      <c r="C28" s="119">
        <f>100*IF(ISBLANK(Fsw_Sel),Fsw_Recom,Fsw_Sel)*1000000*tonmin_max/1000000000</f>
        <v>6.75</v>
      </c>
      <c r="D28" s="21" t="s">
        <v>255</v>
      </c>
      <c r="E28" s="175"/>
      <c r="F28" s="18"/>
      <c r="G28" s="18"/>
      <c r="H28" s="18"/>
      <c r="I28" s="54"/>
      <c r="K28" s="121"/>
      <c r="L28" s="5"/>
      <c r="M28" s="5"/>
      <c r="N28" s="122"/>
    </row>
    <row r="29" spans="1:14" ht="18.75" thickBot="1">
      <c r="A29" s="53" t="s">
        <v>229</v>
      </c>
      <c r="B29" s="176">
        <f>100*(1-IF(ISBLANK(Fsw_Sel),Fsw_Recom,Fsw_Sel)*1000000*(toffmin_max+2*tnonOverlap)/1000000000)</f>
        <v>91.75</v>
      </c>
      <c r="C29" s="177">
        <f>100*(1-IF(ISBLANK(Fsw_Sel),Fsw_Recom,Fsw_Sel)*1000000*(toffmin_typ+2*tnonOverlap)/1000000000)</f>
        <v>93.5</v>
      </c>
      <c r="D29" s="21" t="s">
        <v>256</v>
      </c>
      <c r="E29" s="175"/>
      <c r="F29" s="174"/>
      <c r="G29" s="174"/>
      <c r="H29" s="174"/>
      <c r="I29" s="54"/>
      <c r="K29" s="121"/>
      <c r="L29" s="5"/>
      <c r="M29" s="5"/>
      <c r="N29" s="122"/>
    </row>
    <row r="30" spans="1:14" ht="18.75" thickBot="1">
      <c r="A30" s="56" t="s">
        <v>192</v>
      </c>
      <c r="B30" s="101">
        <v>2.2000000000000002</v>
      </c>
      <c r="C30" s="58" t="s">
        <v>16</v>
      </c>
      <c r="D30" s="91" t="s">
        <v>324</v>
      </c>
      <c r="E30" s="58"/>
      <c r="F30" s="60"/>
      <c r="G30" s="60"/>
      <c r="H30" s="60"/>
      <c r="I30" s="61"/>
    </row>
    <row r="31" spans="1:14" ht="15.75" customHeight="1">
      <c r="A31" s="471" t="s">
        <v>140</v>
      </c>
      <c r="B31" s="472"/>
      <c r="C31" s="472"/>
      <c r="D31" s="472"/>
      <c r="E31" s="472"/>
      <c r="F31" s="472"/>
      <c r="G31" s="472"/>
      <c r="H31" s="472"/>
      <c r="I31" s="473"/>
      <c r="K31" s="121"/>
      <c r="L31" s="425"/>
      <c r="M31" s="5"/>
      <c r="N31" s="122"/>
    </row>
    <row r="32" spans="1:14" ht="15.75" customHeight="1">
      <c r="A32" s="207" t="s">
        <v>276</v>
      </c>
      <c r="B32" s="233">
        <f ca="1">0.4*(Vout+Efficiency!B21*Efficiency!P21/1000)/ChosenSE_max</f>
        <v>4.4928696068173819</v>
      </c>
      <c r="C32" s="233">
        <f ca="1">1.1*(Vout+Efficiency!B21*Efficiency!P21/1000)/ChosenSE_min</f>
        <v>41.49074010214634</v>
      </c>
      <c r="D32" s="228" t="s">
        <v>71</v>
      </c>
      <c r="E32" s="231" t="s">
        <v>288</v>
      </c>
      <c r="F32" s="226"/>
      <c r="G32" s="226"/>
      <c r="H32" s="226"/>
      <c r="I32" s="227"/>
      <c r="K32" s="121"/>
      <c r="L32" s="5"/>
      <c r="M32" s="5"/>
      <c r="N32" s="122"/>
    </row>
    <row r="33" spans="1:14" ht="15.75" customHeight="1">
      <c r="A33" s="207" t="s">
        <v>332</v>
      </c>
      <c r="B33" s="520">
        <f ca="1">(Vin_typ-Vout)*SysDuty_typ/100/(Fsw_Sel*RippleIout_percent/100*Iout)</f>
        <v>9.8085280697087853</v>
      </c>
      <c r="C33" s="520"/>
      <c r="D33" s="228" t="s">
        <v>71</v>
      </c>
      <c r="E33" s="96" t="s">
        <v>331</v>
      </c>
      <c r="F33" s="412"/>
      <c r="G33" s="412"/>
      <c r="H33" s="412"/>
      <c r="I33" s="413"/>
      <c r="K33" s="121"/>
      <c r="L33" s="5"/>
      <c r="M33" s="5"/>
      <c r="N33" s="122"/>
    </row>
    <row r="34" spans="1:14" ht="18.75" thickBot="1">
      <c r="A34" s="207" t="s">
        <v>287</v>
      </c>
      <c r="B34" s="523">
        <f ca="1">Vout_typ*(1-0.18/(SysDuty_max/100))/(ChosenSE_typ)</f>
        <v>13.548639684773431</v>
      </c>
      <c r="C34" s="523"/>
      <c r="D34" s="228" t="s">
        <v>71</v>
      </c>
      <c r="E34" s="96" t="s">
        <v>286</v>
      </c>
      <c r="F34" s="18"/>
      <c r="G34" s="18"/>
      <c r="H34" s="18"/>
      <c r="I34" s="55"/>
      <c r="J34" s="9"/>
      <c r="L34" s="5"/>
    </row>
    <row r="35" spans="1:14" ht="18.75" thickBot="1">
      <c r="A35" s="105" t="s">
        <v>298</v>
      </c>
      <c r="B35" s="521">
        <v>10</v>
      </c>
      <c r="C35" s="522"/>
      <c r="D35" s="229" t="s">
        <v>182</v>
      </c>
      <c r="E35" s="231" t="s">
        <v>285</v>
      </c>
      <c r="F35" s="18"/>
      <c r="G35" s="18"/>
      <c r="H35" s="18"/>
      <c r="I35" s="54"/>
    </row>
    <row r="36" spans="1:14" ht="18.75" thickBot="1">
      <c r="A36" s="124" t="s">
        <v>194</v>
      </c>
      <c r="B36" s="527">
        <f ca="1">IF(ISBLANK(DCRLo_Sel),10,DCR_Lo)</f>
        <v>35</v>
      </c>
      <c r="C36" s="528"/>
      <c r="D36" s="230" t="s">
        <v>193</v>
      </c>
      <c r="E36" s="232" t="s">
        <v>299</v>
      </c>
      <c r="F36" s="125"/>
      <c r="G36" s="125"/>
      <c r="H36" s="125"/>
      <c r="I36" s="126"/>
    </row>
    <row r="37" spans="1:14" ht="18">
      <c r="A37" s="53" t="s">
        <v>47</v>
      </c>
      <c r="B37" s="523">
        <f ca="1">(Vin_typ-Vout_typ)/(IF(ISBLANK(Lo_sel),Lo_Ridley,Lo_sel)*0.000001)*(SysDuty_typ/100)/(IF(ISBLANK(Fsw_Sel),Fsw_Recom,Fsw_Sel)*1000000)</f>
        <v>0.6381295615156104</v>
      </c>
      <c r="C37" s="523"/>
      <c r="D37" s="228" t="s">
        <v>68</v>
      </c>
      <c r="E37" s="231" t="s">
        <v>171</v>
      </c>
      <c r="F37" s="18"/>
      <c r="G37" s="18"/>
      <c r="H37" s="18"/>
      <c r="I37" s="54"/>
      <c r="L37" s="5"/>
      <c r="M37" s="5"/>
      <c r="N37" s="5"/>
    </row>
    <row r="38" spans="1:14" ht="18">
      <c r="A38" s="53" t="s">
        <v>46</v>
      </c>
      <c r="B38" s="523">
        <f ca="1">(Vin_max-(1+VFBtol_min/100)*Vout)/((1+Lotol_min/100)*IF(ISBLANK(Lo_sel),Lo_Ridley,Lo_sel)*0.000001)*(SysDuty_min/100)/((1+Fswtol_min/100)*IF(ISBLANK(Fsw_Sel),Fsw_Recom,Fsw_Sel)*1000000)</f>
        <v>1.0193349349745493</v>
      </c>
      <c r="C38" s="523"/>
      <c r="D38" s="228" t="s">
        <v>68</v>
      </c>
      <c r="E38" s="231" t="s">
        <v>141</v>
      </c>
      <c r="F38" s="18"/>
      <c r="G38" s="18"/>
      <c r="H38" s="18"/>
      <c r="I38" s="54"/>
      <c r="L38" s="122"/>
    </row>
    <row r="39" spans="1:14" ht="18">
      <c r="A39" s="53" t="s">
        <v>177</v>
      </c>
      <c r="B39" s="523">
        <f ca="1">Iout+ILpp_max/2</f>
        <v>3.1096674674872746</v>
      </c>
      <c r="C39" s="523"/>
      <c r="D39" s="228" t="s">
        <v>69</v>
      </c>
      <c r="E39" s="231" t="s">
        <v>277</v>
      </c>
      <c r="F39" s="18"/>
      <c r="G39" s="18"/>
      <c r="H39" s="18"/>
      <c r="I39" s="54"/>
    </row>
    <row r="40" spans="1:14" ht="18.75" thickBot="1">
      <c r="A40" s="207" t="s">
        <v>278</v>
      </c>
      <c r="B40" s="518">
        <f ca="1">ILIMcurve_offset+ILIMcurve_slope*SysDuty_typ</f>
        <v>2.9772392295392276</v>
      </c>
      <c r="C40" s="518"/>
      <c r="D40" s="228" t="s">
        <v>13</v>
      </c>
      <c r="E40" s="96" t="s">
        <v>300</v>
      </c>
      <c r="F40" s="18"/>
      <c r="G40" s="18"/>
      <c r="H40" s="18"/>
      <c r="I40" s="54"/>
    </row>
    <row r="41" spans="1:14" ht="18.75" thickBot="1">
      <c r="A41" s="85" t="s">
        <v>279</v>
      </c>
      <c r="B41" s="519">
        <f ca="1">ILIMcurve_offset+ILIMcurve_slope*SysDuty_max</f>
        <v>2.3585500000000001</v>
      </c>
      <c r="C41" s="519"/>
      <c r="D41" s="87" t="s">
        <v>13</v>
      </c>
      <c r="E41" s="88" t="s">
        <v>301</v>
      </c>
      <c r="F41" s="89"/>
      <c r="G41" s="89"/>
      <c r="H41" s="89"/>
      <c r="I41" s="90"/>
      <c r="K41" s="507" t="s">
        <v>250</v>
      </c>
      <c r="L41" s="508"/>
      <c r="M41" s="509"/>
      <c r="N41" s="5"/>
    </row>
    <row r="42" spans="1:14" ht="15.75" customHeight="1" thickBot="1">
      <c r="A42" s="471" t="s">
        <v>135</v>
      </c>
      <c r="B42" s="472"/>
      <c r="C42" s="472"/>
      <c r="D42" s="472"/>
      <c r="E42" s="472"/>
      <c r="F42" s="472"/>
      <c r="G42" s="472"/>
      <c r="H42" s="472"/>
      <c r="I42" s="473"/>
      <c r="K42" s="504" t="s">
        <v>252</v>
      </c>
      <c r="L42" s="505"/>
      <c r="M42" s="506"/>
    </row>
    <row r="43" spans="1:14" ht="15.75" customHeight="1" thickBot="1">
      <c r="A43" s="94" t="s">
        <v>160</v>
      </c>
      <c r="B43" s="97">
        <v>50</v>
      </c>
      <c r="C43" s="95" t="s">
        <v>24</v>
      </c>
      <c r="D43" s="96" t="s">
        <v>169</v>
      </c>
      <c r="E43" s="92"/>
      <c r="F43" s="92"/>
      <c r="G43" s="92"/>
      <c r="H43" s="92"/>
      <c r="I43" s="93"/>
      <c r="K43" s="510" t="s">
        <v>251</v>
      </c>
      <c r="L43" s="511"/>
      <c r="M43" s="512"/>
    </row>
    <row r="44" spans="1:14" ht="15.75" thickBot="1">
      <c r="A44" s="53" t="s">
        <v>139</v>
      </c>
      <c r="B44" s="119">
        <f>(IF(ISBLANK(Trans_perc),Perc_StepCurrent,Trans_perc))/Perc_StepCurrent*Transnumb_Cap*Trans_Vo/Vout*Trans_Fsw/(IF(ISBLANK(Fsw_Sel),Fsw_Recom,Fsw_Sel))*Iout/Trans_maxCurrent</f>
        <v>3.1199999999999992</v>
      </c>
      <c r="C44" s="20" t="s">
        <v>129</v>
      </c>
      <c r="D44" s="115" t="s">
        <v>184</v>
      </c>
      <c r="E44" s="116"/>
      <c r="F44" s="117"/>
      <c r="G44" s="117"/>
      <c r="H44" s="117"/>
      <c r="I44" s="118"/>
      <c r="K44" s="513"/>
      <c r="L44" s="511"/>
      <c r="M44" s="512"/>
    </row>
    <row r="45" spans="1:14" ht="16.5" thickBot="1">
      <c r="A45" s="105" t="s">
        <v>118</v>
      </c>
      <c r="B45" s="120">
        <v>4</v>
      </c>
      <c r="C45" s="111" t="s">
        <v>129</v>
      </c>
      <c r="D45" s="22" t="s">
        <v>185</v>
      </c>
      <c r="E45" s="16"/>
      <c r="F45" s="18"/>
      <c r="G45" s="18"/>
      <c r="H45" s="18"/>
      <c r="I45" s="54"/>
      <c r="K45" s="207" t="s">
        <v>245</v>
      </c>
      <c r="L45" s="263"/>
      <c r="M45" s="209" t="s">
        <v>248</v>
      </c>
    </row>
    <row r="46" spans="1:14" ht="16.5" thickBot="1">
      <c r="A46" s="53" t="s">
        <v>121</v>
      </c>
      <c r="B46" s="15">
        <f>IF(ISBLANK(ManualCout), IF(ISBLANK(Co_num_actual),Co_num_est,Co_num_actual)*(1-Trans_Co_tol/100)*(Coeff_V3*Vout^3+Coeff_V2*Vout^2+Coeff_V*Vout+Coeff_0V), L45*IF(ISBLANK(L48),1,L48))</f>
        <v>31.881599999999995</v>
      </c>
      <c r="C46" s="16" t="s">
        <v>72</v>
      </c>
      <c r="D46" s="22" t="s">
        <v>170</v>
      </c>
      <c r="E46" s="16"/>
      <c r="F46" s="18"/>
      <c r="G46" s="18"/>
      <c r="H46" s="18"/>
      <c r="I46" s="54"/>
      <c r="K46" s="207" t="s">
        <v>246</v>
      </c>
      <c r="L46" s="263"/>
      <c r="M46" s="209" t="s">
        <v>249</v>
      </c>
    </row>
    <row r="47" spans="1:14" ht="18.75" thickBot="1">
      <c r="A47" s="85" t="s">
        <v>117</v>
      </c>
      <c r="B47" s="86">
        <f ca="1">IF(ISBLANK(ManualCout), 1000*(ILpp_typ*Trans_Co_ESR/1000/IF(ISBLANK(Co_num_actual),Co_num_est,Co_num_actual)+ILpp_typ/(8*(IF(ISBLANK(Fsw_Sel),Fsw_Recom,Fsw_Sel))*1000000*Co_tot/1000000)+(Vin_typ-Vout)/(IF(ISBLANK(Lo_sel),Lo_Ridley,Lo_sel)/1000000)*Trans_Co_ESL/1000000000),
1000*(ILpp_typ*ManualCout_ESR/1000/IF(ISBLANK(ManualCout_numb),1,ManualCout_numb)+ILpp_typ/(8*(IF(ISBLANK(Fsw_Sel),Fsw_Recom,Fsw_Sel))*1000000*ManualCout*IF(ISBLANK(ManualCout_numb),1,ManualCout_numb)/1000000)+(Vin_typ-Vout)/(IF(ISBLANK(Lo_sel),Lo_Ridley,Lo_sel)/1000000)*ManualCout_ESL/1000000000/IF(ISBLANK(ManualCout_numb),1,ManualCout_numb)) )</f>
        <v>7.2210959776650716</v>
      </c>
      <c r="C47" s="58" t="s">
        <v>127</v>
      </c>
      <c r="D47" s="59" t="s">
        <v>128</v>
      </c>
      <c r="E47" s="58"/>
      <c r="F47" s="60"/>
      <c r="G47" s="60"/>
      <c r="H47" s="60"/>
      <c r="I47" s="61"/>
      <c r="K47" s="207" t="s">
        <v>247</v>
      </c>
      <c r="L47" s="263"/>
      <c r="M47" s="209" t="s">
        <v>28</v>
      </c>
    </row>
    <row r="48" spans="1:14" ht="16.5" thickBot="1">
      <c r="A48" s="427" t="s">
        <v>333</v>
      </c>
      <c r="B48" s="103">
        <f>(Trans_perc/100*Iout)^2/(2*Co_tot*(Vin_typ-Vout_typ))*Lo_sel*1000</f>
        <v>37.829176939049489</v>
      </c>
      <c r="C48" s="426" t="s">
        <v>20</v>
      </c>
      <c r="D48" s="104" t="s">
        <v>336</v>
      </c>
      <c r="E48" s="16"/>
      <c r="F48" s="18"/>
      <c r="G48" s="18"/>
      <c r="H48" s="18"/>
      <c r="I48" s="54"/>
      <c r="K48" s="85" t="s">
        <v>253</v>
      </c>
      <c r="L48" s="264"/>
      <c r="M48" s="210" t="s">
        <v>129</v>
      </c>
    </row>
    <row r="49" spans="1:9" ht="15.75" thickBot="1">
      <c r="A49" s="85" t="s">
        <v>334</v>
      </c>
      <c r="B49" s="424">
        <f>(Trans_perc/100*Iout)^2/(2*Co_tot*Vout_typ)*Lo_sel*1000</f>
        <v>53.07567489593454</v>
      </c>
      <c r="C49" s="16" t="s">
        <v>20</v>
      </c>
      <c r="D49" s="104" t="s">
        <v>335</v>
      </c>
      <c r="E49" s="16"/>
      <c r="F49" s="18"/>
      <c r="G49" s="18"/>
      <c r="H49" s="18"/>
      <c r="I49" s="54"/>
    </row>
    <row r="50" spans="1:9" ht="15.75" customHeight="1">
      <c r="A50" s="471" t="s">
        <v>136</v>
      </c>
      <c r="B50" s="472"/>
      <c r="C50" s="472"/>
      <c r="D50" s="472"/>
      <c r="E50" s="472"/>
      <c r="F50" s="472"/>
      <c r="G50" s="472"/>
      <c r="H50" s="472"/>
      <c r="I50" s="473"/>
    </row>
    <row r="51" spans="1:9">
      <c r="A51" s="105" t="s">
        <v>42</v>
      </c>
      <c r="B51" s="106">
        <f ca="1">IF(AND(SysDuty_min&lt;50, SysDuty_max&gt;50), 1000000*Iout*0.5*(1-0.5)/((1+Fswtol_min/100)*IF(ISBLANK(Fsw_Sel),Fsw_Recom,Fsw_Sel)*1000000*UVLO_mult*UVLOhys_min/1000), MAX(1000000*Iout*SysDuty_max/100*(1-SysDuty_max/100)/((1+Fswtol_min/100)*IF(ISBLANK(Fsw_Sel),Fsw_Recom,Fsw_Sel)*1000000*UVLO_mult*UVLOhys_min/1000), 1000000*Iout*SysDuty_typ/100*(1-SysDuty_typ/100)/((1+Fswtol_min/100)*IF(ISBLANK(Fsw_Sel),Fsw_Recom,Fsw_Sel)*1000000*UVLO_mult*UVLO_hys/1000), 1000000*Iout*SysDuty_min/100*(1-SysDuty_min/100)/((1+Fswtol_min/100)*IF(ISBLANK(Fsw_Sel),Fsw_Recom,Fsw_Sel)*1000000*UVLO_mult*UVLOhys_min/1000)))</f>
        <v>14.444444444444445</v>
      </c>
      <c r="C51" s="107" t="s">
        <v>183</v>
      </c>
      <c r="D51" s="22" t="s">
        <v>78</v>
      </c>
      <c r="E51" s="16"/>
      <c r="F51" s="18"/>
      <c r="G51" s="18"/>
      <c r="H51" s="18"/>
      <c r="I51" s="54"/>
    </row>
    <row r="52" spans="1:9" ht="18.75" thickBot="1">
      <c r="A52" s="56" t="s">
        <v>178</v>
      </c>
      <c r="B52" s="57">
        <f ca="1">Iout*SQRT(SysDuty_max/100*(1-SysDuty_max/100))</f>
        <v>0.64096723785229437</v>
      </c>
      <c r="C52" s="58" t="s">
        <v>73</v>
      </c>
      <c r="D52" s="59" t="s">
        <v>44</v>
      </c>
      <c r="E52" s="58"/>
      <c r="F52" s="60"/>
      <c r="G52" s="60"/>
      <c r="H52" s="60"/>
      <c r="I52" s="61"/>
    </row>
    <row r="53" spans="1:9" ht="15.75" customHeight="1">
      <c r="A53" s="471" t="s">
        <v>137</v>
      </c>
      <c r="B53" s="472"/>
      <c r="C53" s="472"/>
      <c r="D53" s="472"/>
      <c r="E53" s="472"/>
      <c r="F53" s="472"/>
      <c r="G53" s="472"/>
      <c r="H53" s="472"/>
      <c r="I53" s="473"/>
    </row>
    <row r="54" spans="1:9" ht="15.75" thickBot="1">
      <c r="A54" s="53" t="s">
        <v>58</v>
      </c>
      <c r="B54" s="17">
        <f>1000000000*SS_source/1000000*SS_target/1000/VFB_typ</f>
        <v>18.75</v>
      </c>
      <c r="C54" s="16" t="s">
        <v>17</v>
      </c>
      <c r="D54" s="22" t="s">
        <v>64</v>
      </c>
      <c r="E54" s="16"/>
      <c r="F54" s="18"/>
      <c r="G54" s="18"/>
      <c r="H54" s="18"/>
      <c r="I54" s="54"/>
    </row>
    <row r="55" spans="1:9" ht="15.75" thickBot="1">
      <c r="A55" s="105" t="s">
        <v>63</v>
      </c>
      <c r="B55" s="114">
        <v>22</v>
      </c>
      <c r="C55" s="107" t="s">
        <v>17</v>
      </c>
      <c r="D55" s="22" t="s">
        <v>146</v>
      </c>
      <c r="E55" s="16"/>
      <c r="F55" s="18"/>
      <c r="G55" s="18"/>
      <c r="H55" s="18"/>
      <c r="I55" s="54"/>
    </row>
    <row r="56" spans="1:9">
      <c r="A56" s="53" t="s">
        <v>60</v>
      </c>
      <c r="B56" s="17">
        <f>1000*IF(ISBLANK(CSS_sel),CSS_min,CSS_sel)/1000000000*VFB_typ/(SS_source/1000000)</f>
        <v>0.88</v>
      </c>
      <c r="C56" s="16" t="s">
        <v>37</v>
      </c>
      <c r="D56" s="22" t="s">
        <v>62</v>
      </c>
      <c r="E56" s="16"/>
      <c r="F56" s="18"/>
      <c r="G56" s="18"/>
      <c r="H56" s="18"/>
      <c r="I56" s="54"/>
    </row>
    <row r="57" spans="1:9" ht="15.75" thickBot="1">
      <c r="A57" s="56" t="s">
        <v>61</v>
      </c>
      <c r="B57" s="57">
        <f>1000*IF(ISBLANK(CSS_sel),CSS_min,CSS_sel)/1000000000*400/1000/(SS_source/1000000)</f>
        <v>0.44</v>
      </c>
      <c r="C57" s="58" t="s">
        <v>37</v>
      </c>
      <c r="D57" s="59" t="s">
        <v>79</v>
      </c>
      <c r="E57" s="58"/>
      <c r="F57" s="60"/>
      <c r="G57" s="60"/>
      <c r="H57" s="60"/>
      <c r="I57" s="61"/>
    </row>
    <row r="58" spans="1:9" ht="15.75" customHeight="1">
      <c r="A58" s="471" t="s">
        <v>138</v>
      </c>
      <c r="B58" s="472"/>
      <c r="C58" s="472"/>
      <c r="D58" s="472"/>
      <c r="E58" s="472"/>
      <c r="F58" s="472"/>
      <c r="G58" s="472"/>
      <c r="H58" s="472"/>
      <c r="I58" s="473"/>
    </row>
    <row r="59" spans="1:9" ht="18" customHeight="1" thickBot="1">
      <c r="A59" s="53" t="s">
        <v>76</v>
      </c>
      <c r="B59" s="515">
        <f>1000*IF(ISBLANK(Fsw_Sel),Fsw_Recom,Fsw_Sel)/11</f>
        <v>45.454545454545453</v>
      </c>
      <c r="C59" s="515"/>
      <c r="D59" s="228" t="s">
        <v>19</v>
      </c>
      <c r="E59" s="231" t="s">
        <v>289</v>
      </c>
      <c r="F59" s="18"/>
      <c r="G59" s="18"/>
      <c r="H59" s="18"/>
      <c r="I59" s="54"/>
    </row>
    <row r="60" spans="1:9" ht="18" customHeight="1" thickBot="1">
      <c r="A60" s="53" t="s">
        <v>43</v>
      </c>
      <c r="B60" s="516">
        <v>50</v>
      </c>
      <c r="C60" s="517"/>
      <c r="D60" s="228" t="s">
        <v>19</v>
      </c>
      <c r="E60" s="231" t="s">
        <v>290</v>
      </c>
      <c r="F60" s="18"/>
      <c r="G60" s="18"/>
      <c r="H60" s="18"/>
      <c r="I60" s="54"/>
    </row>
    <row r="61" spans="1:9" ht="18" customHeight="1">
      <c r="A61" s="53" t="s">
        <v>87</v>
      </c>
      <c r="B61" s="514">
        <f ca="1">Vout/AVERAGE(ILpp_typ/2, Iout)</f>
        <v>3.4257547369003389</v>
      </c>
      <c r="C61" s="514"/>
      <c r="D61" s="260" t="s">
        <v>80</v>
      </c>
      <c r="E61" s="231" t="s">
        <v>291</v>
      </c>
      <c r="F61" s="18"/>
      <c r="G61" s="18"/>
      <c r="H61" s="18"/>
      <c r="I61" s="54"/>
    </row>
    <row r="62" spans="1:9" ht="18" customHeight="1">
      <c r="A62" s="53" t="s">
        <v>81</v>
      </c>
      <c r="B62" s="518">
        <f ca="1">1/(6.28*RLoad_typ*Co_tot/1000000)/1000</f>
        <v>1.4579545336643898</v>
      </c>
      <c r="C62" s="518"/>
      <c r="D62" s="260" t="s">
        <v>19</v>
      </c>
      <c r="E62" s="231" t="s">
        <v>292</v>
      </c>
      <c r="F62" s="18"/>
      <c r="G62" s="18"/>
      <c r="H62" s="18"/>
      <c r="I62" s="54"/>
    </row>
    <row r="63" spans="1:9" ht="18" customHeight="1">
      <c r="A63" s="53" t="s">
        <v>82</v>
      </c>
      <c r="B63" s="514">
        <f>IF(ISBLANK(ManualCout), 1/(6.28*Trans_Co_ESR/(IF(ISBLANK(Co_num_actual),Co_num_est,Co_num_actual))/1000*Co_tot/1000000)/1000, 1/(6.28*IF(ISBLANK(ManualCout_ESR),Trans_Co_ESR,ManualCout_ESR)/(IF(ISBLANK(ManualCout_numb),1,ManualCout_numb))/1000*Co_tot/1000000)/1000)</f>
        <v>3329.729766590739</v>
      </c>
      <c r="C63" s="514"/>
      <c r="D63" s="260" t="s">
        <v>19</v>
      </c>
      <c r="E63" s="231" t="s">
        <v>88</v>
      </c>
      <c r="F63" s="18"/>
      <c r="G63" s="18"/>
      <c r="H63" s="18"/>
      <c r="I63" s="54"/>
    </row>
    <row r="64" spans="1:9" ht="18" customHeight="1" thickBot="1">
      <c r="A64" s="53" t="s">
        <v>14</v>
      </c>
      <c r="B64" s="514">
        <f>IF(ISBLANK(fc_sel),fc_max,fc_sel)*1000*(Vout/VFB_typ)*((6.28*Co_tot/1000000)/(gmPower*gmEA_typ/1000000))/1000</f>
        <v>13.24182857142857</v>
      </c>
      <c r="C64" s="514"/>
      <c r="D64" s="228" t="s">
        <v>65</v>
      </c>
      <c r="E64" s="231" t="s">
        <v>293</v>
      </c>
      <c r="F64" s="18"/>
      <c r="G64" s="18"/>
      <c r="H64" s="18"/>
      <c r="I64" s="54"/>
    </row>
    <row r="65" spans="1:9" ht="18" customHeight="1" thickBot="1">
      <c r="A65" s="105" t="s">
        <v>85</v>
      </c>
      <c r="B65" s="524">
        <v>14</v>
      </c>
      <c r="C65" s="525"/>
      <c r="D65" s="229" t="s">
        <v>180</v>
      </c>
      <c r="E65" s="231" t="s">
        <v>294</v>
      </c>
      <c r="F65" s="18"/>
      <c r="G65" s="18"/>
      <c r="H65" s="18"/>
      <c r="I65" s="54"/>
    </row>
    <row r="66" spans="1:9" ht="18" customHeight="1">
      <c r="A66" s="112" t="s">
        <v>297</v>
      </c>
      <c r="B66" s="113">
        <f>4*1000000000/(6.28*IF(ISBLANK(Rz_sel),Rz,Rz_sel)*1000*IF(ISBLANK(fc_sel),fc_max,fc_sel)*1000)</f>
        <v>0.90991810737033663</v>
      </c>
      <c r="C66" s="113">
        <f ca="1">1000000000/(6.28*IF(ISBLANK(Rz_sel),Rz,Rz_sel)*1000*1.5*f_p1*1000)</f>
        <v>5.2008829628553261</v>
      </c>
      <c r="D66" s="229" t="s">
        <v>17</v>
      </c>
      <c r="E66" s="231" t="s">
        <v>295</v>
      </c>
      <c r="F66" s="18"/>
      <c r="G66" s="18"/>
      <c r="H66" s="18"/>
      <c r="I66" s="54"/>
    </row>
    <row r="67" spans="1:9" ht="18" customHeight="1" thickBot="1">
      <c r="A67" s="109" t="s">
        <v>15</v>
      </c>
      <c r="B67" s="526">
        <f>IF(f_z1&gt;10*IF(ISBLANK(fc_sel),fc_max,fc_sel), MIN(1000000000000/(6.28*IF(ISBLANK(Rz_sel),Rz,Rz_sel)*1000*7.5*IF(ISBLANK(fc_sel),fc_max,fc_sel)*1000),1000000000000/(6.28*IF(ISBLANK(Rz_sel),Rz,Rz_sel)*1000*IF(ISBLANK(Fsw_Sel),Fsw_Recom,Fsw_Sel)*1000000/2)),
1000000000000/(6.28*IF(ISBLANK(Rz_sel),Rz,Rz_sel)*1000*f_z1*1000))</f>
        <v>30.330603579011221</v>
      </c>
      <c r="C67" s="526"/>
      <c r="D67" s="261" t="s">
        <v>18</v>
      </c>
      <c r="E67" s="262" t="s">
        <v>296</v>
      </c>
      <c r="F67" s="60"/>
      <c r="G67" s="60"/>
      <c r="H67" s="60"/>
      <c r="I67" s="61"/>
    </row>
    <row r="68" spans="1:9">
      <c r="B68" s="5"/>
      <c r="C68" s="7"/>
    </row>
    <row r="69" spans="1:9">
      <c r="B69" s="8"/>
      <c r="C69" s="10"/>
    </row>
    <row r="87" spans="1:9">
      <c r="C87" s="567" t="s">
        <v>346</v>
      </c>
      <c r="D87" s="567"/>
    </row>
    <row r="88" spans="1:9">
      <c r="A88" s="566" t="s">
        <v>345</v>
      </c>
      <c r="B88" s="566"/>
      <c r="C88" s="566"/>
      <c r="D88" s="566"/>
      <c r="E88" s="566"/>
      <c r="F88" s="566"/>
      <c r="G88" s="566"/>
      <c r="H88" s="566"/>
      <c r="I88" s="566"/>
    </row>
  </sheetData>
  <sheetProtection password="83AF" sheet="1" objects="1" scenarios="1"/>
  <mergeCells count="45">
    <mergeCell ref="B33:C33"/>
    <mergeCell ref="B35:C35"/>
    <mergeCell ref="B34:C34"/>
    <mergeCell ref="B65:C65"/>
    <mergeCell ref="B67:C67"/>
    <mergeCell ref="B36:C36"/>
    <mergeCell ref="B37:C37"/>
    <mergeCell ref="B38:C38"/>
    <mergeCell ref="B39:C39"/>
    <mergeCell ref="B40:C40"/>
    <mergeCell ref="K42:M42"/>
    <mergeCell ref="K41:M41"/>
    <mergeCell ref="K43:M44"/>
    <mergeCell ref="B63:C63"/>
    <mergeCell ref="A88:I88"/>
    <mergeCell ref="B59:C59"/>
    <mergeCell ref="B60:C60"/>
    <mergeCell ref="B61:C61"/>
    <mergeCell ref="B62:C62"/>
    <mergeCell ref="A50:I50"/>
    <mergeCell ref="A53:I53"/>
    <mergeCell ref="A58:I58"/>
    <mergeCell ref="A42:I42"/>
    <mergeCell ref="B41:C41"/>
    <mergeCell ref="B64:C64"/>
    <mergeCell ref="C87:D87"/>
    <mergeCell ref="A1:I1"/>
    <mergeCell ref="A2:I2"/>
    <mergeCell ref="F3:I3"/>
    <mergeCell ref="F4:I4"/>
    <mergeCell ref="F5:I5"/>
    <mergeCell ref="F6:I6"/>
    <mergeCell ref="A24:I24"/>
    <mergeCell ref="A31:I31"/>
    <mergeCell ref="D15:I15"/>
    <mergeCell ref="F12:I12"/>
    <mergeCell ref="A14:I14"/>
    <mergeCell ref="F7:I7"/>
    <mergeCell ref="F8:I8"/>
    <mergeCell ref="F9:I9"/>
    <mergeCell ref="F10:I10"/>
    <mergeCell ref="A21:I21"/>
    <mergeCell ref="F11:I11"/>
    <mergeCell ref="F13:I13"/>
    <mergeCell ref="A16:I16"/>
  </mergeCells>
  <conditionalFormatting sqref="B41">
    <cfRule type="cellIs" dxfId="19" priority="4" operator="lessThan">
      <formula>0</formula>
    </cfRule>
    <cfRule type="cellIs" dxfId="18" priority="5" operator="lessThan">
      <formula>0</formula>
    </cfRule>
    <cfRule type="cellIs" dxfId="17" priority="6" operator="lessThan">
      <formula>0</formula>
    </cfRule>
  </conditionalFormatting>
  <conditionalFormatting sqref="B40">
    <cfRule type="cellIs" dxfId="16" priority="1" operator="lessThan">
      <formula>0</formula>
    </cfRule>
    <cfRule type="cellIs" dxfId="15" priority="2" operator="lessThan">
      <formula>0</formula>
    </cfRule>
    <cfRule type="cellIs" dxfId="14" priority="3" operator="lessThan">
      <formula>0</formula>
    </cfRule>
  </conditionalFormatting>
  <printOptions horizontalCentered="1"/>
  <pageMargins left="0.7" right="0.7" top="0.75" bottom="0.75" header="0.3" footer="0.3"/>
  <pageSetup scale="77" fitToHeight="2" orientation="portrait" horizontalDpi="4294967293" r:id="rId1"/>
  <legacyDrawing r:id="rId2"/>
  <oleObjects>
    <oleObject progId="Visio.Drawing.11" shapeId="1025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2"/>
  <sheetViews>
    <sheetView topLeftCell="A7" workbookViewId="0">
      <selection activeCell="C4" sqref="C4"/>
    </sheetView>
  </sheetViews>
  <sheetFormatPr defaultRowHeight="15"/>
  <cols>
    <col min="1" max="1" width="20.7109375" customWidth="1"/>
    <col min="2" max="4" width="12.7109375" customWidth="1"/>
    <col min="5" max="6" width="15.7109375" customWidth="1"/>
  </cols>
  <sheetData>
    <row r="1" spans="1:11" ht="24" customHeight="1" thickBot="1">
      <c r="A1" s="495" t="s">
        <v>159</v>
      </c>
      <c r="B1" s="496"/>
      <c r="C1" s="496"/>
      <c r="D1" s="496"/>
      <c r="E1" s="496"/>
      <c r="F1" s="496"/>
      <c r="G1" s="496"/>
      <c r="H1" s="496"/>
      <c r="I1" s="497"/>
    </row>
    <row r="2" spans="1:11" ht="19.5" thickBot="1">
      <c r="A2" s="99" t="s">
        <v>130</v>
      </c>
      <c r="B2" s="51" t="s">
        <v>31</v>
      </c>
      <c r="C2" s="50" t="s">
        <v>32</v>
      </c>
      <c r="D2" s="51" t="s">
        <v>33</v>
      </c>
      <c r="E2" s="51" t="s">
        <v>34</v>
      </c>
      <c r="F2" s="498" t="s">
        <v>36</v>
      </c>
      <c r="G2" s="536"/>
      <c r="H2" s="536"/>
      <c r="I2" s="537"/>
    </row>
    <row r="3" spans="1:11" ht="18.75" customHeight="1" thickBot="1">
      <c r="A3" s="52" t="s">
        <v>205</v>
      </c>
      <c r="B3" s="24" t="s">
        <v>22</v>
      </c>
      <c r="C3" s="23">
        <v>147</v>
      </c>
      <c r="D3" s="188" t="s">
        <v>22</v>
      </c>
      <c r="E3" s="137" t="s">
        <v>16</v>
      </c>
      <c r="F3" s="538" t="s">
        <v>203</v>
      </c>
      <c r="G3" s="539"/>
      <c r="H3" s="539"/>
      <c r="I3" s="540"/>
    </row>
    <row r="4" spans="1:11" ht="18.75" customHeight="1" thickBot="1">
      <c r="A4" s="52" t="s">
        <v>208</v>
      </c>
      <c r="B4" s="14" t="s">
        <v>22</v>
      </c>
      <c r="C4" s="277">
        <f>1000000000/(LX_Res_Freq*1000000)</f>
        <v>6.8027210884353737</v>
      </c>
      <c r="D4" s="14" t="s">
        <v>22</v>
      </c>
      <c r="E4" s="137" t="s">
        <v>4</v>
      </c>
      <c r="F4" s="273" t="s">
        <v>207</v>
      </c>
      <c r="G4" s="274"/>
      <c r="H4" s="274"/>
      <c r="I4" s="275"/>
    </row>
    <row r="5" spans="1:11" ht="37.5" customHeight="1" thickBot="1">
      <c r="A5" s="139" t="s">
        <v>202</v>
      </c>
      <c r="B5" s="69" t="s">
        <v>22</v>
      </c>
      <c r="C5" s="70">
        <v>0</v>
      </c>
      <c r="D5" s="182" t="s">
        <v>22</v>
      </c>
      <c r="E5" s="72" t="s">
        <v>18</v>
      </c>
      <c r="F5" s="541" t="s">
        <v>315</v>
      </c>
      <c r="G5" s="542"/>
      <c r="H5" s="542"/>
      <c r="I5" s="543"/>
    </row>
    <row r="6" spans="1:11" ht="15.75" customHeight="1" thickBot="1">
      <c r="A6" s="52" t="s">
        <v>216</v>
      </c>
      <c r="B6" s="24" t="s">
        <v>22</v>
      </c>
      <c r="C6" s="23">
        <v>100</v>
      </c>
      <c r="D6" s="188" t="s">
        <v>22</v>
      </c>
      <c r="E6" s="13" t="s">
        <v>18</v>
      </c>
      <c r="F6" s="544" t="s">
        <v>217</v>
      </c>
      <c r="G6" s="539"/>
      <c r="H6" s="539"/>
      <c r="I6" s="540"/>
    </row>
    <row r="7" spans="1:11" ht="18.75" customHeight="1" thickBot="1">
      <c r="A7" s="146" t="s">
        <v>214</v>
      </c>
      <c r="B7" s="147" t="s">
        <v>22</v>
      </c>
      <c r="C7" s="212">
        <v>2.5</v>
      </c>
      <c r="D7" s="183" t="s">
        <v>22</v>
      </c>
      <c r="E7" s="138" t="s">
        <v>224</v>
      </c>
      <c r="F7" s="486" t="s">
        <v>213</v>
      </c>
      <c r="G7" s="529"/>
      <c r="H7" s="529"/>
      <c r="I7" s="530"/>
    </row>
    <row r="8" spans="1:11" ht="32.1" customHeight="1" thickBot="1">
      <c r="A8" s="480" t="s">
        <v>179</v>
      </c>
      <c r="B8" s="531"/>
      <c r="C8" s="531"/>
      <c r="D8" s="531"/>
      <c r="E8" s="531"/>
      <c r="F8" s="531"/>
      <c r="G8" s="531"/>
      <c r="H8" s="531"/>
      <c r="I8" s="532"/>
    </row>
    <row r="9" spans="1:11" ht="18" customHeight="1">
      <c r="A9" s="136" t="s">
        <v>30</v>
      </c>
      <c r="B9" s="271" t="s">
        <v>29</v>
      </c>
      <c r="C9" s="271" t="s">
        <v>34</v>
      </c>
      <c r="D9" s="474" t="s">
        <v>36</v>
      </c>
      <c r="E9" s="475"/>
      <c r="F9" s="475"/>
      <c r="G9" s="475"/>
      <c r="H9" s="475"/>
      <c r="I9" s="476"/>
    </row>
    <row r="10" spans="1:11" ht="15.75" customHeight="1">
      <c r="A10" s="533" t="s">
        <v>201</v>
      </c>
      <c r="B10" s="534"/>
      <c r="C10" s="534"/>
      <c r="D10" s="534"/>
      <c r="E10" s="534"/>
      <c r="F10" s="534"/>
      <c r="G10" s="534"/>
      <c r="H10" s="534"/>
      <c r="I10" s="535"/>
    </row>
    <row r="11" spans="1:11" ht="18" customHeight="1">
      <c r="A11" s="53" t="s">
        <v>204</v>
      </c>
      <c r="B11" s="272">
        <f>1000000000*(LX_Res_Period/1000000000)^2/(4*3.14^2*(D1_CAP/1000000000000+LX_CAP/1000000000000))</f>
        <v>11.73399889626439</v>
      </c>
      <c r="C11" s="16" t="s">
        <v>28</v>
      </c>
      <c r="D11" s="21" t="s">
        <v>212</v>
      </c>
      <c r="E11" s="16"/>
      <c r="F11" s="18"/>
      <c r="G11" s="18"/>
      <c r="H11" s="18"/>
      <c r="I11" s="54"/>
    </row>
    <row r="12" spans="1:11" ht="18.75" customHeight="1" thickBot="1">
      <c r="A12" s="53" t="s">
        <v>237</v>
      </c>
      <c r="B12" s="276">
        <f>SQRT(LX_Equ_Ind*0.000000001/(D1_CAP*0.000000000001+LX_CAP*0.000000000001))</f>
        <v>10.832358421075437</v>
      </c>
      <c r="C12" s="184" t="s">
        <v>80</v>
      </c>
      <c r="D12" s="21" t="s">
        <v>210</v>
      </c>
      <c r="E12" s="116"/>
      <c r="F12" s="117"/>
      <c r="G12" s="117"/>
      <c r="H12" s="117"/>
      <c r="I12" s="118"/>
    </row>
    <row r="13" spans="1:11" ht="18.75" customHeight="1" thickBot="1">
      <c r="A13" s="105" t="s">
        <v>240</v>
      </c>
      <c r="B13" s="187">
        <v>10</v>
      </c>
      <c r="C13" s="111" t="s">
        <v>80</v>
      </c>
      <c r="D13" s="21" t="s">
        <v>239</v>
      </c>
      <c r="E13" s="116"/>
      <c r="F13" s="117"/>
      <c r="G13" s="117"/>
      <c r="H13" s="117"/>
      <c r="I13" s="118"/>
    </row>
    <row r="14" spans="1:11" ht="18.75" customHeight="1" thickBot="1">
      <c r="A14" s="53" t="s">
        <v>238</v>
      </c>
      <c r="B14" s="185">
        <f>1000000000000/Snub_Damp_Freq*(LX_Res_Period/1000000000)/RSnub</f>
        <v>272.10884353741494</v>
      </c>
      <c r="C14" s="186" t="s">
        <v>18</v>
      </c>
      <c r="D14" s="21" t="s">
        <v>211</v>
      </c>
      <c r="E14" s="16"/>
      <c r="F14" s="18"/>
      <c r="G14" s="18"/>
      <c r="H14" s="18"/>
      <c r="I14" s="54"/>
    </row>
    <row r="15" spans="1:11" ht="18.75" customHeight="1" thickBot="1">
      <c r="A15" s="105" t="s">
        <v>241</v>
      </c>
      <c r="B15" s="213">
        <v>470</v>
      </c>
      <c r="C15" s="107" t="s">
        <v>18</v>
      </c>
      <c r="D15" s="21" t="s">
        <v>257</v>
      </c>
      <c r="E15" s="16"/>
      <c r="F15" s="18"/>
      <c r="G15" s="18"/>
      <c r="H15" s="18"/>
      <c r="I15" s="54"/>
      <c r="K15" s="12"/>
    </row>
    <row r="16" spans="1:11" ht="18.75" customHeight="1" thickBot="1">
      <c r="A16" s="142" t="s">
        <v>206</v>
      </c>
      <c r="B16" s="145">
        <f>1000*0.5*Csnub/1000000000000*Vin_max^2*IF(ISBLANK(Fsw_Sel),Fsw_Recom,Fsw_Sel)*1000000</f>
        <v>38.07</v>
      </c>
      <c r="C16" s="143" t="s">
        <v>209</v>
      </c>
      <c r="D16" s="144" t="s">
        <v>215</v>
      </c>
      <c r="E16" s="140"/>
      <c r="F16" s="140"/>
      <c r="G16" s="140"/>
      <c r="H16" s="140"/>
      <c r="I16" s="141"/>
    </row>
    <row r="32" spans="3:3" ht="15.75" customHeight="1">
      <c r="C32" s="12" t="s">
        <v>223</v>
      </c>
    </row>
  </sheetData>
  <mergeCells count="9">
    <mergeCell ref="F7:I7"/>
    <mergeCell ref="A8:I8"/>
    <mergeCell ref="D9:I9"/>
    <mergeCell ref="A10:I10"/>
    <mergeCell ref="A1:I1"/>
    <mergeCell ref="F2:I2"/>
    <mergeCell ref="F3:I3"/>
    <mergeCell ref="F5:I5"/>
    <mergeCell ref="F6:I6"/>
  </mergeCells>
  <printOptions horizontalCentered="1"/>
  <pageMargins left="0.7" right="0.7" top="0.75" bottom="0.75" header="0.3" footer="0.3"/>
  <pageSetup scale="77" fitToHeight="2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C74"/>
  <sheetViews>
    <sheetView zoomScale="80" zoomScaleNormal="80" workbookViewId="0">
      <selection activeCell="J15" sqref="J15"/>
    </sheetView>
  </sheetViews>
  <sheetFormatPr defaultRowHeight="15"/>
  <cols>
    <col min="1" max="4" width="6.7109375" style="1" customWidth="1"/>
    <col min="5" max="20" width="6.7109375" style="155" customWidth="1"/>
    <col min="21" max="61" width="6.7109375" customWidth="1"/>
    <col min="100" max="159" width="9.140625" style="421"/>
  </cols>
  <sheetData>
    <row r="1" spans="1:159" ht="24" customHeight="1" thickBot="1">
      <c r="A1" s="545" t="s">
        <v>172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  <c r="AJ1" s="546"/>
      <c r="AK1" s="546"/>
      <c r="AL1" s="546"/>
      <c r="AM1" s="546"/>
      <c r="AN1" s="546"/>
      <c r="AO1" s="546"/>
      <c r="AP1" s="546"/>
      <c r="AQ1" s="546"/>
      <c r="AR1" s="546"/>
      <c r="AS1" s="546"/>
      <c r="AT1" s="546"/>
      <c r="AU1" s="546"/>
      <c r="AV1" s="546"/>
      <c r="AW1" s="546"/>
      <c r="AX1" s="546"/>
      <c r="AY1" s="546"/>
      <c r="AZ1" s="546"/>
      <c r="BA1" s="546"/>
      <c r="BB1" s="546"/>
      <c r="BC1" s="546"/>
      <c r="BD1" s="546"/>
      <c r="BE1" s="546"/>
      <c r="BF1" s="546"/>
      <c r="BG1" s="546"/>
      <c r="BH1" s="546"/>
      <c r="BI1" s="547"/>
    </row>
    <row r="2" spans="1:159" s="242" customFormat="1" ht="18" customHeight="1">
      <c r="A2" s="237"/>
      <c r="B2" s="238" t="s">
        <v>243</v>
      </c>
      <c r="C2" s="239">
        <f>Design!B4</f>
        <v>4</v>
      </c>
      <c r="D2" s="240"/>
      <c r="E2" s="240"/>
      <c r="F2" s="240" t="s">
        <v>264</v>
      </c>
      <c r="G2" s="240" t="s">
        <v>264</v>
      </c>
      <c r="H2" s="240" t="s">
        <v>265</v>
      </c>
      <c r="I2" s="240"/>
      <c r="J2" s="240"/>
      <c r="K2" s="240"/>
      <c r="L2" s="240"/>
      <c r="M2" s="240"/>
      <c r="N2" s="240"/>
      <c r="O2" s="240" t="s">
        <v>264</v>
      </c>
      <c r="P2" s="240" t="s">
        <v>265</v>
      </c>
      <c r="Q2" s="240"/>
      <c r="R2" s="240"/>
      <c r="S2" s="240"/>
      <c r="T2" s="240"/>
      <c r="U2" s="241"/>
      <c r="V2" s="238" t="s">
        <v>243</v>
      </c>
      <c r="W2" s="239">
        <f>Design!C4</f>
        <v>12</v>
      </c>
      <c r="X2" s="240"/>
      <c r="Y2" s="240"/>
      <c r="Z2" s="240" t="s">
        <v>264</v>
      </c>
      <c r="AA2" s="240" t="s">
        <v>264</v>
      </c>
      <c r="AB2" s="240" t="s">
        <v>265</v>
      </c>
      <c r="AC2" s="240"/>
      <c r="AD2" s="240"/>
      <c r="AE2" s="240"/>
      <c r="AF2" s="240"/>
      <c r="AG2" s="240"/>
      <c r="AH2" s="240"/>
      <c r="AI2" s="240" t="s">
        <v>264</v>
      </c>
      <c r="AJ2" s="240" t="s">
        <v>265</v>
      </c>
      <c r="AK2" s="240"/>
      <c r="AL2" s="240"/>
      <c r="AM2" s="240"/>
      <c r="AN2" s="240"/>
      <c r="AO2" s="241"/>
      <c r="AP2" s="238" t="s">
        <v>243</v>
      </c>
      <c r="AQ2" s="239">
        <f>Design!D4</f>
        <v>18</v>
      </c>
      <c r="AR2" s="240"/>
      <c r="AS2" s="240"/>
      <c r="AT2" s="240" t="s">
        <v>264</v>
      </c>
      <c r="AU2" s="240" t="s">
        <v>264</v>
      </c>
      <c r="AV2" s="240" t="s">
        <v>265</v>
      </c>
      <c r="AW2" s="240"/>
      <c r="AX2" s="240"/>
      <c r="AY2" s="240"/>
      <c r="AZ2" s="240"/>
      <c r="BA2" s="240"/>
      <c r="BB2" s="240"/>
      <c r="BC2" s="240" t="s">
        <v>264</v>
      </c>
      <c r="BD2" s="240" t="s">
        <v>265</v>
      </c>
      <c r="BE2" s="240"/>
      <c r="BF2" s="240"/>
      <c r="BG2" s="240"/>
      <c r="BH2" s="240"/>
      <c r="BI2" s="241"/>
      <c r="CV2" s="422"/>
      <c r="CW2" s="422"/>
      <c r="CX2" s="422"/>
      <c r="CY2" s="422"/>
      <c r="CZ2" s="422"/>
      <c r="DA2" s="422"/>
      <c r="DB2" s="422"/>
      <c r="DC2" s="422"/>
      <c r="DD2" s="422"/>
      <c r="DE2" s="422"/>
      <c r="DF2" s="422"/>
      <c r="DG2" s="422"/>
      <c r="DH2" s="422"/>
      <c r="DI2" s="422"/>
      <c r="DJ2" s="422"/>
      <c r="DK2" s="422"/>
      <c r="DL2" s="422"/>
      <c r="DM2" s="422"/>
      <c r="DN2" s="422"/>
      <c r="DO2" s="422"/>
      <c r="DP2" s="422"/>
      <c r="DQ2" s="422"/>
      <c r="DR2" s="422"/>
      <c r="DS2" s="422"/>
      <c r="DT2" s="422"/>
      <c r="DU2" s="422"/>
      <c r="DV2" s="422"/>
      <c r="DW2" s="422"/>
      <c r="DX2" s="422"/>
      <c r="DY2" s="422"/>
      <c r="DZ2" s="422"/>
      <c r="EA2" s="422"/>
      <c r="EB2" s="422"/>
      <c r="EC2" s="422"/>
      <c r="ED2" s="422"/>
      <c r="EE2" s="422"/>
      <c r="EF2" s="422"/>
      <c r="EG2" s="422"/>
      <c r="EH2" s="422"/>
      <c r="EI2" s="422"/>
      <c r="EJ2" s="422"/>
      <c r="EK2" s="422"/>
      <c r="EL2" s="422"/>
      <c r="EM2" s="422"/>
      <c r="EN2" s="422"/>
      <c r="EO2" s="422"/>
      <c r="EP2" s="422"/>
      <c r="EQ2" s="422"/>
      <c r="ER2" s="422"/>
      <c r="ES2" s="422"/>
      <c r="ET2" s="422"/>
      <c r="EU2" s="422"/>
      <c r="EV2" s="422"/>
      <c r="EW2" s="422"/>
      <c r="EX2" s="422"/>
      <c r="EY2" s="422"/>
      <c r="EZ2" s="422"/>
      <c r="FA2" s="422"/>
      <c r="FB2" s="422"/>
      <c r="FC2" s="422"/>
    </row>
    <row r="3" spans="1:159" s="156" customFormat="1" thickBot="1">
      <c r="A3" s="181" t="s">
        <v>198</v>
      </c>
      <c r="B3" s="179" t="s">
        <v>93</v>
      </c>
      <c r="C3" s="169" t="s">
        <v>220</v>
      </c>
      <c r="D3" s="169" t="s">
        <v>221</v>
      </c>
      <c r="E3" s="169" t="s">
        <v>94</v>
      </c>
      <c r="F3" s="169" t="s">
        <v>271</v>
      </c>
      <c r="G3" s="169" t="s">
        <v>272</v>
      </c>
      <c r="H3" s="169" t="s">
        <v>272</v>
      </c>
      <c r="I3" s="169" t="s">
        <v>269</v>
      </c>
      <c r="J3" s="169" t="s">
        <v>263</v>
      </c>
      <c r="K3" s="169" t="s">
        <v>232</v>
      </c>
      <c r="L3" s="169" t="s">
        <v>234</v>
      </c>
      <c r="M3" s="169" t="s">
        <v>242</v>
      </c>
      <c r="N3" s="169" t="s">
        <v>254</v>
      </c>
      <c r="O3" s="169" t="s">
        <v>270</v>
      </c>
      <c r="P3" s="169" t="s">
        <v>270</v>
      </c>
      <c r="Q3" s="169" t="s">
        <v>228</v>
      </c>
      <c r="R3" s="169" t="s">
        <v>233</v>
      </c>
      <c r="S3" s="169" t="s">
        <v>235</v>
      </c>
      <c r="T3" s="169" t="s">
        <v>236</v>
      </c>
      <c r="U3" s="180" t="s">
        <v>226</v>
      </c>
      <c r="V3" s="179" t="s">
        <v>93</v>
      </c>
      <c r="W3" s="169" t="s">
        <v>220</v>
      </c>
      <c r="X3" s="169" t="s">
        <v>221</v>
      </c>
      <c r="Y3" s="169" t="s">
        <v>94</v>
      </c>
      <c r="Z3" s="169" t="s">
        <v>271</v>
      </c>
      <c r="AA3" s="169" t="s">
        <v>272</v>
      </c>
      <c r="AB3" s="169" t="s">
        <v>272</v>
      </c>
      <c r="AC3" s="169" t="s">
        <v>269</v>
      </c>
      <c r="AD3" s="169" t="s">
        <v>263</v>
      </c>
      <c r="AE3" s="169" t="s">
        <v>232</v>
      </c>
      <c r="AF3" s="169" t="s">
        <v>234</v>
      </c>
      <c r="AG3" s="169" t="s">
        <v>242</v>
      </c>
      <c r="AH3" s="169" t="s">
        <v>254</v>
      </c>
      <c r="AI3" s="169" t="s">
        <v>270</v>
      </c>
      <c r="AJ3" s="169" t="s">
        <v>270</v>
      </c>
      <c r="AK3" s="169" t="s">
        <v>228</v>
      </c>
      <c r="AL3" s="169" t="s">
        <v>233</v>
      </c>
      <c r="AM3" s="169" t="s">
        <v>235</v>
      </c>
      <c r="AN3" s="169" t="s">
        <v>236</v>
      </c>
      <c r="AO3" s="180" t="s">
        <v>226</v>
      </c>
      <c r="AP3" s="179" t="s">
        <v>93</v>
      </c>
      <c r="AQ3" s="169" t="s">
        <v>220</v>
      </c>
      <c r="AR3" s="169" t="s">
        <v>221</v>
      </c>
      <c r="AS3" s="169" t="s">
        <v>94</v>
      </c>
      <c r="AT3" s="169" t="s">
        <v>271</v>
      </c>
      <c r="AU3" s="169" t="s">
        <v>272</v>
      </c>
      <c r="AV3" s="169" t="s">
        <v>272</v>
      </c>
      <c r="AW3" s="169" t="s">
        <v>269</v>
      </c>
      <c r="AX3" s="169" t="s">
        <v>263</v>
      </c>
      <c r="AY3" s="169" t="s">
        <v>232</v>
      </c>
      <c r="AZ3" s="169" t="s">
        <v>234</v>
      </c>
      <c r="BA3" s="169" t="s">
        <v>242</v>
      </c>
      <c r="BB3" s="169" t="s">
        <v>254</v>
      </c>
      <c r="BC3" s="169" t="s">
        <v>270</v>
      </c>
      <c r="BD3" s="169" t="s">
        <v>270</v>
      </c>
      <c r="BE3" s="169" t="s">
        <v>228</v>
      </c>
      <c r="BF3" s="169" t="s">
        <v>233</v>
      </c>
      <c r="BG3" s="169" t="s">
        <v>235</v>
      </c>
      <c r="BH3" s="169" t="s">
        <v>236</v>
      </c>
      <c r="BI3" s="180" t="s">
        <v>226</v>
      </c>
      <c r="CV3" s="423"/>
      <c r="CW3" s="423"/>
      <c r="CX3" s="423"/>
      <c r="CY3" s="423"/>
      <c r="CZ3" s="423"/>
      <c r="DA3" s="423"/>
      <c r="DB3" s="423"/>
      <c r="DC3" s="423"/>
      <c r="DD3" s="423"/>
      <c r="DE3" s="423"/>
      <c r="DF3" s="423"/>
      <c r="DG3" s="423"/>
      <c r="DH3" s="423"/>
      <c r="DI3" s="423"/>
      <c r="DJ3" s="423"/>
      <c r="DK3" s="423"/>
      <c r="DL3" s="423"/>
      <c r="DM3" s="423"/>
      <c r="DN3" s="423"/>
      <c r="DO3" s="423"/>
      <c r="DP3" s="423"/>
      <c r="DQ3" s="423"/>
      <c r="DR3" s="423"/>
      <c r="DS3" s="423"/>
      <c r="DT3" s="423"/>
      <c r="DU3" s="423"/>
      <c r="DV3" s="423"/>
      <c r="DW3" s="423"/>
      <c r="DX3" s="423"/>
      <c r="DY3" s="423"/>
      <c r="DZ3" s="423"/>
      <c r="EA3" s="423"/>
      <c r="EB3" s="423"/>
      <c r="EC3" s="423"/>
      <c r="ED3" s="423"/>
      <c r="EE3" s="423"/>
      <c r="EF3" s="423"/>
      <c r="EG3" s="423"/>
      <c r="EH3" s="423"/>
      <c r="EI3" s="423"/>
      <c r="EJ3" s="423"/>
      <c r="EK3" s="423"/>
      <c r="EL3" s="423"/>
      <c r="EM3" s="423"/>
      <c r="EN3" s="423"/>
      <c r="EO3" s="423"/>
      <c r="EP3" s="423"/>
      <c r="EQ3" s="423"/>
      <c r="ER3" s="423"/>
      <c r="ES3" s="423"/>
      <c r="ET3" s="423"/>
      <c r="EU3" s="423"/>
      <c r="EV3" s="423"/>
      <c r="EW3" s="423"/>
      <c r="EX3" s="423"/>
      <c r="EY3" s="423"/>
      <c r="EZ3" s="423"/>
      <c r="FA3" s="423"/>
      <c r="FB3" s="423"/>
      <c r="FC3" s="423"/>
    </row>
    <row r="4" spans="1:159" s="340" customFormat="1" ht="12.75" customHeight="1">
      <c r="A4" s="320">
        <v>25</v>
      </c>
      <c r="B4" s="393">
        <v>0.25</v>
      </c>
      <c r="C4" s="326">
        <f t="shared" ref="C4:C11" ca="1" si="0">IF( 100*(Vout_typ+B4*Rwire/1000+B4*(IF(ISBLANK(DCRLo_Sel),DCR_Lo,DCRLo_Sel)/1000*(1+TCR_DCRLo/100*(N4-25))+P4/1000))/($C$2-B4*O4/1000) &gt; ChosenmaxDuty_max, ChosenmaxDuty_max, 100*(Vout_typ+B4*Rwire/1000+B4*(IF(ISBLANK(DCRLo_Sel),DCR_Lo,DCRLo_Sel)/1000*(1+TCR_DCRLo/100*(N4-25))+P4/1000))/($C$2-B4*O4/1000) )</f>
        <v>93.5</v>
      </c>
      <c r="D4" s="325">
        <f t="shared" ref="D4:D10" ca="1" si="1">IF( ($C$2-B4*(IF(ISBLANK(DCRLo_Sel),DCR_Lo,DCRLo_Sel)/1000*(1+TCR_DCRLo/100*(N4-25))+P4/1000)-(Vout_typ+B4*Rwire/1000)) / (IF(ISBLANK(Lo_sel),Lo_Ridley,Lo_sel)/1000000) * C4/100 / (IF(ISBLANK(Fsw_Sel),Fsw_Recom,Fsw_Sel)*1000000) &lt; 0, 0, ($C$2-B4*(IF(ISBLANK(DCRLo_Sel),DCR_Lo,DCRLo_Sel)/1000*(1+TCR_DCRLo/100*(N4-25))+P4/1000)-(Vout_typ+B4*Rwire/1000)) / (IF(ISBLANK(Lo_sel),Lo_Ridley,Lo_sel)/1000000) * C4/100 / (IF(ISBLANK(Fsw_Sel),Fsw_Recom,Fsw_Sel)*1000000) )</f>
        <v>0</v>
      </c>
      <c r="E4" s="325">
        <f t="shared" ref="E4:E11" si="2">$C$2*IQ/1000+IF(ISBLANK(Fsw_Sel),Fsw_Recom,Fsw_Sel)*1000000*(QgHS+QgLS)/1000000000*$C$2</f>
        <v>4.4399999999999995E-2</v>
      </c>
      <c r="F4" s="325">
        <f t="shared" ref="F4:F11" si="3">$C$2*B4*($C$2/(SR_rise*1000000000)*IF(ISBLANK(Fsw_Sel),Fsw_Recom,Fsw_Sel)*1000000/2+$C$2/(SR_fall*1000000000)*IF(ISBLANK(Fsw_Sel),Fsw_Recom,Fsw_Sel)*1000000/2)</f>
        <v>2.3333333333333331E-3</v>
      </c>
      <c r="G4" s="325">
        <f ca="1">IF($C$74,1,C4/100*(B4^2+D4^2/12)*O4/1000)</f>
        <v>5.4782289054272253E-3</v>
      </c>
      <c r="H4" s="325">
        <f ca="1">IF($C$74,1,(1-C4/100)*(B4^2+D4^2/12)*P4/1000)</f>
        <v>3.0943204713141721E-4</v>
      </c>
      <c r="I4" s="325">
        <f t="shared" ref="I4:I11" si="4">2*B4*tnonOverlap/1000000000*VSD_LS*IF(ISBLANK(Fsw_Sel),Fsw_Recom,Fsw_Sel)*1000000</f>
        <v>2.2499999999999998E-3</v>
      </c>
      <c r="J4" s="325">
        <f t="shared" ref="J4:J11" si="5">(QgHS+QgLS)/1000000000*$C$2*IF(ISBLANK(Fsw_Sel),Fsw_Recom,Fsw_Sel)*1000000</f>
        <v>3.2399999999999998E-2</v>
      </c>
      <c r="K4" s="325">
        <f ca="1">SUM(E4:J4)</f>
        <v>8.7170994285891978E-2</v>
      </c>
      <c r="L4" s="325">
        <f t="shared" ref="L4:L11" ca="1" si="6">B4^2*IF(ISBLANK(DCRLo_Sel),DCR_Lo,DCRLo_Sel)/1000*(1+(N4-25)*(TCR_DCRLo/100))</f>
        <v>2.2129795368110521E-3</v>
      </c>
      <c r="M4" s="325">
        <f t="shared" ref="M4:M11" si="7">0.5*Csnub/1000000000000*$C$2^2*Fsw_Sel*1000000</f>
        <v>1.8800000000000002E-3</v>
      </c>
      <c r="N4" s="326">
        <f ca="1">K4*Rth_typ+$A4</f>
        <v>27.963813805720328</v>
      </c>
      <c r="O4" s="326">
        <f t="shared" ref="O4:O11" ca="1" si="8">RdsHS_max+RdsHS_max*TCR_Rds/100*(N4-25)</f>
        <v>93.74509356880813</v>
      </c>
      <c r="P4" s="326">
        <f t="shared" ref="P4:P11" ca="1" si="9">RdsLS_max+RdsLS_max*TCR_Rds/100*(N4-25)</f>
        <v>76.167888524656604</v>
      </c>
      <c r="Q4" s="325">
        <f t="shared" ref="Q4:Q11" ca="1" si="10">(1-toffmin_typ/1000000000*Fsw_Sel*1000000) * ($C$2-B4*O4/1000) - (B4*DCRLo_Sel/1000)</f>
        <v>3.768985540277408</v>
      </c>
      <c r="R4" s="325">
        <f t="shared" ref="R4:R11" ca="1" si="11">IF(Q4&gt;(Vout_typ+B4*Rwire/1000),(Vout_typ+B4*Rwire/1000),Q4)</f>
        <v>3.768985540277408</v>
      </c>
      <c r="S4" s="325">
        <f ca="1">SUM(K4:M4)</f>
        <v>9.1263973822703043E-2</v>
      </c>
      <c r="T4" s="325">
        <f ca="1">R4*B4</f>
        <v>0.94224638506935199</v>
      </c>
      <c r="U4" s="394">
        <f ca="1">100*T4/(T4+S4)</f>
        <v>91.169515328270137</v>
      </c>
      <c r="V4" s="395">
        <v>0.25</v>
      </c>
      <c r="W4" s="367">
        <f t="shared" ref="W4:W11" ca="1" si="12">IF( 100*((Vout_typ+V4*Rwire/1000)+V4*(IF(ISBLANK(DCRLo_Sel),DCR_Lo,DCRLo_Sel)/1000*(1+TCR_DCRLo/100*(AH4-25))+AJ4/1000))/($W$2-V4*AI4/1000) &gt; ChosenmaxDuty_max, ChosenmaxDuty_max, 100*((Vout_typ+V4*Rwire/1000)+V4*(IF(ISBLANK(DCRLo_Sel),DCR_Lo,DCRLo_Sel)/1000*(1+TCR_DCRLo/100*(AH4-25))+AJ4/1000))/($W$2-V4*AI4/1000) )</f>
        <v>42.199995733527174</v>
      </c>
      <c r="X4" s="331">
        <f t="shared" ref="X4:X11" ca="1" si="13">IF( ($W$2-V4*(IF(ISBLANK(DCRLo_Sel),DCR_Lo,DCRLo_Sel)/1000*(1+TCR_DCRLo/100*(AH4-25))+AJ4/1000)-(Vout_typ+V4*Rwire/1000)) / (IF(ISBLANK(Lo_sel),Lo_Ridley,Lo_sel)/1000000) * W4/100 / (IF(ISBLANK(Fsw_Sel),Fsw_Recom,Fsw_Sel)*1000000) &lt; 0, 0, ($W$2-V4*(IF(ISBLANK(DCRLo_Sel),DCR_Lo,DCRLo_Sel)/1000*(1+TCR_DCRLo/100*(AH4-25))+AJ4/1000)-(Vout_typ+V4*Rwire/1000)) / (IF(ISBLANK(Lo_sel),Lo_Ridley,Lo_sel)/1000000) * W4/100 / (IF(ISBLANK(Fsw_Sel),Fsw_Recom,Fsw_Sel)*1000000) )</f>
        <v>0.58626419316607892</v>
      </c>
      <c r="Y4" s="331">
        <f t="shared" ref="Y4:Y11" si="14">$W$2*IQ/1000+IF(ISBLANK(Fsw_Sel),Fsw_Recom,Fsw_Sel)*1000000*(QgHS+QgLS)/1000000000*$W$2</f>
        <v>0.13319999999999999</v>
      </c>
      <c r="Z4" s="331">
        <f t="shared" ref="Z4:Z11" si="15">$W$2*V4*($W$2/(SR_rise*1000000000)*IF(ISBLANK(Fsw_Sel),Fsw_Recom,Fsw_Sel)*1000000/2+$W$2/(SR_fall*1000000000)*IF(ISBLANK(Fsw_Sel),Fsw_Recom,Fsw_Sel)*1000000/2)</f>
        <v>2.1000000000000001E-2</v>
      </c>
      <c r="AA4" s="331">
        <f ca="1">IF($C$74,1,W4/100*(V4^2+X4^2/12)*AI4/1000)</f>
        <v>3.7398913531926209E-3</v>
      </c>
      <c r="AB4" s="331">
        <f ca="1">IF($C$74,1,(1-W4/100)*(V4^2+X4^2/12)*AJ4/1000)</f>
        <v>4.1619592036863029E-3</v>
      </c>
      <c r="AC4" s="331">
        <f t="shared" ref="AC4:AC11" si="16">2*V4*tnonOverlap/1000000000*VSD_LS*IF(ISBLANK(Fsw_Sel),Fsw_Recom,Fsw_Sel)*1000000</f>
        <v>2.2499999999999998E-3</v>
      </c>
      <c r="AD4" s="331">
        <f t="shared" ref="AD4:AD11" si="17">(QgHS+QgLS)/1000000000*$W$2*IF(ISBLANK(Fsw_Sel),Fsw_Recom,Fsw_Sel)*1000000</f>
        <v>9.7199999999999995E-2</v>
      </c>
      <c r="AE4" s="331">
        <f ca="1">SUM(Y4:AD4)</f>
        <v>0.26155185055687891</v>
      </c>
      <c r="AF4" s="331">
        <f t="shared" ref="AF4:AF11" ca="1" si="18">V4^2*IF(ISBLANK(DCRLo_Sel),DCR_Lo,DCRLo_Sel)/1000*(1+(AH4-25)*(TCR_DCRLo/100))</f>
        <v>2.26394997121871E-3</v>
      </c>
      <c r="AG4" s="331">
        <f t="shared" ref="AG4:AG11" si="19">0.5*Csnub/1000000000000*$W$2^2*Fsw_Sel*1000000</f>
        <v>1.6920000000000001E-2</v>
      </c>
      <c r="AH4" s="332">
        <f t="shared" ref="AH4:AH11" ca="1" si="20">AE4*Rth_typ+$A4</f>
        <v>33.892762918933883</v>
      </c>
      <c r="AI4" s="332">
        <f t="shared" ref="AI4:AI11" ca="1" si="21">RdsHS_max+RdsHS_max*TCR_Rds/100*(AH4-25)</f>
        <v>97.236058806668268</v>
      </c>
      <c r="AJ4" s="332">
        <f t="shared" ref="AJ4:AJ11" ca="1" si="22">RdsLS_max+RdsLS_max*TCR_Rds/100*(AH4-25)</f>
        <v>79.004297780417971</v>
      </c>
      <c r="AK4" s="331">
        <f t="shared" ref="AK4:AK11" ca="1" si="23">(1-toffmin_typ/1000000000*Fsw_Sel*1000000) * ($W$2-V4*AI4/1000) - (V4*DCRLo_Sel/1000)</f>
        <v>11.368156436033418</v>
      </c>
      <c r="AL4" s="331">
        <f t="shared" ref="AL4:AL11" ca="1" si="24">IF(AK4&gt;(Vout_typ+V4*Rwire/1000),(Vout_typ+V4*Rwire/1000),AK4)</f>
        <v>5.0249342105263155</v>
      </c>
      <c r="AM4" s="331">
        <f ca="1">SUM(AE4:AG4)</f>
        <v>0.2807358005280976</v>
      </c>
      <c r="AN4" s="331">
        <f ca="1">AL4*V4</f>
        <v>1.2562335526315789</v>
      </c>
      <c r="AO4" s="396">
        <f ca="1">100*AN4/(AN4+AM4)</f>
        <v>81.73445684190348</v>
      </c>
      <c r="AP4" s="397">
        <v>0.25</v>
      </c>
      <c r="AQ4" s="372">
        <f t="shared" ref="AQ4:AQ11" ca="1" si="25">IF( 100*((Vout_typ+AP4*Rwire/1000)+AP4*(IF(ISBLANK(DCRLo_Sel),DCR_Lo,DCRLo_Sel)/1000*(1+TCR_DCRLo/100*(BB4-25))+BD4/1000))/($AQ$2-AP4*BC4/1000) &gt; ChosenmaxDuty_max, ChosenmaxDuty_max, 100*((Vout_typ+AP4*Rwire/1000)+AP4*(IF(ISBLANK(DCRLo_Sel),DCR_Lo,DCRLo_Sel)/1000*(1+TCR_DCRLo/100*(BB4-25))+BD4/1000))/($AQ$2-AP4*BC4/1000) )</f>
        <v>28.119584413091012</v>
      </c>
      <c r="AR4" s="345">
        <f t="shared" ref="AR4:AR11" ca="1" si="26">IF( ($AQ$2-AP4*(IF(ISBLANK(DCRLo_Sel),DCR_Lo,DCRLo_Sel)/1000*(1+TCR_DCRLo/100*(BB4-25))+BD4/1000)-(Vout_typ+AP4*Rwire/1000)) / (IF(ISBLANK(Lo_sel),Lo_Ridley,Lo_sel)/1000000) * AQ4/100 / (IF(ISBLANK(Fsw_Sel),Fsw_Recom,Fsw_Sel)*1000000) &lt; 0, 0, ($AQ$2-AP4*(IF(ISBLANK(DCRLo_Sel),DCR_Lo,DCRLo_Sel)/1000*(1+TCR_DCRLo/100*(BB4-25))+BD4/1000)-(Vout_typ+AP4*Rwire/1000)) / (IF(ISBLANK(Lo_sel),Lo_Ridley,Lo_sel)/1000000) * AQ4/100 / (IF(ISBLANK(Fsw_Sel),Fsw_Recom,Fsw_Sel)*1000000) )</f>
        <v>0.72804479817559631</v>
      </c>
      <c r="AS4" s="337">
        <f t="shared" ref="AS4:AS11" si="27">$AQ$2*IQ/1000+IF(ISBLANK(Fsw_Sel),Fsw_Recom,Fsw_Sel)*1000000*(QgHS+QgLS)/1000000000*$AQ$2</f>
        <v>0.19979999999999998</v>
      </c>
      <c r="AT4" s="337">
        <f t="shared" ref="AT4:AT11" si="28">$AQ$2*AP4*($AQ$2/(SR_rise*1000000000)*IF(ISBLANK(Fsw_Sel),Fsw_Recom,Fsw_Sel)*1000000/2+$AQ$2/(SR_fall*1000000000)*IF(ISBLANK(Fsw_Sel),Fsw_Recom,Fsw_Sel)*1000000/2)</f>
        <v>4.7249999999999993E-2</v>
      </c>
      <c r="AU4" s="337">
        <f ca="1">IF($C$74,1,AQ4/100*(AP4^2+AR4^2/12)*BC4/1000)</f>
        <v>3.0023730379242805E-3</v>
      </c>
      <c r="AV4" s="337">
        <f ca="1">IF($C$74,1,(1-AQ4/100)*(AP4^2+AR4^2/12)*BD4/1000)</f>
        <v>6.2357644610181824E-3</v>
      </c>
      <c r="AW4" s="337">
        <f t="shared" ref="AW4:AW11" si="29">2*AP4*tnonOverlap/1000000000*VSD_LS*IF(ISBLANK(Fsw_Sel),Fsw_Recom,Fsw_Sel)*1000000</f>
        <v>2.2499999999999998E-3</v>
      </c>
      <c r="AX4" s="337">
        <f t="shared" ref="AX4:AX11" si="30">(QgHS+QgLS)/1000000000*$AQ$2*IF(ISBLANK(Fsw_Sel),Fsw_Recom,Fsw_Sel)*1000000</f>
        <v>0.14579999999999999</v>
      </c>
      <c r="AY4" s="337">
        <f ca="1">SUM(AS4:AX4)</f>
        <v>0.40433813749894243</v>
      </c>
      <c r="AZ4" s="345">
        <f t="shared" ref="AZ4:AZ11" ca="1" si="31">AP4^2*IF(ISBLANK(DCRLo_Sel),DCR_Lo,DCRLo_Sel)/1000*(1+(BB4-25)*(TCR_DCRLo/100))</f>
        <v>2.3056855104775821E-3</v>
      </c>
      <c r="BA4" s="337">
        <f t="shared" ref="BA4:BA11" si="32">0.5*Csnub/1000000000000*$AQ$2^2*Fsw_Sel*1000000</f>
        <v>3.807E-2</v>
      </c>
      <c r="BB4" s="338">
        <f t="shared" ref="BB4:BB11" ca="1" si="33">AY4*Rth_typ+$A4</f>
        <v>38.74749667496404</v>
      </c>
      <c r="BC4" s="338">
        <f t="shared" ref="BC4:BC11" ca="1" si="34">RdsHS_max+RdsHS_max*TCR_Rds/100*(BB4-25)</f>
        <v>100.09452604221883</v>
      </c>
      <c r="BD4" s="338">
        <f t="shared" ref="BD4:BD11" ca="1" si="35">RdsLS_max+RdsLS_max*TCR_Rds/100*(BB4-25)</f>
        <v>81.3268024093028</v>
      </c>
      <c r="BE4" s="337">
        <f t="shared" ref="BE4:BE11" ca="1" si="36">(1-toffmin_typ/1000000000*Fsw_Sel*1000000) * ($AQ$2-AP4*BC4/1000) - (AP4*DCRLo_Sel/1000)</f>
        <v>17.067477550064975</v>
      </c>
      <c r="BF4" s="337">
        <f t="shared" ref="BF4:BF11" ca="1" si="37">IF(BE4&gt;(Vout_typ+AP4*Rwire/1000),(Vout_typ+AP4*Rwire/1000),BE4)</f>
        <v>5.0249342105263155</v>
      </c>
      <c r="BG4" s="337">
        <f ca="1">SUM(AY4:BA4)</f>
        <v>0.44471382300942003</v>
      </c>
      <c r="BH4" s="337">
        <f ca="1">BF4*AP4</f>
        <v>1.2562335526315789</v>
      </c>
      <c r="BI4" s="398">
        <f ca="1">100*BH4/(BH4+BG4)</f>
        <v>73.854933469541905</v>
      </c>
      <c r="BJ4" s="416"/>
      <c r="BK4" s="417"/>
      <c r="BL4" s="417"/>
      <c r="BM4" s="417"/>
      <c r="BN4" s="417"/>
      <c r="BO4" s="417"/>
      <c r="BP4" s="417"/>
      <c r="BQ4" s="417"/>
      <c r="BR4" s="417"/>
      <c r="BS4" s="417"/>
      <c r="BT4" s="417"/>
      <c r="BU4" s="417"/>
      <c r="BV4" s="417"/>
      <c r="BW4" s="417"/>
      <c r="BX4" s="417"/>
      <c r="BY4" s="417"/>
      <c r="BZ4" s="417"/>
      <c r="CA4" s="417"/>
      <c r="CB4" s="417"/>
      <c r="CC4" s="417"/>
      <c r="CD4" s="417"/>
      <c r="CE4" s="417"/>
      <c r="CF4" s="417"/>
      <c r="CG4" s="417"/>
      <c r="CH4" s="417"/>
      <c r="CI4" s="417"/>
      <c r="CJ4" s="417"/>
      <c r="CK4" s="417"/>
      <c r="CL4" s="417"/>
      <c r="CM4" s="417"/>
      <c r="CN4" s="417"/>
      <c r="CO4" s="417"/>
      <c r="CP4" s="417"/>
      <c r="CQ4" s="417"/>
      <c r="CR4" s="417"/>
      <c r="CS4" s="417"/>
      <c r="CT4" s="417"/>
      <c r="CU4" s="417"/>
      <c r="CV4" s="417"/>
      <c r="CW4" s="417"/>
      <c r="CX4" s="417"/>
      <c r="CY4" s="417"/>
      <c r="CZ4" s="417"/>
      <c r="DA4" s="417"/>
      <c r="DB4" s="417"/>
      <c r="DC4" s="417"/>
      <c r="DD4" s="417"/>
      <c r="DE4" s="417"/>
      <c r="DF4" s="417"/>
      <c r="DG4" s="417"/>
      <c r="DH4" s="417"/>
      <c r="DI4" s="417"/>
      <c r="DJ4" s="417"/>
      <c r="DK4" s="417"/>
      <c r="DL4" s="417"/>
      <c r="DM4" s="417"/>
      <c r="DN4" s="417"/>
      <c r="DO4" s="417"/>
      <c r="DP4" s="417"/>
      <c r="DQ4" s="417"/>
      <c r="DR4" s="417"/>
      <c r="DS4" s="417"/>
      <c r="DT4" s="417"/>
      <c r="DU4" s="417"/>
      <c r="DV4" s="417"/>
      <c r="DW4" s="417"/>
      <c r="DX4" s="417"/>
      <c r="DY4" s="417"/>
      <c r="DZ4" s="417"/>
      <c r="EA4" s="417"/>
      <c r="EB4" s="417"/>
      <c r="EC4" s="417"/>
      <c r="ED4" s="417"/>
      <c r="EE4" s="417"/>
      <c r="EF4" s="417"/>
      <c r="EG4" s="417"/>
      <c r="EH4" s="417"/>
      <c r="EI4" s="417"/>
      <c r="EJ4" s="417"/>
      <c r="EK4" s="417"/>
      <c r="EL4" s="417"/>
      <c r="EM4" s="417"/>
      <c r="EN4" s="417"/>
      <c r="EO4" s="417"/>
      <c r="EP4" s="417"/>
      <c r="EQ4" s="417"/>
      <c r="ER4" s="417"/>
      <c r="ES4" s="417"/>
      <c r="ET4" s="417"/>
      <c r="EU4" s="417"/>
      <c r="EV4" s="417"/>
      <c r="EW4" s="417"/>
      <c r="EX4" s="417"/>
      <c r="EY4" s="417"/>
      <c r="EZ4" s="417"/>
      <c r="FA4" s="417"/>
      <c r="FB4" s="417"/>
      <c r="FC4" s="417"/>
    </row>
    <row r="5" spans="1:159" s="340" customFormat="1" ht="12.75">
      <c r="A5" s="341">
        <v>25</v>
      </c>
      <c r="B5" s="399">
        <f t="shared" ref="B5:B10" si="38">($B$11-$B$4)/7+B4</f>
        <v>0.58571428571428574</v>
      </c>
      <c r="C5" s="362">
        <f t="shared" ca="1" si="0"/>
        <v>93.5</v>
      </c>
      <c r="D5" s="343">
        <f t="shared" ca="1" si="1"/>
        <v>0</v>
      </c>
      <c r="E5" s="343">
        <f t="shared" si="2"/>
        <v>4.4399999999999995E-2</v>
      </c>
      <c r="F5" s="343">
        <f t="shared" si="3"/>
        <v>5.4666666666666665E-3</v>
      </c>
      <c r="G5" s="343">
        <f t="shared" ref="G5:G11" ca="1" si="39">IF($C$74,1,C5/100*(B5^2+D5^2/12)*O5/1000)</f>
        <v>3.0277650873130599E-2</v>
      </c>
      <c r="H5" s="343">
        <f t="shared" ref="H5:H11" ca="1" si="40">IF($C$74,1,(1-C5/100)*(B5^2+D5^2/12)*P5/1000)</f>
        <v>1.7102015366173356E-3</v>
      </c>
      <c r="I5" s="343">
        <f t="shared" si="4"/>
        <v>5.2714285714285719E-3</v>
      </c>
      <c r="J5" s="343">
        <f t="shared" si="5"/>
        <v>3.2399999999999998E-2</v>
      </c>
      <c r="K5" s="343">
        <f t="shared" ref="K5:K11" ca="1" si="41">SUM(E5:J5)</f>
        <v>0.11952594764784316</v>
      </c>
      <c r="L5" s="343">
        <f t="shared" ca="1" si="6"/>
        <v>1.2198909621618778E-2</v>
      </c>
      <c r="M5" s="343">
        <f t="shared" si="7"/>
        <v>1.8800000000000002E-3</v>
      </c>
      <c r="N5" s="362">
        <f ca="1">K5*Design!$C$12+$A5</f>
        <v>29.063882220026667</v>
      </c>
      <c r="O5" s="362">
        <f t="shared" ca="1" si="8"/>
        <v>94.392813851151701</v>
      </c>
      <c r="P5" s="362">
        <f t="shared" ca="1" si="9"/>
        <v>76.694161254060759</v>
      </c>
      <c r="Q5" s="343">
        <f t="shared" ca="1" si="10"/>
        <v>3.7269771414356803</v>
      </c>
      <c r="R5" s="343">
        <f t="shared" ca="1" si="11"/>
        <v>3.7269771414356803</v>
      </c>
      <c r="S5" s="343">
        <f t="shared" ref="S5:S11" ca="1" si="42">SUM(K5:M5)</f>
        <v>0.13360485726946192</v>
      </c>
      <c r="T5" s="343">
        <f t="shared" ref="T5:T11" ca="1" si="43">R5*B5</f>
        <v>2.1829437542694698</v>
      </c>
      <c r="U5" s="400">
        <f t="shared" ref="U5:U11" ca="1" si="44">100*T5/(T5+S5)</f>
        <v>94.232589957147283</v>
      </c>
      <c r="V5" s="401">
        <f t="shared" ref="V5:V10" si="45">($V$11-$V$4)/7+V4</f>
        <v>0.58571428571428574</v>
      </c>
      <c r="W5" s="367">
        <f t="shared" ca="1" si="12"/>
        <v>42.998726108360714</v>
      </c>
      <c r="X5" s="344">
        <f t="shared" ca="1" si="13"/>
        <v>0.59036598366540427</v>
      </c>
      <c r="Y5" s="344">
        <f t="shared" si="14"/>
        <v>0.13319999999999999</v>
      </c>
      <c r="Z5" s="344">
        <f t="shared" si="15"/>
        <v>4.9200000000000001E-2</v>
      </c>
      <c r="AA5" s="344">
        <f t="shared" ref="AA5:AA11" ca="1" si="46">IF($C$74,1,W5/100*(V5^2+X5^2/12)*AI5/1000)</f>
        <v>1.5737228482391695E-2</v>
      </c>
      <c r="AB5" s="344">
        <f t="shared" ref="AB5:AB11" ca="1" si="47">IF($C$74,1,(1-W5/100)*(V5^2+X5^2/12)*AJ5/1000)</f>
        <v>1.6950425016478025E-2</v>
      </c>
      <c r="AC5" s="344">
        <f t="shared" si="16"/>
        <v>5.2714285714285719E-3</v>
      </c>
      <c r="AD5" s="344">
        <f t="shared" si="17"/>
        <v>9.7199999999999995E-2</v>
      </c>
      <c r="AE5" s="344">
        <f t="shared" ref="AE5:AE11" ca="1" si="48">SUM(Y5:AD5)</f>
        <v>0.31755908207029826</v>
      </c>
      <c r="AF5" s="344">
        <f t="shared" ca="1" si="18"/>
        <v>1.2516632879158704E-2</v>
      </c>
      <c r="AG5" s="344">
        <f t="shared" si="19"/>
        <v>1.6920000000000001E-2</v>
      </c>
      <c r="AH5" s="367">
        <f t="shared" ca="1" si="20"/>
        <v>35.797008790390137</v>
      </c>
      <c r="AI5" s="367">
        <f t="shared" ca="1" si="21"/>
        <v>98.357278775781708</v>
      </c>
      <c r="AJ5" s="367">
        <f t="shared" ca="1" si="22"/>
        <v>79.915289005322649</v>
      </c>
      <c r="AK5" s="344">
        <f t="shared" ca="1" si="23"/>
        <v>11.324771199881189</v>
      </c>
      <c r="AL5" s="344">
        <f t="shared" ca="1" si="24"/>
        <v>5.0668984962406016</v>
      </c>
      <c r="AM5" s="344">
        <f t="shared" ref="AM5:AM11" ca="1" si="49">SUM(AE5:AG5)</f>
        <v>0.34699571494945697</v>
      </c>
      <c r="AN5" s="344">
        <f t="shared" ref="AN5:AN11" ca="1" si="50">AL5*V5</f>
        <v>2.9677548335123527</v>
      </c>
      <c r="AO5" s="402">
        <f t="shared" ref="AO5:AO11" ca="1" si="51">100*AN5/(AN5+AM5)</f>
        <v>89.531769891086427</v>
      </c>
      <c r="AP5" s="403">
        <f>($AP$11-$AP$4)/7+AP4</f>
        <v>0.58571428571428574</v>
      </c>
      <c r="AQ5" s="372">
        <f t="shared" ca="1" si="25"/>
        <v>28.635322809858085</v>
      </c>
      <c r="AR5" s="345">
        <f t="shared" ca="1" si="26"/>
        <v>0.73665726028985201</v>
      </c>
      <c r="AS5" s="345">
        <f t="shared" si="27"/>
        <v>0.19979999999999998</v>
      </c>
      <c r="AT5" s="345">
        <f t="shared" si="28"/>
        <v>0.11069999999999999</v>
      </c>
      <c r="AU5" s="345">
        <f t="shared" ref="AU5:AU11" ca="1" si="52">IF($C$74,1,AQ5/100*(AP5^2+AR5^2/12)*BC5/1000)</f>
        <v>1.133282242035172E-2</v>
      </c>
      <c r="AV5" s="345">
        <f t="shared" ref="AV5:AV11" ca="1" si="53">IF($C$74,1,(1-AQ5/100)*(AP5^2+AR5^2/12)*BD5/1000)</f>
        <v>2.2947885570547177E-2</v>
      </c>
      <c r="AW5" s="345">
        <f t="shared" si="29"/>
        <v>5.2714285714285719E-3</v>
      </c>
      <c r="AX5" s="345">
        <f t="shared" si="30"/>
        <v>0.14579999999999999</v>
      </c>
      <c r="AY5" s="345">
        <f t="shared" ref="AY5:AY11" ca="1" si="54">SUM(AS5:AX5)</f>
        <v>0.49585213656232746</v>
      </c>
      <c r="AZ5" s="345">
        <f t="shared" ca="1" si="31"/>
        <v>1.2802685262438699E-2</v>
      </c>
      <c r="BA5" s="345">
        <f t="shared" si="32"/>
        <v>3.807E-2</v>
      </c>
      <c r="BB5" s="372">
        <f t="shared" ca="1" si="33"/>
        <v>41.858972643119131</v>
      </c>
      <c r="BC5" s="372">
        <f t="shared" ca="1" si="34"/>
        <v>101.92656309226854</v>
      </c>
      <c r="BD5" s="372">
        <f t="shared" ca="1" si="35"/>
        <v>82.815332512468188</v>
      </c>
      <c r="BE5" s="345">
        <f t="shared" ca="1" si="36"/>
        <v>17.022785148107946</v>
      </c>
      <c r="BF5" s="345">
        <f t="shared" ca="1" si="37"/>
        <v>5.0668984962406016</v>
      </c>
      <c r="BG5" s="345">
        <f t="shared" ref="BG5:BG11" ca="1" si="55">SUM(AY5:BA5)</f>
        <v>0.54672482182476623</v>
      </c>
      <c r="BH5" s="345">
        <f t="shared" ref="BH5:BH11" ca="1" si="56">BF5*AP5</f>
        <v>2.9677548335123527</v>
      </c>
      <c r="BI5" s="404">
        <f t="shared" ref="BI5:BI11" ca="1" si="57">100*BH5/(BH5+BG5)</f>
        <v>84.443648123143774</v>
      </c>
      <c r="BJ5" s="416"/>
      <c r="BK5" s="417"/>
      <c r="BL5" s="417"/>
      <c r="BM5" s="417"/>
      <c r="BN5" s="417"/>
      <c r="BO5" s="417"/>
      <c r="BP5" s="417"/>
      <c r="BQ5" s="417"/>
      <c r="BR5" s="417"/>
      <c r="BS5" s="417"/>
      <c r="BT5" s="417"/>
      <c r="BU5" s="417"/>
      <c r="BV5" s="417"/>
      <c r="BW5" s="417"/>
      <c r="BX5" s="417"/>
      <c r="BY5" s="417"/>
      <c r="BZ5" s="417"/>
      <c r="CA5" s="417"/>
      <c r="CB5" s="417"/>
      <c r="CC5" s="417"/>
      <c r="CD5" s="417"/>
      <c r="CE5" s="417"/>
      <c r="CF5" s="417"/>
      <c r="CG5" s="417"/>
      <c r="CH5" s="417"/>
      <c r="CI5" s="417"/>
      <c r="CJ5" s="417"/>
      <c r="CK5" s="417"/>
      <c r="CL5" s="417"/>
      <c r="CM5" s="417"/>
      <c r="CN5" s="417"/>
      <c r="CO5" s="417"/>
      <c r="CP5" s="417"/>
      <c r="CQ5" s="417"/>
      <c r="CR5" s="417"/>
      <c r="CS5" s="417"/>
      <c r="CT5" s="417"/>
      <c r="CU5" s="417"/>
      <c r="CV5" s="417"/>
      <c r="CW5" s="417"/>
      <c r="CX5" s="417"/>
      <c r="CY5" s="417"/>
      <c r="CZ5" s="417"/>
      <c r="DA5" s="417"/>
      <c r="DB5" s="417"/>
      <c r="DC5" s="417"/>
      <c r="DD5" s="417"/>
      <c r="DE5" s="417"/>
      <c r="DF5" s="417"/>
      <c r="DG5" s="417"/>
      <c r="DH5" s="417"/>
      <c r="DI5" s="417"/>
      <c r="DJ5" s="417"/>
      <c r="DK5" s="417"/>
      <c r="DL5" s="417"/>
      <c r="DM5" s="417"/>
      <c r="DN5" s="417"/>
      <c r="DO5" s="417"/>
      <c r="DP5" s="417"/>
      <c r="DQ5" s="417"/>
      <c r="DR5" s="417"/>
      <c r="DS5" s="417"/>
      <c r="DT5" s="417"/>
      <c r="DU5" s="417"/>
      <c r="DV5" s="417"/>
      <c r="DW5" s="417"/>
      <c r="DX5" s="417"/>
      <c r="DY5" s="417"/>
      <c r="DZ5" s="417"/>
      <c r="EA5" s="417"/>
      <c r="EB5" s="417"/>
      <c r="EC5" s="417"/>
      <c r="ED5" s="417"/>
      <c r="EE5" s="417"/>
      <c r="EF5" s="417"/>
      <c r="EG5" s="417"/>
      <c r="EH5" s="417"/>
      <c r="EI5" s="417"/>
      <c r="EJ5" s="417"/>
      <c r="EK5" s="417"/>
      <c r="EL5" s="417"/>
      <c r="EM5" s="417"/>
      <c r="EN5" s="417"/>
      <c r="EO5" s="417"/>
      <c r="EP5" s="417"/>
      <c r="EQ5" s="417"/>
      <c r="ER5" s="417"/>
      <c r="ES5" s="417"/>
      <c r="ET5" s="417"/>
      <c r="EU5" s="417"/>
      <c r="EV5" s="417"/>
      <c r="EW5" s="417"/>
      <c r="EX5" s="417"/>
      <c r="EY5" s="417"/>
      <c r="EZ5" s="417"/>
      <c r="FA5" s="417"/>
      <c r="FB5" s="417"/>
      <c r="FC5" s="417"/>
    </row>
    <row r="6" spans="1:159" s="340" customFormat="1" ht="12.75">
      <c r="A6" s="341">
        <v>25</v>
      </c>
      <c r="B6" s="399">
        <f t="shared" si="38"/>
        <v>0.92142857142857149</v>
      </c>
      <c r="C6" s="362">
        <f t="shared" ca="1" si="0"/>
        <v>93.5</v>
      </c>
      <c r="D6" s="343">
        <f t="shared" ca="1" si="1"/>
        <v>0</v>
      </c>
      <c r="E6" s="343">
        <f t="shared" si="2"/>
        <v>4.4399999999999995E-2</v>
      </c>
      <c r="F6" s="343">
        <f t="shared" si="3"/>
        <v>8.6E-3</v>
      </c>
      <c r="G6" s="343">
        <f t="shared" ca="1" si="39"/>
        <v>7.5795173918414491E-2</v>
      </c>
      <c r="H6" s="343">
        <f t="shared" ca="1" si="40"/>
        <v>4.281211361033435E-3</v>
      </c>
      <c r="I6" s="343">
        <f t="shared" si="4"/>
        <v>8.2928571428571435E-3</v>
      </c>
      <c r="J6" s="343">
        <f t="shared" si="5"/>
        <v>3.2399999999999998E-2</v>
      </c>
      <c r="K6" s="343">
        <f t="shared" ca="1" si="41"/>
        <v>0.17376924242230507</v>
      </c>
      <c r="L6" s="343">
        <f t="shared" ca="1" si="6"/>
        <v>3.0406050263135802E-2</v>
      </c>
      <c r="M6" s="343">
        <f t="shared" si="7"/>
        <v>1.8800000000000002E-3</v>
      </c>
      <c r="N6" s="362">
        <f ca="1">K6*Design!$C$12+$A6</f>
        <v>30.908154242358371</v>
      </c>
      <c r="O6" s="362">
        <f t="shared" ca="1" si="8"/>
        <v>95.478721217900613</v>
      </c>
      <c r="P6" s="362">
        <f t="shared" ca="1" si="9"/>
        <v>77.576460989544245</v>
      </c>
      <c r="Q6" s="343">
        <f t="shared" ca="1" si="10"/>
        <v>3.684172019391045</v>
      </c>
      <c r="R6" s="343">
        <f t="shared" ca="1" si="11"/>
        <v>3.684172019391045</v>
      </c>
      <c r="S6" s="343">
        <f t="shared" ca="1" si="42"/>
        <v>0.20605529268544087</v>
      </c>
      <c r="T6" s="343">
        <f t="shared" ca="1" si="43"/>
        <v>3.3947013607246062</v>
      </c>
      <c r="U6" s="400">
        <f t="shared" ca="1" si="44"/>
        <v>94.277444645133158</v>
      </c>
      <c r="V6" s="401">
        <f t="shared" si="45"/>
        <v>0.92142857142857149</v>
      </c>
      <c r="W6" s="367">
        <f t="shared" ca="1" si="12"/>
        <v>43.816143200421642</v>
      </c>
      <c r="X6" s="344">
        <f t="shared" ca="1" si="13"/>
        <v>0.59435684877895856</v>
      </c>
      <c r="Y6" s="344">
        <f t="shared" si="14"/>
        <v>0.13319999999999999</v>
      </c>
      <c r="Z6" s="344">
        <f t="shared" si="15"/>
        <v>7.7399999999999997E-2</v>
      </c>
      <c r="AA6" s="344">
        <f t="shared" ca="1" si="46"/>
        <v>3.8452518967255399E-2</v>
      </c>
      <c r="AB6" s="344">
        <f t="shared" ca="1" si="47"/>
        <v>4.0061348681530669E-2</v>
      </c>
      <c r="AC6" s="344">
        <f t="shared" si="16"/>
        <v>8.2928571428571435E-3</v>
      </c>
      <c r="AD6" s="344">
        <f t="shared" si="17"/>
        <v>9.7199999999999995E-2</v>
      </c>
      <c r="AE6" s="344">
        <f t="shared" ca="1" si="48"/>
        <v>0.39460672479164322</v>
      </c>
      <c r="AF6" s="344">
        <f t="shared" ca="1" si="18"/>
        <v>3.1282921144249611E-2</v>
      </c>
      <c r="AG6" s="344">
        <f t="shared" si="19"/>
        <v>1.6920000000000001E-2</v>
      </c>
      <c r="AH6" s="367">
        <f t="shared" ca="1" si="20"/>
        <v>38.416628642915867</v>
      </c>
      <c r="AI6" s="367">
        <f t="shared" ca="1" si="21"/>
        <v>99.899710944948865</v>
      </c>
      <c r="AJ6" s="367">
        <f t="shared" ca="1" si="22"/>
        <v>81.168515142770957</v>
      </c>
      <c r="AK6" s="344">
        <f t="shared" ca="1" si="23"/>
        <v>11.280302074454974</v>
      </c>
      <c r="AL6" s="344">
        <f t="shared" ca="1" si="24"/>
        <v>5.1088627819548869</v>
      </c>
      <c r="AM6" s="344">
        <f t="shared" ca="1" si="49"/>
        <v>0.44280964593589284</v>
      </c>
      <c r="AN6" s="344">
        <f t="shared" ca="1" si="50"/>
        <v>4.7074521348012892</v>
      </c>
      <c r="AO6" s="402">
        <f t="shared" ca="1" si="51"/>
        <v>91.402191484866407</v>
      </c>
      <c r="AP6" s="403">
        <f t="shared" ref="AP6:AP10" si="58">($AP$11-$AP$4)/7+AP5</f>
        <v>0.92142857142857149</v>
      </c>
      <c r="AQ6" s="372">
        <f t="shared" ca="1" si="25"/>
        <v>29.165221863933024</v>
      </c>
      <c r="AR6" s="345">
        <f t="shared" ca="1" si="26"/>
        <v>0.74536156772573925</v>
      </c>
      <c r="AS6" s="345">
        <f t="shared" si="27"/>
        <v>0.19979999999999998</v>
      </c>
      <c r="AT6" s="345">
        <f t="shared" si="28"/>
        <v>0.17414999999999997</v>
      </c>
      <c r="AU6" s="345">
        <f t="shared" ca="1" si="52"/>
        <v>2.7206655902266594E-2</v>
      </c>
      <c r="AV6" s="345">
        <f t="shared" ca="1" si="53"/>
        <v>5.3688316617907836E-2</v>
      </c>
      <c r="AW6" s="345">
        <f t="shared" si="29"/>
        <v>8.2928571428571435E-3</v>
      </c>
      <c r="AX6" s="345">
        <f t="shared" si="30"/>
        <v>0.14579999999999999</v>
      </c>
      <c r="AY6" s="345">
        <f t="shared" ca="1" si="54"/>
        <v>0.60893782966303156</v>
      </c>
      <c r="AZ6" s="345">
        <f t="shared" ca="1" si="31"/>
        <v>3.2133957402960212E-2</v>
      </c>
      <c r="BA6" s="345">
        <f t="shared" si="32"/>
        <v>3.807E-2</v>
      </c>
      <c r="BB6" s="372">
        <f t="shared" ca="1" si="33"/>
        <v>45.703886208543068</v>
      </c>
      <c r="BC6" s="372">
        <f t="shared" ca="1" si="34"/>
        <v>104.19044819959015</v>
      </c>
      <c r="BD6" s="372">
        <f t="shared" ca="1" si="35"/>
        <v>84.654739162167004</v>
      </c>
      <c r="BE6" s="345">
        <f t="shared" ca="1" si="36"/>
        <v>16.976546146951002</v>
      </c>
      <c r="BF6" s="345">
        <f t="shared" ca="1" si="37"/>
        <v>5.1088627819548869</v>
      </c>
      <c r="BG6" s="345">
        <f t="shared" ca="1" si="55"/>
        <v>0.67914178706599182</v>
      </c>
      <c r="BH6" s="345">
        <f t="shared" ca="1" si="56"/>
        <v>4.7074521348012892</v>
      </c>
      <c r="BI6" s="404">
        <f t="shared" ca="1" si="57"/>
        <v>87.391999528515328</v>
      </c>
      <c r="BJ6" s="416"/>
      <c r="BK6" s="417"/>
      <c r="BL6" s="417"/>
      <c r="BM6" s="417"/>
      <c r="BN6" s="417"/>
      <c r="BO6" s="417"/>
      <c r="BP6" s="417"/>
      <c r="BQ6" s="417"/>
      <c r="BR6" s="417"/>
      <c r="BS6" s="417"/>
      <c r="BT6" s="417"/>
      <c r="BU6" s="417"/>
      <c r="BV6" s="417"/>
      <c r="BW6" s="417"/>
      <c r="BX6" s="417"/>
      <c r="BY6" s="417"/>
      <c r="BZ6" s="417"/>
      <c r="CA6" s="417"/>
      <c r="CB6" s="417"/>
      <c r="CC6" s="417"/>
      <c r="CD6" s="417"/>
      <c r="CE6" s="417"/>
      <c r="CF6" s="417"/>
      <c r="CG6" s="417"/>
      <c r="CH6" s="417"/>
      <c r="CI6" s="417"/>
      <c r="CJ6" s="417"/>
      <c r="CK6" s="417"/>
      <c r="CL6" s="417"/>
      <c r="CM6" s="417"/>
      <c r="CN6" s="417"/>
      <c r="CO6" s="417"/>
      <c r="CP6" s="417"/>
      <c r="CQ6" s="417"/>
      <c r="CR6" s="417"/>
      <c r="CS6" s="417"/>
      <c r="CT6" s="417"/>
      <c r="CU6" s="417"/>
      <c r="CV6" s="417"/>
      <c r="CW6" s="417"/>
      <c r="CX6" s="417"/>
      <c r="CY6" s="417"/>
      <c r="CZ6" s="417"/>
      <c r="DA6" s="417"/>
      <c r="DB6" s="417"/>
      <c r="DC6" s="417"/>
      <c r="DD6" s="417"/>
      <c r="DE6" s="417"/>
      <c r="DF6" s="417"/>
      <c r="DG6" s="417"/>
      <c r="DH6" s="417"/>
      <c r="DI6" s="417"/>
      <c r="DJ6" s="417"/>
      <c r="DK6" s="417"/>
      <c r="DL6" s="417"/>
      <c r="DM6" s="417"/>
      <c r="DN6" s="417"/>
      <c r="DO6" s="417"/>
      <c r="DP6" s="417"/>
      <c r="DQ6" s="417"/>
      <c r="DR6" s="417"/>
      <c r="DS6" s="417"/>
      <c r="DT6" s="417"/>
      <c r="DU6" s="417"/>
      <c r="DV6" s="417"/>
      <c r="DW6" s="417"/>
      <c r="DX6" s="417"/>
      <c r="DY6" s="417"/>
      <c r="DZ6" s="417"/>
      <c r="EA6" s="417"/>
      <c r="EB6" s="417"/>
      <c r="EC6" s="417"/>
      <c r="ED6" s="417"/>
      <c r="EE6" s="417"/>
      <c r="EF6" s="417"/>
      <c r="EG6" s="417"/>
      <c r="EH6" s="417"/>
      <c r="EI6" s="417"/>
      <c r="EJ6" s="417"/>
      <c r="EK6" s="417"/>
      <c r="EL6" s="417"/>
      <c r="EM6" s="417"/>
      <c r="EN6" s="417"/>
      <c r="EO6" s="417"/>
      <c r="EP6" s="417"/>
      <c r="EQ6" s="417"/>
      <c r="ER6" s="417"/>
      <c r="ES6" s="417"/>
      <c r="ET6" s="417"/>
      <c r="EU6" s="417"/>
      <c r="EV6" s="417"/>
      <c r="EW6" s="417"/>
      <c r="EX6" s="417"/>
      <c r="EY6" s="417"/>
      <c r="EZ6" s="417"/>
      <c r="FA6" s="417"/>
      <c r="FB6" s="417"/>
      <c r="FC6" s="417"/>
    </row>
    <row r="7" spans="1:159" s="340" customFormat="1" ht="12.75">
      <c r="A7" s="341">
        <v>25</v>
      </c>
      <c r="B7" s="399">
        <f t="shared" si="38"/>
        <v>1.2571428571428571</v>
      </c>
      <c r="C7" s="362">
        <f t="shared" ca="1" si="0"/>
        <v>93.5</v>
      </c>
      <c r="D7" s="343">
        <f t="shared" ca="1" si="1"/>
        <v>0</v>
      </c>
      <c r="E7" s="343">
        <f t="shared" si="2"/>
        <v>4.4399999999999995E-2</v>
      </c>
      <c r="F7" s="343">
        <f t="shared" si="3"/>
        <v>1.1733333333333332E-2</v>
      </c>
      <c r="G7" s="343">
        <f t="shared" ca="1" si="39"/>
        <v>0.14338149215514875</v>
      </c>
      <c r="H7" s="343">
        <f t="shared" ca="1" si="40"/>
        <v>8.0987540689238368E-3</v>
      </c>
      <c r="I7" s="343">
        <f t="shared" si="4"/>
        <v>1.1314285714285714E-2</v>
      </c>
      <c r="J7" s="343">
        <f t="shared" si="5"/>
        <v>3.2399999999999998E-2</v>
      </c>
      <c r="K7" s="343">
        <f t="shared" ca="1" si="41"/>
        <v>0.25132786527169165</v>
      </c>
      <c r="L7" s="343">
        <f t="shared" ca="1" si="6"/>
        <v>5.7171873806752004E-2</v>
      </c>
      <c r="M7" s="343">
        <f t="shared" si="7"/>
        <v>1.8800000000000002E-3</v>
      </c>
      <c r="N7" s="362">
        <f ca="1">K7*Design!$C$12+$A7</f>
        <v>33.545147419237516</v>
      </c>
      <c r="O7" s="362">
        <f t="shared" ca="1" si="8"/>
        <v>97.031382800447048</v>
      </c>
      <c r="P7" s="362">
        <f t="shared" ca="1" si="9"/>
        <v>78.837998525363233</v>
      </c>
      <c r="Q7" s="343">
        <f t="shared" ca="1" si="10"/>
        <v>3.6401168056840372</v>
      </c>
      <c r="R7" s="343">
        <f t="shared" ca="1" si="11"/>
        <v>3.6401168056840372</v>
      </c>
      <c r="S7" s="343">
        <f t="shared" ca="1" si="42"/>
        <v>0.31037973907844363</v>
      </c>
      <c r="T7" s="343">
        <f t="shared" ca="1" si="43"/>
        <v>4.5761468414313606</v>
      </c>
      <c r="U7" s="400">
        <f t="shared" ca="1" si="44"/>
        <v>93.648254358905731</v>
      </c>
      <c r="V7" s="401">
        <f t="shared" si="45"/>
        <v>1.2571428571428571</v>
      </c>
      <c r="W7" s="367">
        <f t="shared" ca="1" si="12"/>
        <v>44.65850793360179</v>
      </c>
      <c r="X7" s="344">
        <f t="shared" ca="1" si="13"/>
        <v>0.59826199312462258</v>
      </c>
      <c r="Y7" s="344">
        <f t="shared" si="14"/>
        <v>0.13319999999999999</v>
      </c>
      <c r="Z7" s="344">
        <f t="shared" si="15"/>
        <v>0.1056</v>
      </c>
      <c r="AA7" s="344">
        <f t="shared" ca="1" si="46"/>
        <v>7.3274692610419134E-2</v>
      </c>
      <c r="AB7" s="344">
        <f t="shared" ca="1" si="47"/>
        <v>7.3777516166899454E-2</v>
      </c>
      <c r="AC7" s="344">
        <f t="shared" si="16"/>
        <v>1.1314285714285714E-2</v>
      </c>
      <c r="AD7" s="344">
        <f t="shared" si="17"/>
        <v>9.7199999999999995E-2</v>
      </c>
      <c r="AE7" s="344">
        <f t="shared" ca="1" si="48"/>
        <v>0.49436649449160425</v>
      </c>
      <c r="AF7" s="344">
        <f t="shared" ca="1" si="18"/>
        <v>5.8968195369266348E-2</v>
      </c>
      <c r="AG7" s="344">
        <f t="shared" si="19"/>
        <v>1.6920000000000001E-2</v>
      </c>
      <c r="AH7" s="367">
        <f t="shared" ca="1" si="20"/>
        <v>41.808460812714543</v>
      </c>
      <c r="AI7" s="367">
        <f t="shared" ca="1" si="21"/>
        <v>101.89682172652633</v>
      </c>
      <c r="AJ7" s="367">
        <f t="shared" ca="1" si="22"/>
        <v>82.791167652802642</v>
      </c>
      <c r="AK7" s="344">
        <f t="shared" ca="1" si="23"/>
        <v>11.23430608148089</v>
      </c>
      <c r="AL7" s="344">
        <f t="shared" ca="1" si="24"/>
        <v>5.150827067669173</v>
      </c>
      <c r="AM7" s="344">
        <f t="shared" ca="1" si="49"/>
        <v>0.57025468986087069</v>
      </c>
      <c r="AN7" s="344">
        <f t="shared" ca="1" si="50"/>
        <v>6.4753254564983891</v>
      </c>
      <c r="AO7" s="402">
        <f t="shared" ca="1" si="51"/>
        <v>91.90620675636562</v>
      </c>
      <c r="AP7" s="403">
        <f t="shared" si="58"/>
        <v>1.2571428571428571</v>
      </c>
      <c r="AQ7" s="372">
        <f t="shared" ca="1" si="25"/>
        <v>29.713168266688118</v>
      </c>
      <c r="AR7" s="345">
        <f t="shared" ca="1" si="26"/>
        <v>0.75421356274091145</v>
      </c>
      <c r="AS7" s="345">
        <f t="shared" si="27"/>
        <v>0.19979999999999998</v>
      </c>
      <c r="AT7" s="345">
        <f t="shared" si="28"/>
        <v>0.23759999999999995</v>
      </c>
      <c r="AU7" s="345">
        <f t="shared" ca="1" si="52"/>
        <v>5.17178291672169E-2</v>
      </c>
      <c r="AV7" s="345">
        <f t="shared" ca="1" si="53"/>
        <v>9.9400521276470491E-2</v>
      </c>
      <c r="AW7" s="345">
        <f t="shared" si="29"/>
        <v>1.1314285714285714E-2</v>
      </c>
      <c r="AX7" s="345">
        <f t="shared" si="30"/>
        <v>0.14579999999999999</v>
      </c>
      <c r="AY7" s="345">
        <f t="shared" ca="1" si="54"/>
        <v>0.74563263615797304</v>
      </c>
      <c r="AZ7" s="345">
        <f t="shared" ca="1" si="31"/>
        <v>6.0825327256710769E-2</v>
      </c>
      <c r="BA7" s="345">
        <f t="shared" si="32"/>
        <v>3.807E-2</v>
      </c>
      <c r="BB7" s="372">
        <f t="shared" ca="1" si="33"/>
        <v>50.35150962937108</v>
      </c>
      <c r="BC7" s="372">
        <f t="shared" ca="1" si="34"/>
        <v>106.92696886977369</v>
      </c>
      <c r="BD7" s="372">
        <f t="shared" ca="1" si="35"/>
        <v>86.87816220669113</v>
      </c>
      <c r="BE7" s="345">
        <f t="shared" ca="1" si="36"/>
        <v>16.928298648606955</v>
      </c>
      <c r="BF7" s="345">
        <f t="shared" ca="1" si="37"/>
        <v>5.150827067669173</v>
      </c>
      <c r="BG7" s="345">
        <f t="shared" ca="1" si="55"/>
        <v>0.84452796341468384</v>
      </c>
      <c r="BH7" s="345">
        <f t="shared" ca="1" si="56"/>
        <v>6.4753254564983891</v>
      </c>
      <c r="BI7" s="404">
        <f t="shared" ca="1" si="57"/>
        <v>88.462501706424689</v>
      </c>
      <c r="BJ7" s="416"/>
      <c r="BK7" s="417"/>
      <c r="BL7" s="417"/>
      <c r="BM7" s="417"/>
      <c r="BN7" s="417"/>
      <c r="BO7" s="417"/>
      <c r="BP7" s="417"/>
      <c r="BQ7" s="417"/>
      <c r="BR7" s="417"/>
      <c r="BS7" s="417"/>
      <c r="BT7" s="417"/>
      <c r="BU7" s="417"/>
      <c r="BV7" s="417"/>
      <c r="BW7" s="417"/>
      <c r="BX7" s="417"/>
      <c r="BY7" s="417"/>
      <c r="BZ7" s="417"/>
      <c r="CA7" s="417"/>
      <c r="CB7" s="417"/>
      <c r="CC7" s="417"/>
      <c r="CD7" s="417"/>
      <c r="CE7" s="417"/>
      <c r="CF7" s="417"/>
      <c r="CG7" s="417"/>
      <c r="CH7" s="417"/>
      <c r="CI7" s="417"/>
      <c r="CJ7" s="417"/>
      <c r="CK7" s="417"/>
      <c r="CL7" s="417"/>
      <c r="CM7" s="417"/>
      <c r="CN7" s="417"/>
      <c r="CO7" s="417"/>
      <c r="CP7" s="417"/>
      <c r="CQ7" s="417"/>
      <c r="CR7" s="417"/>
      <c r="CS7" s="417"/>
      <c r="CT7" s="417"/>
      <c r="CU7" s="417"/>
      <c r="CV7" s="417"/>
      <c r="CW7" s="417"/>
      <c r="CX7" s="417"/>
      <c r="CY7" s="417"/>
      <c r="CZ7" s="417"/>
      <c r="DA7" s="417"/>
      <c r="DB7" s="417"/>
      <c r="DC7" s="417"/>
      <c r="DD7" s="417"/>
      <c r="DE7" s="417"/>
      <c r="DF7" s="417"/>
      <c r="DG7" s="417"/>
      <c r="DH7" s="417"/>
      <c r="DI7" s="417"/>
      <c r="DJ7" s="417"/>
      <c r="DK7" s="417"/>
      <c r="DL7" s="417"/>
      <c r="DM7" s="417"/>
      <c r="DN7" s="417"/>
      <c r="DO7" s="417"/>
      <c r="DP7" s="417"/>
      <c r="DQ7" s="417"/>
      <c r="DR7" s="417"/>
      <c r="DS7" s="417"/>
      <c r="DT7" s="417"/>
      <c r="DU7" s="417"/>
      <c r="DV7" s="417"/>
      <c r="DW7" s="417"/>
      <c r="DX7" s="417"/>
      <c r="DY7" s="417"/>
      <c r="DZ7" s="417"/>
      <c r="EA7" s="417"/>
      <c r="EB7" s="417"/>
      <c r="EC7" s="417"/>
      <c r="ED7" s="417"/>
      <c r="EE7" s="417"/>
      <c r="EF7" s="417"/>
      <c r="EG7" s="417"/>
      <c r="EH7" s="417"/>
      <c r="EI7" s="417"/>
      <c r="EJ7" s="417"/>
      <c r="EK7" s="417"/>
      <c r="EL7" s="417"/>
      <c r="EM7" s="417"/>
      <c r="EN7" s="417"/>
      <c r="EO7" s="417"/>
      <c r="EP7" s="417"/>
      <c r="EQ7" s="417"/>
      <c r="ER7" s="417"/>
      <c r="ES7" s="417"/>
      <c r="ET7" s="417"/>
      <c r="EU7" s="417"/>
      <c r="EV7" s="417"/>
      <c r="EW7" s="417"/>
      <c r="EX7" s="417"/>
      <c r="EY7" s="417"/>
      <c r="EZ7" s="417"/>
      <c r="FA7" s="417"/>
      <c r="FB7" s="417"/>
      <c r="FC7" s="417"/>
    </row>
    <row r="8" spans="1:159" s="340" customFormat="1" ht="12.75">
      <c r="A8" s="341">
        <v>25</v>
      </c>
      <c r="B8" s="399">
        <f t="shared" si="38"/>
        <v>1.592857142857143</v>
      </c>
      <c r="C8" s="362">
        <f t="shared" ca="1" si="0"/>
        <v>93.5</v>
      </c>
      <c r="D8" s="343">
        <f t="shared" ca="1" si="1"/>
        <v>0</v>
      </c>
      <c r="E8" s="343">
        <f t="shared" si="2"/>
        <v>4.4399999999999995E-2</v>
      </c>
      <c r="F8" s="343">
        <f t="shared" si="3"/>
        <v>1.4866666666666667E-2</v>
      </c>
      <c r="G8" s="343">
        <f t="shared" ca="1" si="39"/>
        <v>0.23507829858644272</v>
      </c>
      <c r="H8" s="343">
        <f t="shared" ca="1" si="40"/>
        <v>1.3278152560531012E-2</v>
      </c>
      <c r="I8" s="343">
        <f t="shared" si="4"/>
        <v>1.4335714285714288E-2</v>
      </c>
      <c r="J8" s="343">
        <f t="shared" si="5"/>
        <v>3.2399999999999998E-2</v>
      </c>
      <c r="K8" s="343">
        <f t="shared" ca="1" si="41"/>
        <v>0.35435883209935465</v>
      </c>
      <c r="L8" s="343">
        <f t="shared" ca="1" si="6"/>
        <v>9.3006499397320475E-2</v>
      </c>
      <c r="M8" s="343">
        <f t="shared" si="7"/>
        <v>1.8800000000000002E-3</v>
      </c>
      <c r="N8" s="362">
        <f ca="1">K8*Design!$C$12+$A8</f>
        <v>37.048200291378059</v>
      </c>
      <c r="O8" s="362">
        <f t="shared" ca="1" si="8"/>
        <v>99.093980331563401</v>
      </c>
      <c r="P8" s="362">
        <f t="shared" ca="1" si="9"/>
        <v>80.513859019395269</v>
      </c>
      <c r="Q8" s="343">
        <f t="shared" ca="1" si="10"/>
        <v>3.5942995733339873</v>
      </c>
      <c r="R8" s="343">
        <f t="shared" ca="1" si="11"/>
        <v>3.5942995733339873</v>
      </c>
      <c r="S8" s="343">
        <f t="shared" ca="1" si="42"/>
        <v>0.44924533149667512</v>
      </c>
      <c r="T8" s="343">
        <f t="shared" ca="1" si="43"/>
        <v>5.7252057489534227</v>
      </c>
      <c r="U8" s="400">
        <f t="shared" ca="1" si="44"/>
        <v>92.724125179012248</v>
      </c>
      <c r="V8" s="401">
        <f t="shared" si="45"/>
        <v>1.592857142857143</v>
      </c>
      <c r="W8" s="367">
        <f t="shared" ca="1" si="12"/>
        <v>45.533152490836343</v>
      </c>
      <c r="X8" s="344">
        <f t="shared" ca="1" si="13"/>
        <v>0.6021065124356606</v>
      </c>
      <c r="Y8" s="344">
        <f t="shared" si="14"/>
        <v>0.13319999999999999</v>
      </c>
      <c r="Z8" s="344">
        <f t="shared" si="15"/>
        <v>0.1338</v>
      </c>
      <c r="AA8" s="344">
        <f t="shared" ca="1" si="46"/>
        <v>0.12204067515877907</v>
      </c>
      <c r="AB8" s="344">
        <f t="shared" ca="1" si="47"/>
        <v>0.11861305477728928</v>
      </c>
      <c r="AC8" s="344">
        <f t="shared" si="16"/>
        <v>1.4335714285714288E-2</v>
      </c>
      <c r="AD8" s="344">
        <f t="shared" si="17"/>
        <v>9.7199999999999995E-2</v>
      </c>
      <c r="AE8" s="344">
        <f t="shared" ca="1" si="48"/>
        <v>0.61918944422178268</v>
      </c>
      <c r="AF8" s="344">
        <f t="shared" ca="1" si="18"/>
        <v>9.6148898563387916E-2</v>
      </c>
      <c r="AG8" s="344">
        <f t="shared" si="19"/>
        <v>1.6920000000000001E-2</v>
      </c>
      <c r="AH8" s="367">
        <f t="shared" ca="1" si="20"/>
        <v>46.052441103540616</v>
      </c>
      <c r="AI8" s="367">
        <f t="shared" ca="1" si="21"/>
        <v>104.39567732176471</v>
      </c>
      <c r="AJ8" s="367">
        <f t="shared" ca="1" si="22"/>
        <v>84.821487823933836</v>
      </c>
      <c r="AK8" s="344">
        <f t="shared" ca="1" si="23"/>
        <v>11.186276969709887</v>
      </c>
      <c r="AL8" s="344">
        <f t="shared" ca="1" si="24"/>
        <v>5.1927913533834582</v>
      </c>
      <c r="AM8" s="344">
        <f t="shared" ca="1" si="49"/>
        <v>0.73225834278517066</v>
      </c>
      <c r="AN8" s="344">
        <f t="shared" ca="1" si="50"/>
        <v>8.2713747986036523</v>
      </c>
      <c r="AO8" s="402">
        <f t="shared" ca="1" si="51"/>
        <v>91.867079308028991</v>
      </c>
      <c r="AP8" s="403">
        <f t="shared" si="58"/>
        <v>1.592857142857143</v>
      </c>
      <c r="AQ8" s="372">
        <f t="shared" ca="1" si="25"/>
        <v>30.283734639038901</v>
      </c>
      <c r="AR8" s="345">
        <f t="shared" ca="1" si="26"/>
        <v>0.76327616680150046</v>
      </c>
      <c r="AS8" s="345">
        <f t="shared" si="27"/>
        <v>0.19979999999999998</v>
      </c>
      <c r="AT8" s="345">
        <f t="shared" si="28"/>
        <v>0.30104999999999998</v>
      </c>
      <c r="AU8" s="345">
        <f t="shared" ca="1" si="52"/>
        <v>8.62859330201661E-2</v>
      </c>
      <c r="AV8" s="345">
        <f t="shared" ca="1" si="53"/>
        <v>0.16139424755501774</v>
      </c>
      <c r="AW8" s="345">
        <f t="shared" si="29"/>
        <v>1.4335714285714288E-2</v>
      </c>
      <c r="AX8" s="345">
        <f t="shared" si="30"/>
        <v>0.14579999999999999</v>
      </c>
      <c r="AY8" s="345">
        <f t="shared" ca="1" si="54"/>
        <v>0.9086658948608981</v>
      </c>
      <c r="AZ8" s="345">
        <f t="shared" ca="1" si="31"/>
        <v>9.9583737722631321E-2</v>
      </c>
      <c r="BA8" s="345">
        <f t="shared" si="32"/>
        <v>3.807E-2</v>
      </c>
      <c r="BB8" s="372">
        <f t="shared" ca="1" si="33"/>
        <v>55.894640425270538</v>
      </c>
      <c r="BC8" s="372">
        <f t="shared" ca="1" si="34"/>
        <v>110.1907642823993</v>
      </c>
      <c r="BD8" s="372">
        <f t="shared" ca="1" si="35"/>
        <v>89.529995979449424</v>
      </c>
      <c r="BE8" s="345">
        <f t="shared" ca="1" si="36"/>
        <v>16.877507761334098</v>
      </c>
      <c r="BF8" s="345">
        <f t="shared" ca="1" si="37"/>
        <v>5.1927913533834582</v>
      </c>
      <c r="BG8" s="345">
        <f t="shared" ca="1" si="55"/>
        <v>1.0463196325835296</v>
      </c>
      <c r="BH8" s="345">
        <f t="shared" ca="1" si="56"/>
        <v>8.2713747986036523</v>
      </c>
      <c r="BI8" s="404">
        <f t="shared" ca="1" si="57"/>
        <v>88.770616590715818</v>
      </c>
      <c r="BJ8" s="416"/>
      <c r="BK8" s="417"/>
      <c r="BL8" s="417"/>
      <c r="BM8" s="417"/>
      <c r="BN8" s="417"/>
      <c r="BO8" s="417"/>
      <c r="BP8" s="417"/>
      <c r="BQ8" s="417"/>
      <c r="BR8" s="417"/>
      <c r="BS8" s="417"/>
      <c r="BT8" s="417"/>
      <c r="BU8" s="417"/>
      <c r="BV8" s="417"/>
      <c r="BW8" s="417"/>
      <c r="BX8" s="417"/>
      <c r="BY8" s="417"/>
      <c r="BZ8" s="417"/>
      <c r="CA8" s="417"/>
      <c r="CB8" s="417"/>
      <c r="CC8" s="417"/>
      <c r="CD8" s="417"/>
      <c r="CE8" s="417"/>
      <c r="CF8" s="417"/>
      <c r="CG8" s="417"/>
      <c r="CH8" s="417"/>
      <c r="CI8" s="417"/>
      <c r="CJ8" s="417"/>
      <c r="CK8" s="417"/>
      <c r="CL8" s="417"/>
      <c r="CM8" s="417"/>
      <c r="CN8" s="417"/>
      <c r="CO8" s="417"/>
      <c r="CP8" s="417"/>
      <c r="CQ8" s="417"/>
      <c r="CR8" s="417"/>
      <c r="CS8" s="417"/>
      <c r="CT8" s="417"/>
      <c r="CU8" s="417"/>
      <c r="CV8" s="417"/>
      <c r="CW8" s="417"/>
      <c r="CX8" s="417"/>
      <c r="CY8" s="417"/>
      <c r="CZ8" s="417"/>
      <c r="DA8" s="417"/>
      <c r="DB8" s="417"/>
      <c r="DC8" s="417"/>
      <c r="DD8" s="417"/>
      <c r="DE8" s="417"/>
      <c r="DF8" s="417"/>
      <c r="DG8" s="417"/>
      <c r="DH8" s="417"/>
      <c r="DI8" s="417"/>
      <c r="DJ8" s="417"/>
      <c r="DK8" s="417"/>
      <c r="DL8" s="417"/>
      <c r="DM8" s="417"/>
      <c r="DN8" s="417"/>
      <c r="DO8" s="417"/>
      <c r="DP8" s="417"/>
      <c r="DQ8" s="417"/>
      <c r="DR8" s="417"/>
      <c r="DS8" s="417"/>
      <c r="DT8" s="417"/>
      <c r="DU8" s="417"/>
      <c r="DV8" s="417"/>
      <c r="DW8" s="417"/>
      <c r="DX8" s="417"/>
      <c r="DY8" s="417"/>
      <c r="DZ8" s="417"/>
      <c r="EA8" s="417"/>
      <c r="EB8" s="417"/>
      <c r="EC8" s="417"/>
      <c r="ED8" s="417"/>
      <c r="EE8" s="417"/>
      <c r="EF8" s="417"/>
      <c r="EG8" s="417"/>
      <c r="EH8" s="417"/>
      <c r="EI8" s="417"/>
      <c r="EJ8" s="417"/>
      <c r="EK8" s="417"/>
      <c r="EL8" s="417"/>
      <c r="EM8" s="417"/>
      <c r="EN8" s="417"/>
      <c r="EO8" s="417"/>
      <c r="EP8" s="417"/>
      <c r="EQ8" s="417"/>
      <c r="ER8" s="417"/>
      <c r="ES8" s="417"/>
      <c r="ET8" s="417"/>
      <c r="EU8" s="417"/>
      <c r="EV8" s="417"/>
      <c r="EW8" s="417"/>
      <c r="EX8" s="417"/>
      <c r="EY8" s="417"/>
      <c r="EZ8" s="417"/>
      <c r="FA8" s="417"/>
      <c r="FB8" s="417"/>
      <c r="FC8" s="417"/>
    </row>
    <row r="9" spans="1:159" s="340" customFormat="1" ht="12.75">
      <c r="A9" s="341">
        <v>25</v>
      </c>
      <c r="B9" s="399">
        <f t="shared" si="38"/>
        <v>1.9285714285714288</v>
      </c>
      <c r="C9" s="362">
        <f t="shared" ca="1" si="0"/>
        <v>93.5</v>
      </c>
      <c r="D9" s="343">
        <f t="shared" ca="1" si="1"/>
        <v>0</v>
      </c>
      <c r="E9" s="343">
        <f t="shared" si="2"/>
        <v>4.4399999999999995E-2</v>
      </c>
      <c r="F9" s="343">
        <f t="shared" si="3"/>
        <v>1.8000000000000002E-2</v>
      </c>
      <c r="G9" s="343">
        <f t="shared" ca="1" si="39"/>
        <v>0.35377045599748308</v>
      </c>
      <c r="H9" s="343">
        <f t="shared" ca="1" si="40"/>
        <v>1.9982355301996855E-2</v>
      </c>
      <c r="I9" s="343">
        <f t="shared" si="4"/>
        <v>1.7357142857142859E-2</v>
      </c>
      <c r="J9" s="343">
        <f t="shared" si="5"/>
        <v>3.2399999999999998E-2</v>
      </c>
      <c r="K9" s="343">
        <f t="shared" ca="1" si="41"/>
        <v>0.4859099541566228</v>
      </c>
      <c r="L9" s="343">
        <f t="shared" ca="1" si="6"/>
        <v>0.13863071303682922</v>
      </c>
      <c r="M9" s="343">
        <f t="shared" si="7"/>
        <v>1.8800000000000002E-3</v>
      </c>
      <c r="N9" s="362">
        <f ca="1">K9*Design!$C$12+$A9</f>
        <v>41.520938441325171</v>
      </c>
      <c r="O9" s="362">
        <f t="shared" ca="1" si="8"/>
        <v>101.72752855425226</v>
      </c>
      <c r="P9" s="362">
        <f t="shared" ca="1" si="9"/>
        <v>82.653616950329962</v>
      </c>
      <c r="Q9" s="343">
        <f t="shared" ca="1" si="10"/>
        <v>3.5461206351845309</v>
      </c>
      <c r="R9" s="343">
        <f t="shared" ca="1" si="11"/>
        <v>3.5461206351845309</v>
      </c>
      <c r="S9" s="343">
        <f t="shared" ca="1" si="42"/>
        <v>0.62642066719345202</v>
      </c>
      <c r="T9" s="343">
        <f t="shared" ca="1" si="43"/>
        <v>6.8389469392844537</v>
      </c>
      <c r="U9" s="400">
        <f t="shared" ca="1" si="44"/>
        <v>91.6089776121689</v>
      </c>
      <c r="V9" s="401">
        <f t="shared" si="45"/>
        <v>1.9285714285714288</v>
      </c>
      <c r="W9" s="367">
        <f t="shared" ca="1" si="12"/>
        <v>46.448918608390983</v>
      </c>
      <c r="X9" s="344">
        <f t="shared" ca="1" si="13"/>
        <v>0.60591617387295771</v>
      </c>
      <c r="Y9" s="344">
        <f t="shared" si="14"/>
        <v>0.13319999999999999</v>
      </c>
      <c r="Z9" s="344">
        <f t="shared" si="15"/>
        <v>0.16200000000000003</v>
      </c>
      <c r="AA9" s="344">
        <f t="shared" ca="1" si="46"/>
        <v>0.18717701122702712</v>
      </c>
      <c r="AB9" s="344">
        <f t="shared" ca="1" si="47"/>
        <v>0.17533495883905881</v>
      </c>
      <c r="AC9" s="344">
        <f t="shared" si="16"/>
        <v>1.7357142857142859E-2</v>
      </c>
      <c r="AD9" s="344">
        <f t="shared" si="17"/>
        <v>9.7199999999999995E-2</v>
      </c>
      <c r="AE9" s="344">
        <f t="shared" ca="1" si="48"/>
        <v>0.77226911292322875</v>
      </c>
      <c r="AF9" s="344">
        <f t="shared" ca="1" si="18"/>
        <v>0.14361177617417087</v>
      </c>
      <c r="AG9" s="344">
        <f t="shared" si="19"/>
        <v>1.6920000000000001E-2</v>
      </c>
      <c r="AH9" s="367">
        <f t="shared" ca="1" si="20"/>
        <v>51.257149839389783</v>
      </c>
      <c r="AI9" s="367">
        <f t="shared" ca="1" si="21"/>
        <v>107.4602098254327</v>
      </c>
      <c r="AJ9" s="367">
        <f t="shared" ca="1" si="22"/>
        <v>87.311420483164071</v>
      </c>
      <c r="AK9" s="344">
        <f t="shared" ca="1" si="23"/>
        <v>11.135617544141258</v>
      </c>
      <c r="AL9" s="344">
        <f t="shared" ca="1" si="24"/>
        <v>5.2347556390977443</v>
      </c>
      <c r="AM9" s="344">
        <f t="shared" ca="1" si="49"/>
        <v>0.93280088909739967</v>
      </c>
      <c r="AN9" s="344">
        <f t="shared" ca="1" si="50"/>
        <v>10.09560016111708</v>
      </c>
      <c r="AO9" s="402">
        <f t="shared" ca="1" si="51"/>
        <v>91.541830181454458</v>
      </c>
      <c r="AP9" s="403">
        <f t="shared" si="58"/>
        <v>1.9285714285714288</v>
      </c>
      <c r="AQ9" s="372">
        <f t="shared" ca="1" si="25"/>
        <v>30.882439110538069</v>
      </c>
      <c r="AR9" s="345">
        <f t="shared" ca="1" si="26"/>
        <v>0.77262243418710097</v>
      </c>
      <c r="AS9" s="345">
        <f t="shared" si="27"/>
        <v>0.19979999999999998</v>
      </c>
      <c r="AT9" s="345">
        <f t="shared" si="28"/>
        <v>0.36450000000000005</v>
      </c>
      <c r="AU9" s="345">
        <f t="shared" ca="1" si="52"/>
        <v>0.132758595851621</v>
      </c>
      <c r="AV9" s="345">
        <f t="shared" ca="1" si="53"/>
        <v>0.24141421013956574</v>
      </c>
      <c r="AW9" s="345">
        <f t="shared" si="29"/>
        <v>1.7357142857142859E-2</v>
      </c>
      <c r="AX9" s="345">
        <f t="shared" si="30"/>
        <v>0.14579999999999999</v>
      </c>
      <c r="AY9" s="345">
        <f t="shared" ca="1" si="54"/>
        <v>1.1016299488483297</v>
      </c>
      <c r="AZ9" s="345">
        <f t="shared" ca="1" si="31"/>
        <v>0.14934083029549433</v>
      </c>
      <c r="BA9" s="345">
        <f t="shared" si="32"/>
        <v>3.807E-2</v>
      </c>
      <c r="BB9" s="372">
        <f t="shared" ca="1" si="33"/>
        <v>62.45541826084321</v>
      </c>
      <c r="BC9" s="372">
        <f t="shared" ca="1" si="34"/>
        <v>114.05375027198448</v>
      </c>
      <c r="BD9" s="372">
        <f t="shared" ca="1" si="35"/>
        <v>92.66867209598739</v>
      </c>
      <c r="BE9" s="345">
        <f t="shared" ca="1" si="36"/>
        <v>16.82353723610883</v>
      </c>
      <c r="BF9" s="345">
        <f t="shared" ca="1" si="37"/>
        <v>5.2347556390977443</v>
      </c>
      <c r="BG9" s="345">
        <f t="shared" ca="1" si="55"/>
        <v>1.2890407791438241</v>
      </c>
      <c r="BH9" s="345">
        <f t="shared" ca="1" si="56"/>
        <v>10.09560016111708</v>
      </c>
      <c r="BI9" s="404">
        <f t="shared" ca="1" si="57"/>
        <v>88.677369924024291</v>
      </c>
      <c r="BJ9" s="416"/>
      <c r="BK9" s="417"/>
      <c r="BL9" s="417"/>
      <c r="BM9" s="417"/>
      <c r="BN9" s="417"/>
      <c r="BO9" s="417"/>
      <c r="BP9" s="417"/>
      <c r="BQ9" s="417"/>
      <c r="BR9" s="417"/>
      <c r="BS9" s="417"/>
      <c r="BT9" s="417"/>
      <c r="BU9" s="417"/>
      <c r="BV9" s="417"/>
      <c r="BW9" s="417"/>
      <c r="BX9" s="417"/>
      <c r="BY9" s="417"/>
      <c r="BZ9" s="417"/>
      <c r="CA9" s="417"/>
      <c r="CB9" s="417"/>
      <c r="CC9" s="417"/>
      <c r="CD9" s="417"/>
      <c r="CE9" s="417"/>
      <c r="CF9" s="417"/>
      <c r="CG9" s="417"/>
      <c r="CH9" s="417"/>
      <c r="CI9" s="417"/>
      <c r="CJ9" s="417"/>
      <c r="CK9" s="417"/>
      <c r="CL9" s="417"/>
      <c r="CM9" s="417"/>
      <c r="CN9" s="417"/>
      <c r="CO9" s="417"/>
      <c r="CP9" s="417"/>
      <c r="CQ9" s="417"/>
      <c r="CR9" s="417"/>
      <c r="CS9" s="417"/>
      <c r="CT9" s="417"/>
      <c r="CU9" s="417"/>
      <c r="CV9" s="417"/>
      <c r="CW9" s="417"/>
      <c r="CX9" s="417"/>
      <c r="CY9" s="417"/>
      <c r="CZ9" s="417"/>
      <c r="DA9" s="417"/>
      <c r="DB9" s="417"/>
      <c r="DC9" s="417"/>
      <c r="DD9" s="417"/>
      <c r="DE9" s="417"/>
      <c r="DF9" s="417"/>
      <c r="DG9" s="417"/>
      <c r="DH9" s="417"/>
      <c r="DI9" s="417"/>
      <c r="DJ9" s="417"/>
      <c r="DK9" s="417"/>
      <c r="DL9" s="417"/>
      <c r="DM9" s="417"/>
      <c r="DN9" s="417"/>
      <c r="DO9" s="417"/>
      <c r="DP9" s="417"/>
      <c r="DQ9" s="417"/>
      <c r="DR9" s="417"/>
      <c r="DS9" s="417"/>
      <c r="DT9" s="417"/>
      <c r="DU9" s="417"/>
      <c r="DV9" s="417"/>
      <c r="DW9" s="417"/>
      <c r="DX9" s="417"/>
      <c r="DY9" s="417"/>
      <c r="DZ9" s="417"/>
      <c r="EA9" s="417"/>
      <c r="EB9" s="417"/>
      <c r="EC9" s="417"/>
      <c r="ED9" s="417"/>
      <c r="EE9" s="417"/>
      <c r="EF9" s="417"/>
      <c r="EG9" s="417"/>
      <c r="EH9" s="417"/>
      <c r="EI9" s="417"/>
      <c r="EJ9" s="417"/>
      <c r="EK9" s="417"/>
      <c r="EL9" s="417"/>
      <c r="EM9" s="417"/>
      <c r="EN9" s="417"/>
      <c r="EO9" s="417"/>
      <c r="EP9" s="417"/>
      <c r="EQ9" s="417"/>
      <c r="ER9" s="417"/>
      <c r="ES9" s="417"/>
      <c r="ET9" s="417"/>
      <c r="EU9" s="417"/>
      <c r="EV9" s="417"/>
      <c r="EW9" s="417"/>
      <c r="EX9" s="417"/>
      <c r="EY9" s="417"/>
      <c r="EZ9" s="417"/>
      <c r="FA9" s="417"/>
      <c r="FB9" s="417"/>
      <c r="FC9" s="417"/>
    </row>
    <row r="10" spans="1:159" s="340" customFormat="1" ht="12.75">
      <c r="A10" s="341">
        <v>25</v>
      </c>
      <c r="B10" s="399">
        <f t="shared" si="38"/>
        <v>2.2642857142857147</v>
      </c>
      <c r="C10" s="362">
        <f t="shared" ca="1" si="0"/>
        <v>93.5</v>
      </c>
      <c r="D10" s="343">
        <f t="shared" ca="1" si="1"/>
        <v>0</v>
      </c>
      <c r="E10" s="343">
        <f t="shared" si="2"/>
        <v>4.4399999999999995E-2</v>
      </c>
      <c r="F10" s="343">
        <f t="shared" si="3"/>
        <v>2.1133333333333334E-2</v>
      </c>
      <c r="G10" s="343">
        <f t="shared" ca="1" si="39"/>
        <v>0.50341786459102345</v>
      </c>
      <c r="H10" s="343">
        <f t="shared" ca="1" si="40"/>
        <v>2.8435033126966203E-2</v>
      </c>
      <c r="I10" s="343">
        <f t="shared" si="4"/>
        <v>2.037857142857143E-2</v>
      </c>
      <c r="J10" s="343">
        <f t="shared" si="5"/>
        <v>3.2399999999999998E-2</v>
      </c>
      <c r="K10" s="343">
        <f t="shared" ca="1" si="41"/>
        <v>0.65016480247989439</v>
      </c>
      <c r="L10" s="343">
        <f t="shared" ca="1" si="6"/>
        <v>0.19503389995707157</v>
      </c>
      <c r="M10" s="343">
        <f t="shared" si="7"/>
        <v>1.8800000000000002E-3</v>
      </c>
      <c r="N10" s="362">
        <f ca="1">K10*Design!$C$12+$A10</f>
        <v>47.105603284316409</v>
      </c>
      <c r="O10" s="362">
        <f t="shared" ca="1" si="8"/>
        <v>105.0157792138055</v>
      </c>
      <c r="P10" s="362">
        <f t="shared" ca="1" si="9"/>
        <v>85.325320611216966</v>
      </c>
      <c r="Q10" s="343">
        <f t="shared" ca="1" si="10"/>
        <v>3.4948535577840172</v>
      </c>
      <c r="R10" s="343">
        <f t="shared" ca="1" si="11"/>
        <v>3.4948535577840172</v>
      </c>
      <c r="S10" s="343">
        <f t="shared" ca="1" si="42"/>
        <v>0.84707870243696592</v>
      </c>
      <c r="T10" s="343">
        <f t="shared" ca="1" si="43"/>
        <v>7.9133469844109543</v>
      </c>
      <c r="U10" s="400">
        <f t="shared" ca="1" si="44"/>
        <v>90.330621676196728</v>
      </c>
      <c r="V10" s="401">
        <f t="shared" si="45"/>
        <v>2.2642857142857147</v>
      </c>
      <c r="W10" s="367">
        <f t="shared" ca="1" si="12"/>
        <v>47.416764932534612</v>
      </c>
      <c r="X10" s="344">
        <f t="shared" ca="1" si="13"/>
        <v>0.60971819254342874</v>
      </c>
      <c r="Y10" s="344">
        <f t="shared" si="14"/>
        <v>0.13319999999999999</v>
      </c>
      <c r="Z10" s="344">
        <f t="shared" si="15"/>
        <v>0.19020000000000004</v>
      </c>
      <c r="AA10" s="344">
        <f t="shared" ca="1" si="46"/>
        <v>0.27190799441204599</v>
      </c>
      <c r="AB10" s="344">
        <f t="shared" ca="1" si="47"/>
        <v>0.24499697798612588</v>
      </c>
      <c r="AC10" s="344">
        <f t="shared" si="16"/>
        <v>2.037857142857143E-2</v>
      </c>
      <c r="AD10" s="344">
        <f t="shared" si="17"/>
        <v>9.7199999999999995E-2</v>
      </c>
      <c r="AE10" s="344">
        <f t="shared" ca="1" si="48"/>
        <v>0.95788354382674334</v>
      </c>
      <c r="AF10" s="344">
        <f t="shared" ca="1" si="18"/>
        <v>0.2024121932067601</v>
      </c>
      <c r="AG10" s="344">
        <f t="shared" si="19"/>
        <v>1.6920000000000001E-2</v>
      </c>
      <c r="AH10" s="367">
        <f t="shared" ca="1" si="20"/>
        <v>57.568040490109276</v>
      </c>
      <c r="AI10" s="367">
        <f t="shared" ca="1" si="21"/>
        <v>111.17606224057634</v>
      </c>
      <c r="AJ10" s="367">
        <f t="shared" ca="1" si="22"/>
        <v>90.330550570468276</v>
      </c>
      <c r="AK10" s="344">
        <f t="shared" ca="1" si="23"/>
        <v>11.081602348973217</v>
      </c>
      <c r="AL10" s="344">
        <f t="shared" ca="1" si="24"/>
        <v>5.2767199248120296</v>
      </c>
      <c r="AM10" s="344">
        <f t="shared" ca="1" si="49"/>
        <v>1.1772157370335035</v>
      </c>
      <c r="AN10" s="344">
        <f t="shared" ca="1" si="50"/>
        <v>11.94800154403867</v>
      </c>
      <c r="AO10" s="402">
        <f t="shared" ca="1" si="51"/>
        <v>91.030885723079336</v>
      </c>
      <c r="AP10" s="403">
        <f t="shared" si="58"/>
        <v>2.2642857142857147</v>
      </c>
      <c r="AQ10" s="372">
        <f t="shared" ca="1" si="25"/>
        <v>31.516101627532258</v>
      </c>
      <c r="AR10" s="345">
        <f t="shared" ca="1" si="26"/>
        <v>0.78233954475916556</v>
      </c>
      <c r="AS10" s="345">
        <f t="shared" si="27"/>
        <v>0.19979999999999998</v>
      </c>
      <c r="AT10" s="345">
        <f t="shared" si="28"/>
        <v>0.42795000000000005</v>
      </c>
      <c r="AU10" s="345">
        <f t="shared" ca="1" si="52"/>
        <v>0.19356002479727633</v>
      </c>
      <c r="AV10" s="345">
        <f t="shared" ca="1" si="53"/>
        <v>0.34173937482427125</v>
      </c>
      <c r="AW10" s="345">
        <f t="shared" si="29"/>
        <v>2.037857142857143E-2</v>
      </c>
      <c r="AX10" s="345">
        <f t="shared" si="30"/>
        <v>0.14579999999999999</v>
      </c>
      <c r="AY10" s="345">
        <f t="shared" ca="1" si="54"/>
        <v>1.3292279710501189</v>
      </c>
      <c r="AZ10" s="345">
        <f t="shared" ca="1" si="31"/>
        <v>0.21131606454296642</v>
      </c>
      <c r="BA10" s="345">
        <f t="shared" si="32"/>
        <v>3.807E-2</v>
      </c>
      <c r="BB10" s="372">
        <f t="shared" ca="1" si="33"/>
        <v>70.193751015704038</v>
      </c>
      <c r="BC10" s="372">
        <f t="shared" ca="1" si="34"/>
        <v>118.61008059804654</v>
      </c>
      <c r="BD10" s="372">
        <f t="shared" ca="1" si="35"/>
        <v>96.370690485912817</v>
      </c>
      <c r="BE10" s="345">
        <f t="shared" ca="1" si="36"/>
        <v>16.765611244484987</v>
      </c>
      <c r="BF10" s="345">
        <f t="shared" ca="1" si="37"/>
        <v>5.2767199248120296</v>
      </c>
      <c r="BG10" s="345">
        <f t="shared" ca="1" si="55"/>
        <v>1.5786140355930853</v>
      </c>
      <c r="BH10" s="345">
        <f t="shared" ca="1" si="56"/>
        <v>11.94800154403867</v>
      </c>
      <c r="BI10" s="404">
        <f t="shared" ca="1" si="57"/>
        <v>88.329571234580314</v>
      </c>
      <c r="BJ10" s="416"/>
      <c r="BK10" s="417"/>
      <c r="BL10" s="417"/>
      <c r="BM10" s="417"/>
      <c r="BN10" s="417"/>
      <c r="BO10" s="417"/>
      <c r="BP10" s="417"/>
      <c r="BQ10" s="417"/>
      <c r="BR10" s="417"/>
      <c r="BS10" s="417"/>
      <c r="BT10" s="417"/>
      <c r="BU10" s="417"/>
      <c r="BV10" s="417"/>
      <c r="BW10" s="417"/>
      <c r="BX10" s="417"/>
      <c r="BY10" s="417"/>
      <c r="BZ10" s="417"/>
      <c r="CA10" s="417"/>
      <c r="CB10" s="417"/>
      <c r="CC10" s="417"/>
      <c r="CD10" s="417"/>
      <c r="CE10" s="417"/>
      <c r="CF10" s="417"/>
      <c r="CG10" s="417"/>
      <c r="CH10" s="417"/>
      <c r="CI10" s="417"/>
      <c r="CJ10" s="417"/>
      <c r="CK10" s="417"/>
      <c r="CL10" s="417"/>
      <c r="CM10" s="417"/>
      <c r="CN10" s="417"/>
      <c r="CO10" s="417"/>
      <c r="CP10" s="417"/>
      <c r="CQ10" s="417"/>
      <c r="CR10" s="417"/>
      <c r="CS10" s="417"/>
      <c r="CT10" s="417"/>
      <c r="CU10" s="417"/>
      <c r="CV10" s="417"/>
      <c r="CW10" s="417"/>
      <c r="CX10" s="417"/>
      <c r="CY10" s="417"/>
      <c r="CZ10" s="417"/>
      <c r="DA10" s="417"/>
      <c r="DB10" s="417"/>
      <c r="DC10" s="417"/>
      <c r="DD10" s="417"/>
      <c r="DE10" s="417"/>
      <c r="DF10" s="417"/>
      <c r="DG10" s="417"/>
      <c r="DH10" s="417"/>
      <c r="DI10" s="417"/>
      <c r="DJ10" s="417"/>
      <c r="DK10" s="417"/>
      <c r="DL10" s="417"/>
      <c r="DM10" s="417"/>
      <c r="DN10" s="417"/>
      <c r="DO10" s="417"/>
      <c r="DP10" s="417"/>
      <c r="DQ10" s="417"/>
      <c r="DR10" s="417"/>
      <c r="DS10" s="417"/>
      <c r="DT10" s="417"/>
      <c r="DU10" s="417"/>
      <c r="DV10" s="417"/>
      <c r="DW10" s="417"/>
      <c r="DX10" s="417"/>
      <c r="DY10" s="417"/>
      <c r="DZ10" s="417"/>
      <c r="EA10" s="417"/>
      <c r="EB10" s="417"/>
      <c r="EC10" s="417"/>
      <c r="ED10" s="417"/>
      <c r="EE10" s="417"/>
      <c r="EF10" s="417"/>
      <c r="EG10" s="417"/>
      <c r="EH10" s="417"/>
      <c r="EI10" s="417"/>
      <c r="EJ10" s="417"/>
      <c r="EK10" s="417"/>
      <c r="EL10" s="417"/>
      <c r="EM10" s="417"/>
      <c r="EN10" s="417"/>
      <c r="EO10" s="417"/>
      <c r="EP10" s="417"/>
      <c r="EQ10" s="417"/>
      <c r="ER10" s="417"/>
      <c r="ES10" s="417"/>
      <c r="ET10" s="417"/>
      <c r="EU10" s="417"/>
      <c r="EV10" s="417"/>
      <c r="EW10" s="417"/>
      <c r="EX10" s="417"/>
      <c r="EY10" s="417"/>
      <c r="EZ10" s="417"/>
      <c r="FA10" s="417"/>
      <c r="FB10" s="417"/>
      <c r="FC10" s="417"/>
    </row>
    <row r="11" spans="1:159" s="130" customFormat="1" ht="13.5" thickBot="1">
      <c r="A11" s="129">
        <v>25</v>
      </c>
      <c r="B11" s="265">
        <f>Iout</f>
        <v>2.6</v>
      </c>
      <c r="C11" s="159">
        <f t="shared" ca="1" si="0"/>
        <v>93.5</v>
      </c>
      <c r="D11" s="158">
        <f t="shared" ref="D11" ca="1" si="59">IF( ($C$2-B11*(IF(ISBLANK(DCRLo_Sel),DCR_Lo,DCRLo_Sel)/1000*(1+TCR_DCRLo/100*(N11-25))+P11/1000)-Vout_typ) / (IF(ISBLANK(Lo_sel),Lo_Ridley,Lo_sel)/1000000) * C11/100 / (IF(ISBLANK(Fsw_Sel),Fsw_Recom,Fsw_Sel)*1000000) &lt; 0, 0, ($C$2-B11*(IF(ISBLANK(DCRLo_Sel),DCR_Lo,DCRLo_Sel)/1000*(1+TCR_DCRLo/100*(N11-25))+P11/1000)-Vout_typ) / (IF(ISBLANK(Lo_sel),Lo_Ridley,Lo_sel)/1000000) * C11/100 / (IF(ISBLANK(Fsw_Sel),Fsw_Recom,Fsw_Sel)*1000000) )</f>
        <v>0</v>
      </c>
      <c r="E11" s="160">
        <f t="shared" si="2"/>
        <v>4.4399999999999995E-2</v>
      </c>
      <c r="F11" s="160">
        <f t="shared" si="3"/>
        <v>2.4266666666666666E-2</v>
      </c>
      <c r="G11" s="160">
        <f t="shared" ca="1" si="39"/>
        <v>0.68940426426723256</v>
      </c>
      <c r="H11" s="160">
        <f t="shared" ca="1" si="40"/>
        <v>3.8940280969639772E-2</v>
      </c>
      <c r="I11" s="160">
        <f t="shared" si="4"/>
        <v>2.3399999999999997E-2</v>
      </c>
      <c r="J11" s="158">
        <f t="shared" si="5"/>
        <v>3.2399999999999998E-2</v>
      </c>
      <c r="K11" s="160">
        <f t="shared" ca="1" si="41"/>
        <v>0.85281121190353892</v>
      </c>
      <c r="L11" s="160">
        <f t="shared" ca="1" si="6"/>
        <v>0.26356119323623478</v>
      </c>
      <c r="M11" s="160">
        <f t="shared" si="7"/>
        <v>1.8800000000000002E-3</v>
      </c>
      <c r="N11" s="161">
        <f ca="1">K11*Design!$C$12+$A11</f>
        <v>53.995581204720324</v>
      </c>
      <c r="O11" s="161">
        <f t="shared" ca="1" si="8"/>
        <v>109.07259821333932</v>
      </c>
      <c r="P11" s="161">
        <f t="shared" ca="1" si="9"/>
        <v>88.621486048338198</v>
      </c>
      <c r="Q11" s="160">
        <f t="shared" ca="1" si="10"/>
        <v>3.4395906824130513</v>
      </c>
      <c r="R11" s="158">
        <f t="shared" ca="1" si="11"/>
        <v>3.4395906824130513</v>
      </c>
      <c r="S11" s="160">
        <f t="shared" ca="1" si="42"/>
        <v>1.1182524051397738</v>
      </c>
      <c r="T11" s="160">
        <f t="shared" ca="1" si="43"/>
        <v>8.9429357742739342</v>
      </c>
      <c r="U11" s="266">
        <f t="shared" ca="1" si="44"/>
        <v>88.885483650650315</v>
      </c>
      <c r="V11" s="267">
        <f>Iout</f>
        <v>2.6</v>
      </c>
      <c r="W11" s="163">
        <f t="shared" ca="1" si="12"/>
        <v>48.450639655203105</v>
      </c>
      <c r="X11" s="162">
        <f t="shared" ca="1" si="13"/>
        <v>0.61354200769109402</v>
      </c>
      <c r="Y11" s="164">
        <f t="shared" si="14"/>
        <v>0.13319999999999999</v>
      </c>
      <c r="Z11" s="162">
        <f t="shared" si="15"/>
        <v>0.21840000000000001</v>
      </c>
      <c r="AA11" s="164">
        <f t="shared" ca="1" si="46"/>
        <v>0.38056753274185112</v>
      </c>
      <c r="AB11" s="164">
        <f t="shared" ca="1" si="47"/>
        <v>0.32898710066814818</v>
      </c>
      <c r="AC11" s="164">
        <f t="shared" si="16"/>
        <v>2.3399999999999997E-2</v>
      </c>
      <c r="AD11" s="162">
        <f t="shared" si="17"/>
        <v>9.7199999999999995E-2</v>
      </c>
      <c r="AE11" s="164">
        <f t="shared" ca="1" si="48"/>
        <v>1.1817546334099993</v>
      </c>
      <c r="AF11" s="162">
        <f t="shared" ca="1" si="18"/>
        <v>0.27396057240390337</v>
      </c>
      <c r="AG11" s="164">
        <f t="shared" si="19"/>
        <v>1.6920000000000001E-2</v>
      </c>
      <c r="AH11" s="163">
        <f t="shared" ca="1" si="20"/>
        <v>65.179657535939981</v>
      </c>
      <c r="AI11" s="165">
        <f t="shared" ca="1" si="21"/>
        <v>115.65778235716147</v>
      </c>
      <c r="AJ11" s="165">
        <f t="shared" ca="1" si="22"/>
        <v>93.97194816519368</v>
      </c>
      <c r="AK11" s="162">
        <f t="shared" ca="1" si="23"/>
        <v>11.023325277577811</v>
      </c>
      <c r="AL11" s="162">
        <f t="shared" ca="1" si="24"/>
        <v>5.3186842105263157</v>
      </c>
      <c r="AM11" s="164">
        <f t="shared" ca="1" si="49"/>
        <v>1.4726352058139027</v>
      </c>
      <c r="AN11" s="164">
        <f t="shared" ca="1" si="50"/>
        <v>13.82857894736842</v>
      </c>
      <c r="AO11" s="268">
        <f t="shared" ca="1" si="51"/>
        <v>90.375697045533954</v>
      </c>
      <c r="AP11" s="269">
        <f>Iout</f>
        <v>2.6</v>
      </c>
      <c r="AQ11" s="167">
        <f t="shared" ca="1" si="25"/>
        <v>32.193349016992144</v>
      </c>
      <c r="AR11" s="166">
        <f t="shared" ca="1" si="26"/>
        <v>0.79253423151148494</v>
      </c>
      <c r="AS11" s="166">
        <f t="shared" si="27"/>
        <v>0.19979999999999998</v>
      </c>
      <c r="AT11" s="166">
        <f t="shared" si="28"/>
        <v>0.4914</v>
      </c>
      <c r="AU11" s="168">
        <f t="shared" ca="1" si="52"/>
        <v>0.27191055469351111</v>
      </c>
      <c r="AV11" s="168">
        <f t="shared" ca="1" si="53"/>
        <v>0.46532412821235414</v>
      </c>
      <c r="AW11" s="166">
        <f t="shared" si="29"/>
        <v>2.3399999999999997E-2</v>
      </c>
      <c r="AX11" s="166">
        <f t="shared" si="30"/>
        <v>0.14579999999999999</v>
      </c>
      <c r="AY11" s="168">
        <f t="shared" ca="1" si="54"/>
        <v>1.5976346829058654</v>
      </c>
      <c r="AZ11" s="166">
        <f t="shared" ca="1" si="31"/>
        <v>0.28710840890165001</v>
      </c>
      <c r="BA11" s="166">
        <f t="shared" si="32"/>
        <v>3.807E-2</v>
      </c>
      <c r="BB11" s="167">
        <f t="shared" ca="1" si="33"/>
        <v>79.319579218799419</v>
      </c>
      <c r="BC11" s="167">
        <f t="shared" ca="1" si="34"/>
        <v>123.98336824402909</v>
      </c>
      <c r="BD11" s="167">
        <f t="shared" ca="1" si="35"/>
        <v>100.73648669827364</v>
      </c>
      <c r="BE11" s="166">
        <f t="shared" ca="1" si="36"/>
        <v>16.702761080437245</v>
      </c>
      <c r="BF11" s="166">
        <f t="shared" ca="1" si="37"/>
        <v>5.3186842105263157</v>
      </c>
      <c r="BG11" s="168">
        <f t="shared" ca="1" si="55"/>
        <v>1.9228130918075155</v>
      </c>
      <c r="BH11" s="168">
        <f t="shared" ca="1" si="56"/>
        <v>13.82857894736842</v>
      </c>
      <c r="BI11" s="270">
        <f t="shared" ca="1" si="57"/>
        <v>87.792741828625637</v>
      </c>
      <c r="BJ11" s="416"/>
      <c r="BK11" s="417"/>
      <c r="BL11" s="417"/>
      <c r="BM11" s="417"/>
      <c r="BN11" s="417"/>
      <c r="BO11" s="417"/>
      <c r="BP11" s="417"/>
      <c r="BQ11" s="417"/>
      <c r="BR11" s="417"/>
      <c r="BS11" s="417"/>
      <c r="BT11" s="417"/>
      <c r="BU11" s="417"/>
      <c r="BV11" s="417"/>
      <c r="BW11" s="417"/>
      <c r="BX11" s="417"/>
      <c r="BY11" s="417"/>
      <c r="BZ11" s="417"/>
      <c r="CA11" s="417"/>
      <c r="CB11" s="417"/>
      <c r="CC11" s="417"/>
      <c r="CD11" s="417"/>
      <c r="CE11" s="417"/>
      <c r="CF11" s="417"/>
      <c r="CG11" s="417"/>
      <c r="CH11" s="417"/>
      <c r="CI11" s="417"/>
      <c r="CJ11" s="417"/>
      <c r="CK11" s="417"/>
      <c r="CL11" s="417"/>
      <c r="CM11" s="417"/>
      <c r="CN11" s="417"/>
      <c r="CO11" s="417"/>
      <c r="CP11" s="417"/>
      <c r="CQ11" s="417"/>
      <c r="CR11" s="417"/>
      <c r="CS11" s="417"/>
      <c r="CT11" s="417"/>
      <c r="CU11" s="417"/>
      <c r="CV11" s="417"/>
      <c r="CW11" s="417"/>
      <c r="CX11" s="417"/>
      <c r="CY11" s="417"/>
      <c r="CZ11" s="417"/>
      <c r="DA11" s="417"/>
      <c r="DB11" s="417"/>
      <c r="DC11" s="417"/>
      <c r="DD11" s="417"/>
      <c r="DE11" s="417"/>
      <c r="DF11" s="417"/>
      <c r="DG11" s="417"/>
      <c r="DH11" s="417"/>
      <c r="DI11" s="417"/>
      <c r="DJ11" s="417"/>
      <c r="DK11" s="417"/>
      <c r="DL11" s="417"/>
      <c r="DM11" s="417"/>
      <c r="DN11" s="417"/>
      <c r="DO11" s="417"/>
      <c r="DP11" s="417"/>
      <c r="DQ11" s="417"/>
      <c r="DR11" s="417"/>
      <c r="DS11" s="417"/>
      <c r="DT11" s="417"/>
      <c r="DU11" s="417"/>
      <c r="DV11" s="417"/>
      <c r="DW11" s="417"/>
      <c r="DX11" s="417"/>
      <c r="DY11" s="417"/>
      <c r="DZ11" s="417"/>
      <c r="EA11" s="417"/>
      <c r="EB11" s="417"/>
      <c r="EC11" s="417"/>
      <c r="ED11" s="417"/>
      <c r="EE11" s="417"/>
      <c r="EF11" s="417"/>
      <c r="EG11" s="417"/>
      <c r="EH11" s="417"/>
      <c r="EI11" s="417"/>
      <c r="EJ11" s="417"/>
      <c r="EK11" s="417"/>
      <c r="EL11" s="417"/>
      <c r="EM11" s="417"/>
      <c r="EN11" s="417"/>
      <c r="EO11" s="417"/>
      <c r="EP11" s="417"/>
      <c r="EQ11" s="417"/>
      <c r="ER11" s="417"/>
      <c r="ES11" s="417"/>
      <c r="ET11" s="417"/>
      <c r="EU11" s="417"/>
      <c r="EV11" s="417"/>
      <c r="EW11" s="417"/>
      <c r="EX11" s="417"/>
      <c r="EY11" s="417"/>
      <c r="EZ11" s="417"/>
      <c r="FA11" s="417"/>
      <c r="FB11" s="417"/>
      <c r="FC11" s="417"/>
    </row>
    <row r="12" spans="1:159" s="243" customFormat="1" ht="12.75">
      <c r="A12" s="157"/>
      <c r="B12" s="218"/>
      <c r="C12" s="219"/>
      <c r="D12" s="220"/>
      <c r="E12" s="220"/>
      <c r="F12" s="240" t="s">
        <v>264</v>
      </c>
      <c r="G12" s="240" t="s">
        <v>264</v>
      </c>
      <c r="H12" s="240" t="s">
        <v>265</v>
      </c>
      <c r="I12" s="220"/>
      <c r="J12" s="220"/>
      <c r="K12" s="220"/>
      <c r="L12" s="220"/>
      <c r="M12" s="220"/>
      <c r="N12" s="219"/>
      <c r="O12" s="240" t="s">
        <v>264</v>
      </c>
      <c r="P12" s="240" t="s">
        <v>265</v>
      </c>
      <c r="Q12" s="220"/>
      <c r="R12" s="220"/>
      <c r="S12" s="220"/>
      <c r="T12" s="220"/>
      <c r="U12" s="221"/>
      <c r="V12" s="218"/>
      <c r="W12" s="219"/>
      <c r="X12" s="220"/>
      <c r="Y12" s="220"/>
      <c r="Z12" s="240" t="s">
        <v>264</v>
      </c>
      <c r="AA12" s="240" t="s">
        <v>264</v>
      </c>
      <c r="AB12" s="240" t="s">
        <v>265</v>
      </c>
      <c r="AC12" s="220"/>
      <c r="AD12" s="220"/>
      <c r="AE12" s="220"/>
      <c r="AF12" s="220"/>
      <c r="AG12" s="220"/>
      <c r="AH12" s="219"/>
      <c r="AI12" s="240" t="s">
        <v>264</v>
      </c>
      <c r="AJ12" s="240" t="s">
        <v>265</v>
      </c>
      <c r="AK12" s="220"/>
      <c r="AL12" s="220"/>
      <c r="AM12" s="220"/>
      <c r="AN12" s="220"/>
      <c r="AO12" s="221"/>
      <c r="AP12" s="218"/>
      <c r="AQ12" s="219"/>
      <c r="AR12" s="220"/>
      <c r="AS12" s="220"/>
      <c r="AT12" s="240" t="s">
        <v>264</v>
      </c>
      <c r="AU12" s="240" t="s">
        <v>264</v>
      </c>
      <c r="AV12" s="240" t="s">
        <v>265</v>
      </c>
      <c r="AW12" s="220"/>
      <c r="AX12" s="220"/>
      <c r="AY12" s="220"/>
      <c r="AZ12" s="220"/>
      <c r="BA12" s="220"/>
      <c r="BB12" s="219"/>
      <c r="BC12" s="240" t="s">
        <v>264</v>
      </c>
      <c r="BD12" s="240" t="s">
        <v>265</v>
      </c>
      <c r="BE12" s="220"/>
      <c r="BF12" s="220"/>
      <c r="BG12" s="220"/>
      <c r="BH12" s="220"/>
      <c r="BI12" s="221"/>
      <c r="BJ12" s="418"/>
      <c r="BK12" s="419"/>
      <c r="BL12" s="419"/>
      <c r="BM12" s="419"/>
      <c r="BN12" s="419"/>
      <c r="BO12" s="419"/>
      <c r="BP12" s="419"/>
      <c r="BQ12" s="419"/>
      <c r="BR12" s="419"/>
      <c r="BS12" s="419"/>
      <c r="BT12" s="419"/>
      <c r="BU12" s="419"/>
      <c r="BV12" s="419"/>
      <c r="BW12" s="419"/>
      <c r="BX12" s="419"/>
      <c r="BY12" s="419"/>
      <c r="BZ12" s="419"/>
      <c r="CA12" s="419"/>
      <c r="CB12" s="419"/>
      <c r="CC12" s="419"/>
      <c r="CD12" s="419"/>
      <c r="CE12" s="419"/>
      <c r="CF12" s="419"/>
      <c r="CG12" s="419"/>
      <c r="CH12" s="419"/>
      <c r="CI12" s="419"/>
      <c r="CJ12" s="419"/>
      <c r="CK12" s="419"/>
      <c r="CL12" s="419"/>
      <c r="CM12" s="419"/>
      <c r="CN12" s="419"/>
      <c r="CO12" s="419"/>
      <c r="CP12" s="419"/>
      <c r="CQ12" s="419"/>
      <c r="CR12" s="419"/>
      <c r="CS12" s="419"/>
      <c r="CT12" s="419"/>
      <c r="CU12" s="419"/>
      <c r="CV12" s="419"/>
      <c r="CW12" s="419"/>
      <c r="CX12" s="419"/>
      <c r="CY12" s="419"/>
      <c r="CZ12" s="419"/>
      <c r="DA12" s="419"/>
      <c r="DB12" s="419"/>
      <c r="DC12" s="419"/>
      <c r="DD12" s="419"/>
      <c r="DE12" s="419"/>
      <c r="DF12" s="419"/>
      <c r="DG12" s="419"/>
      <c r="DH12" s="419"/>
      <c r="DI12" s="419"/>
      <c r="DJ12" s="419"/>
      <c r="DK12" s="419"/>
      <c r="DL12" s="419"/>
      <c r="DM12" s="419"/>
      <c r="DN12" s="419"/>
      <c r="DO12" s="419"/>
      <c r="DP12" s="419"/>
      <c r="DQ12" s="419"/>
      <c r="DR12" s="419"/>
      <c r="DS12" s="419"/>
      <c r="DT12" s="419"/>
      <c r="DU12" s="419"/>
      <c r="DV12" s="419"/>
      <c r="DW12" s="419"/>
      <c r="DX12" s="419"/>
      <c r="DY12" s="419"/>
      <c r="DZ12" s="419"/>
      <c r="EA12" s="419"/>
      <c r="EB12" s="419"/>
      <c r="EC12" s="419"/>
      <c r="ED12" s="419"/>
      <c r="EE12" s="419"/>
      <c r="EF12" s="419"/>
      <c r="EG12" s="419"/>
      <c r="EH12" s="419"/>
      <c r="EI12" s="419"/>
      <c r="EJ12" s="419"/>
      <c r="EK12" s="419"/>
      <c r="EL12" s="419"/>
      <c r="EM12" s="419"/>
      <c r="EN12" s="419"/>
      <c r="EO12" s="419"/>
      <c r="EP12" s="419"/>
      <c r="EQ12" s="419"/>
      <c r="ER12" s="419"/>
      <c r="ES12" s="419"/>
      <c r="ET12" s="419"/>
      <c r="EU12" s="419"/>
      <c r="EV12" s="419"/>
      <c r="EW12" s="419"/>
      <c r="EX12" s="419"/>
      <c r="EY12" s="419"/>
      <c r="EZ12" s="419"/>
      <c r="FA12" s="419"/>
      <c r="FB12" s="419"/>
      <c r="FC12" s="419"/>
    </row>
    <row r="13" spans="1:159" ht="15.75" thickBot="1">
      <c r="A13" s="179" t="s">
        <v>198</v>
      </c>
      <c r="B13" s="179" t="s">
        <v>93</v>
      </c>
      <c r="C13" s="169" t="s">
        <v>220</v>
      </c>
      <c r="D13" s="169" t="s">
        <v>221</v>
      </c>
      <c r="E13" s="169" t="s">
        <v>94</v>
      </c>
      <c r="F13" s="169" t="s">
        <v>271</v>
      </c>
      <c r="G13" s="169" t="s">
        <v>272</v>
      </c>
      <c r="H13" s="169" t="s">
        <v>272</v>
      </c>
      <c r="I13" s="169" t="s">
        <v>269</v>
      </c>
      <c r="J13" s="169" t="s">
        <v>187</v>
      </c>
      <c r="K13" s="169" t="s">
        <v>232</v>
      </c>
      <c r="L13" s="169" t="s">
        <v>234</v>
      </c>
      <c r="M13" s="169" t="s">
        <v>242</v>
      </c>
      <c r="N13" s="169" t="s">
        <v>254</v>
      </c>
      <c r="O13" s="169" t="s">
        <v>270</v>
      </c>
      <c r="P13" s="169" t="s">
        <v>270</v>
      </c>
      <c r="Q13" s="169" t="s">
        <v>228</v>
      </c>
      <c r="R13" s="169" t="s">
        <v>233</v>
      </c>
      <c r="S13" s="169" t="s">
        <v>235</v>
      </c>
      <c r="T13" s="169" t="s">
        <v>236</v>
      </c>
      <c r="U13" s="217" t="s">
        <v>226</v>
      </c>
      <c r="V13" s="179" t="s">
        <v>93</v>
      </c>
      <c r="W13" s="169" t="s">
        <v>220</v>
      </c>
      <c r="X13" s="169" t="s">
        <v>221</v>
      </c>
      <c r="Y13" s="169" t="s">
        <v>94</v>
      </c>
      <c r="Z13" s="169" t="s">
        <v>271</v>
      </c>
      <c r="AA13" s="169" t="s">
        <v>272</v>
      </c>
      <c r="AB13" s="169" t="s">
        <v>272</v>
      </c>
      <c r="AC13" s="169" t="s">
        <v>269</v>
      </c>
      <c r="AD13" s="169" t="s">
        <v>187</v>
      </c>
      <c r="AE13" s="169" t="s">
        <v>232</v>
      </c>
      <c r="AF13" s="169" t="s">
        <v>234</v>
      </c>
      <c r="AG13" s="169" t="s">
        <v>242</v>
      </c>
      <c r="AH13" s="169" t="s">
        <v>254</v>
      </c>
      <c r="AI13" s="169" t="s">
        <v>270</v>
      </c>
      <c r="AJ13" s="169" t="s">
        <v>270</v>
      </c>
      <c r="AK13" s="169" t="s">
        <v>228</v>
      </c>
      <c r="AL13" s="169" t="s">
        <v>233</v>
      </c>
      <c r="AM13" s="169" t="s">
        <v>235</v>
      </c>
      <c r="AN13" s="169" t="s">
        <v>236</v>
      </c>
      <c r="AO13" s="217" t="s">
        <v>226</v>
      </c>
      <c r="AP13" s="179" t="s">
        <v>93</v>
      </c>
      <c r="AQ13" s="169" t="s">
        <v>220</v>
      </c>
      <c r="AR13" s="169" t="s">
        <v>221</v>
      </c>
      <c r="AS13" s="169" t="s">
        <v>94</v>
      </c>
      <c r="AT13" s="169" t="s">
        <v>271</v>
      </c>
      <c r="AU13" s="169" t="s">
        <v>272</v>
      </c>
      <c r="AV13" s="169" t="s">
        <v>272</v>
      </c>
      <c r="AW13" s="169" t="s">
        <v>269</v>
      </c>
      <c r="AX13" s="169" t="s">
        <v>187</v>
      </c>
      <c r="AY13" s="169" t="s">
        <v>232</v>
      </c>
      <c r="AZ13" s="169" t="s">
        <v>234</v>
      </c>
      <c r="BA13" s="169" t="s">
        <v>242</v>
      </c>
      <c r="BB13" s="169" t="s">
        <v>254</v>
      </c>
      <c r="BC13" s="169" t="s">
        <v>270</v>
      </c>
      <c r="BD13" s="169" t="s">
        <v>270</v>
      </c>
      <c r="BE13" s="169" t="s">
        <v>228</v>
      </c>
      <c r="BF13" s="169" t="s">
        <v>233</v>
      </c>
      <c r="BG13" s="169" t="s">
        <v>235</v>
      </c>
      <c r="BH13" s="169" t="s">
        <v>236</v>
      </c>
      <c r="BI13" s="217" t="s">
        <v>226</v>
      </c>
      <c r="BJ13" s="420"/>
      <c r="BK13" s="421"/>
      <c r="BL13" s="421"/>
      <c r="BM13" s="421"/>
      <c r="BN13" s="421"/>
      <c r="BO13" s="421"/>
      <c r="BP13" s="421"/>
      <c r="BQ13" s="421"/>
      <c r="BR13" s="421"/>
      <c r="BS13" s="421"/>
      <c r="BT13" s="421"/>
      <c r="BU13" s="421"/>
      <c r="BV13" s="421"/>
      <c r="BW13" s="421"/>
      <c r="BX13" s="421"/>
      <c r="BY13" s="421"/>
      <c r="BZ13" s="421"/>
      <c r="CA13" s="421"/>
      <c r="CB13" s="421"/>
      <c r="CC13" s="421"/>
      <c r="CD13" s="421"/>
      <c r="CE13" s="421"/>
      <c r="CF13" s="421"/>
      <c r="CG13" s="421"/>
      <c r="CH13" s="421"/>
      <c r="CI13" s="421"/>
      <c r="CJ13" s="421"/>
      <c r="CK13" s="421"/>
      <c r="CL13" s="421"/>
      <c r="CM13" s="421"/>
      <c r="CN13" s="421"/>
      <c r="CO13" s="421"/>
      <c r="CP13" s="421"/>
      <c r="CQ13" s="421"/>
      <c r="CR13" s="421"/>
      <c r="CS13" s="421"/>
      <c r="CT13" s="421"/>
      <c r="CU13" s="421"/>
    </row>
    <row r="14" spans="1:159" s="374" customFormat="1" ht="12.75" customHeight="1">
      <c r="A14" s="320">
        <f>Design!$D$13</f>
        <v>85</v>
      </c>
      <c r="B14" s="393">
        <v>0.25</v>
      </c>
      <c r="C14" s="326">
        <f t="shared" ref="C14:C21" ca="1" si="60">IF( 100*((Vout_typ+B14*Rwire/1000)+B14*(IF(ISBLANK(DCRLo_Sel),DCR_Lo,DCRLo_Sel)/1000*(1+TCR_DCRLo/100*(N14-25))+P14/1000))/($C$2-B14*O14/1000) &gt; ChosenmaxDuty_max, ChosenmaxDuty_max, 100*((Vout_typ+B14*Rwire/1000)+B14*(IF(ISBLANK(DCRLo_Sel),DCR_Lo,DCRLo_Sel)/1000*(1+TCR_DCRLo/100*(N14-25))+P14/1000))/($C$2-B14*O14/1000) )</f>
        <v>93.5</v>
      </c>
      <c r="D14" s="325">
        <f t="shared" ref="D14:D21" ca="1" si="61">IF( ($C$2-B14*(IF(ISBLANK(DCRLo_Sel),DCR_Lo,DCRLo_Sel)/1000*(1+TCR_DCRLo/100*(N14-25))+P14/1000)-(Vout_typ+B14*Rwire/1000)) / (IF(ISBLANK(Lo_sel),Lo_Ridley,Lo_sel)/1000000) * C14/100 / (IF(ISBLANK(Fsw_Sel),Fsw_Recom,Fsw_Sel)*1000000) &lt; 0, 0, ($C$2-B14*(IF(ISBLANK(DCRLo_Sel),DCR_Lo,DCRLo_Sel)/1000*(1+TCR_DCRLo/100*(N14-25))+P14/1000)-(Vout_typ+B14*Rwire/1000)) / (IF(ISBLANK(Lo_sel),Lo_Ridley,Lo_sel)/1000000) * C14/100 / (IF(ISBLANK(Fsw_Sel),Fsw_Recom,Fsw_Sel)*1000000) )</f>
        <v>0</v>
      </c>
      <c r="E14" s="343">
        <f t="shared" ref="E14:E21" si="62">$C$2*IQ/1000+IF(ISBLANK(Fsw_Sel),Fsw_Recom,Fsw_Sel)*1000000*(QgHS+QgLS)/1000000000*$C$2</f>
        <v>4.4399999999999995E-2</v>
      </c>
      <c r="F14" s="325">
        <f t="shared" ref="F14:F21" si="63">$C$2*B14*($C$2/(SR_rise*1000000000)*IF(ISBLANK(Fsw_Sel),Fsw_Recom,Fsw_Sel)*1000000/2+$C$2/(SR_fall*1000000000)*IF(ISBLANK(Fsw_Sel),Fsw_Recom,Fsw_Sel)*1000000/2)</f>
        <v>2.3333333333333331E-3</v>
      </c>
      <c r="G14" s="325">
        <f ca="1">IF($C$74,1,C14/100*(B14^2+D14^2/12)*O14/1000)</f>
        <v>7.54526365909806E-3</v>
      </c>
      <c r="H14" s="325">
        <f ca="1">IF($C$74,1,(1-C14/100)*(B14^2+D14^2/12)*P14/1000)</f>
        <v>4.2618634972846624E-4</v>
      </c>
      <c r="I14" s="325">
        <f t="shared" ref="I14:I21" si="64">2*B14*tnonOverlap/1000000000*VSD_LS*IF(ISBLANK(Fsw_Sel),Fsw_Recom,Fsw_Sel)*1000000</f>
        <v>2.2499999999999998E-3</v>
      </c>
      <c r="J14" s="325">
        <f t="shared" ref="J14:J21" si="65">(QgHS+QgLS)/1000000000*$C$2*IF(ISBLANK(Fsw_Sel),Fsw_Recom,Fsw_Sel)*1000000</f>
        <v>3.2399999999999998E-2</v>
      </c>
      <c r="K14" s="325">
        <f ca="1">SUM(E14:J14)</f>
        <v>8.9354783342159849E-2</v>
      </c>
      <c r="L14" s="343">
        <f t="shared" ref="L14:L21" ca="1" si="66">B14^2*IF(ISBLANK(DCRLo_Sel),DCR_Lo,DCRLo_Sel)/1000*(1+(N14-25)*(TCR_DCRLo/100))</f>
        <v>2.7294303447035176E-3</v>
      </c>
      <c r="M14" s="343">
        <f t="shared" ref="M14:M21" si="67">0.5*Csnub/1000000000000*$C$2^2*Fsw_Sel*1000000</f>
        <v>1.8800000000000002E-3</v>
      </c>
      <c r="N14" s="326">
        <f t="shared" ref="N14:N21" ca="1" si="68">K14*Rth_typ+$A14</f>
        <v>88.03806263363343</v>
      </c>
      <c r="O14" s="362">
        <f t="shared" ref="O14:O21" ca="1" si="69">RdsHS_max+RdsHS_max*TCR_Rds/100*(N14-25)</f>
        <v>129.11681127868337</v>
      </c>
      <c r="P14" s="326">
        <f t="shared" ref="P14:P21" ca="1" si="70">RdsLS_max+RdsLS_max*TCR_Rds/100*(N14-25)</f>
        <v>104.90740916393024</v>
      </c>
      <c r="Q14" s="343">
        <f t="shared" ref="Q14:Q21" ca="1" si="71">(1-toffmin_typ/1000000000*Fsw_Sel*1000000) * ($C$2-B14*O14/1000) - (B14*DCRLo_Sel/1000)</f>
        <v>3.7605847573213125</v>
      </c>
      <c r="R14" s="343">
        <f t="shared" ref="R14:R21" ca="1" si="72">IF(Q14&gt;(Vout_typ+B14*Rwire/1000),(Vout_typ+B14*Rwire/1000),Q14)</f>
        <v>3.7605847573213125</v>
      </c>
      <c r="S14" s="325">
        <f ca="1">SUM(K14:M14)</f>
        <v>9.3964213686863376E-2</v>
      </c>
      <c r="T14" s="325">
        <f ca="1">R14*B14</f>
        <v>0.94014618933032812</v>
      </c>
      <c r="U14" s="394">
        <f ca="1">100*T14/(T14+S14)</f>
        <v>90.91352205599064</v>
      </c>
      <c r="V14" s="395">
        <v>0.25</v>
      </c>
      <c r="W14" s="332">
        <f t="shared" ref="W14:W21" ca="1" si="73">IF( 100*((Vout_typ+V14*Rwire/1000)+V14*(IF(ISBLANK(DCRLo_Sel),DCR_Lo,DCRLo_Sel)/1000*(1+TCR_DCRLo/100*(AH14-25))+AJ14/1000))/($W$2-V14*AI14/1000) &gt; ChosenmaxDuty_max, ChosenmaxDuty_max, 100*((Vout_typ+V14*Rwire/1000)+V14*(IF(ISBLANK(DCRLo_Sel),DCR_Lo,DCRLo_Sel)/1000*(1+TCR_DCRLo/100*(AH14-25))+AJ14/1000))/($W$2-V14*AI14/1000) )</f>
        <v>42.308525280102067</v>
      </c>
      <c r="X14" s="331">
        <f t="shared" ref="X14:X21" ca="1" si="74">IF( ($W$2-V14*(IF(ISBLANK(DCRLo_Sel),DCR_Lo,DCRLo_Sel)/1000*(1+TCR_DCRLo/100*(AH14-25))+AJ14/1000)-(Vout_typ+V14*Rwire/1000)) / (IF(ISBLANK(Lo_sel),Lo_Ridley,Lo_sel)/1000000) * W14/100 / (IF(ISBLANK(Fsw_Sel),Fsw_Recom,Fsw_Sel)*1000000) &lt; 0, 0, ($W$2-V14*(IF(ISBLANK(DCRLo_Sel),DCR_Lo,DCRLo_Sel)/1000*(1+TCR_DCRLo/100*(AH14-25))+AJ14/1000)-(Vout_typ+V14*Rwire/1000)) / (IF(ISBLANK(Lo_sel),Lo_Ridley,Lo_sel)/1000000) * W14/100 / (IF(ISBLANK(Fsw_Sel),Fsw_Recom,Fsw_Sel)*1000000) )</f>
        <v>0.58698886498984282</v>
      </c>
      <c r="Y14" s="344">
        <f t="shared" ref="Y14:Y21" si="75">$W$2*IQ/1000+IF(ISBLANK(Fsw_Sel),Fsw_Recom,Fsw_Sel)*1000000*(QgHS+QgLS)/1000000000*$W$2</f>
        <v>0.13319999999999999</v>
      </c>
      <c r="Z14" s="331">
        <f t="shared" ref="Z14:Z21" si="76">$W$2*V14*($W$2/(SR_rise*1000000000)*IF(ISBLANK(Fsw_Sel),Fsw_Recom,Fsw_Sel)*1000000/2+$W$2/(SR_fall*1000000000)*IF(ISBLANK(Fsw_Sel),Fsw_Recom,Fsw_Sel)*1000000/2)</f>
        <v>2.1000000000000001E-2</v>
      </c>
      <c r="AA14" s="331">
        <f ca="1">IF($C$74,1,W14/100*(V14^2+X14^2/12)*AI14/1000)</f>
        <v>5.1179926589165915E-3</v>
      </c>
      <c r="AB14" s="331">
        <f ca="1">IF($C$74,1,(1-W14/100)*(V14^2+X14^2/12)*AJ14/1000)</f>
        <v>5.6703097187097325E-3</v>
      </c>
      <c r="AC14" s="344">
        <f t="shared" ref="AC14:AC21" si="77">2*V14*tnonOverlap/1000000000*VSD_LS*IF(ISBLANK(Fsw_Sel),Fsw_Recom,Fsw_Sel)*1000000</f>
        <v>2.2499999999999998E-3</v>
      </c>
      <c r="AD14" s="331">
        <f t="shared" ref="AD14:AD21" si="78">(QgHS+QgLS)/1000000000*$W$2*IF(ISBLANK(Fsw_Sel),Fsw_Recom,Fsw_Sel)*1000000</f>
        <v>9.7199999999999995E-2</v>
      </c>
      <c r="AE14" s="331">
        <f ca="1">SUM(Y14:AD14)</f>
        <v>0.26443830237762633</v>
      </c>
      <c r="AF14" s="331">
        <f t="shared" ref="AF14:AF21" ca="1" si="79">V14^2*IF(ISBLANK(DCRLo_Sel),DCR_Lo,DCRLo_Sel)/1000*(1+(AH14-25)*(TCR_DCRLo/100))</f>
        <v>2.7806061630455906E-3</v>
      </c>
      <c r="AG14" s="331">
        <f t="shared" ref="AG14:AG21" si="80">0.5*Csnub/1000000000000*$W$2^2*Fsw_Sel*1000000</f>
        <v>1.6920000000000001E-2</v>
      </c>
      <c r="AH14" s="332">
        <f t="shared" ref="AH14:AH21" ca="1" si="81">AE14*Rth_typ+$A14</f>
        <v>93.990902280839293</v>
      </c>
      <c r="AI14" s="367">
        <f t="shared" ref="AI14:AI21" ca="1" si="82">RdsHS_max+RdsHS_max*TCR_Rds/100*(AH14-25)</f>
        <v>132.62184326295818</v>
      </c>
      <c r="AJ14" s="367">
        <f t="shared" ref="AJ14:AJ21" ca="1" si="83">RdsLS_max+RdsLS_max*TCR_Rds/100*(AH14-25)</f>
        <v>107.75524765115352</v>
      </c>
      <c r="AK14" s="331">
        <f t="shared" ref="AK14:AK21" ca="1" si="84">(1-toffmin_typ/1000000000*Fsw_Sel*1000000) * ($W$2-V14*AI14/1000) - (V14*DCRLo_Sel/1000)</f>
        <v>11.359752312225048</v>
      </c>
      <c r="AL14" s="331">
        <f t="shared" ref="AL14:AL21" ca="1" si="85">IF(AK14&gt;(Vout_typ+V14*Rwire/1000),(Vout_typ+V14*Rwire/1000),AK14)</f>
        <v>5.0249342105263155</v>
      </c>
      <c r="AM14" s="331">
        <f ca="1">SUM(AE14:AG14)</f>
        <v>0.28413890854067192</v>
      </c>
      <c r="AN14" s="331">
        <f ca="1">AL14*V14</f>
        <v>1.2562335526315789</v>
      </c>
      <c r="AO14" s="396">
        <f ca="1">100*AN14/(AN14+AM14)</f>
        <v>81.553882862561892</v>
      </c>
      <c r="AP14" s="397">
        <v>0.25</v>
      </c>
      <c r="AQ14" s="372">
        <f t="shared" ref="AQ14:AQ21" ca="1" si="86">IF( 100*((Vout_typ+AP14*Rwire/1000)+AP14*(IF(ISBLANK(DCRLo_Sel),DCR_Lo,DCRLo_Sel)/1000*(1+TCR_DCRLo/100*(BB14-25))+BD14/1000))/($AQ$2-AP14*BC14/1000) &gt; ChosenmaxDuty_max, ChosenmaxDuty_max, 100*((Vout_typ+AP14*Rwire/1000)+AP14*(IF(ISBLANK(DCRLo_Sel),DCR_Lo,DCRLo_Sel)/1000*(1+TCR_DCRLo/100*(BB14-25))+BD14/1000))/($AQ$2-AP14*BC14/1000) )</f>
        <v>28.184955171857411</v>
      </c>
      <c r="AR14" s="345">
        <f ca="1">IF( ($AQ$2-AP14*(IF(ISBLANK(DCRLo_Sel),DCR_Lo,DCRLo_Sel)/1000*(1+TCR_DCRLo/100*(BB14-25))+BD14/1000)-(Vout_typ+AP14*Rwire/1000)) / (IF(ISBLANK(Lo_sel),Lo_Ridley,Lo_sel)/1000000) * AQ14/100 / (IF(ISBLANK(Fsw_Sel),Fsw_Recom,Fsw_Sel)*1000000) &lt; 0, 0, ($AQ$2-AP14*(IF(ISBLANK(DCRLo_Sel),DCR_Lo,DCRLo_Sel)/1000*(1+TCR_DCRLo/100*(BB14-25))+BD14/1000)-(Vout_typ+AP14*Rwire/1000)) / (IF(ISBLANK(Lo_sel),Lo_Ridley,Lo_sel)/1000000) * AQ14/100 / (IF(ISBLANK(Fsw_Sel),Fsw_Recom,Fsw_Sel)*1000000) )</f>
        <v>0.72921552875900675</v>
      </c>
      <c r="AS14" s="337">
        <f t="shared" ref="AS14:AS21" si="87">$AQ$2*IQ/1000+IF(ISBLANK(Fsw_Sel),Fsw_Recom,Fsw_Sel)*1000000*(QgHS+QgLS)/1000000000*$AQ$2</f>
        <v>0.19979999999999998</v>
      </c>
      <c r="AT14" s="337">
        <f t="shared" ref="AT14:AT21" si="88">$AQ$2*AP14*($AQ$2/(SR_rise*1000000000)*IF(ISBLANK(Fsw_Sel),Fsw_Recom,Fsw_Sel)*1000000/2+$AQ$2/(SR_fall*1000000000)*IF(ISBLANK(Fsw_Sel),Fsw_Recom,Fsw_Sel)*1000000/2)</f>
        <v>4.7249999999999993E-2</v>
      </c>
      <c r="AU14" s="337">
        <f ca="1">IF($C$74,1,AQ14/100*(AP14^2+AR14^2/12)*BC14/1000)</f>
        <v>4.0788993009350846E-3</v>
      </c>
      <c r="AV14" s="337">
        <f ca="1">IF($C$74,1,(1-AQ14/100)*(AP14^2+AR14^2/12)*BD14/1000)</f>
        <v>8.4443152975590859E-3</v>
      </c>
      <c r="AW14" s="337">
        <f t="shared" ref="AW14:AW21" si="89">2*AP14*tnonOverlap/1000000000*VSD_LS*IF(ISBLANK(Fsw_Sel),Fsw_Recom,Fsw_Sel)*1000000</f>
        <v>2.2499999999999998E-3</v>
      </c>
      <c r="AX14" s="337">
        <f t="shared" ref="AX14:AX21" si="90">(QgHS+QgLS)/1000000000*$AQ$2*IF(ISBLANK(Fsw_Sel),Fsw_Recom,Fsw_Sel)*1000000</f>
        <v>0.14579999999999999</v>
      </c>
      <c r="AY14" s="337">
        <f ca="1">SUM(AS14:AX14)</f>
        <v>0.4076232145984941</v>
      </c>
      <c r="AZ14" s="345">
        <f t="shared" ref="AZ14:AZ21" ca="1" si="91">AP14^2*IF(ISBLANK(DCRLo_Sel),DCR_Lo,DCRLo_Sel)/1000*(1+(BB14-25)*(TCR_DCRLo/100))</f>
        <v>2.822458217982049E-3</v>
      </c>
      <c r="BA14" s="337">
        <f t="shared" ref="BA14:BA21" si="92">0.5*Csnub/1000000000000*$AQ$2^2*Fsw_Sel*1000000</f>
        <v>3.807E-2</v>
      </c>
      <c r="BB14" s="338">
        <f t="shared" ref="BB14:BB21" ca="1" si="93">AY14*Rth_typ+$A14</f>
        <v>98.859189296348802</v>
      </c>
      <c r="BC14" s="338">
        <f t="shared" ref="BC14:BC21" ca="1" si="94">RdsHS_max+RdsHS_max*TCR_Rds/100*(BB14-25)</f>
        <v>135.48829065769019</v>
      </c>
      <c r="BD14" s="338">
        <f t="shared" ref="BD14:BD21" ca="1" si="95">RdsLS_max+RdsLS_max*TCR_Rds/100*(BB14-25)</f>
        <v>110.08423615937326</v>
      </c>
      <c r="BE14" s="337">
        <f t="shared" ref="BE14:BE21" ca="1" si="96">(1-toffmin_typ/1000000000*Fsw_Sel*1000000) * ($AQ$2-AP14*BC14/1000) - (AP14*DCRLo_Sel/1000)</f>
        <v>17.059071530968797</v>
      </c>
      <c r="BF14" s="337">
        <f t="shared" ref="BF14:BF21" ca="1" si="97">IF(BE14&gt;(Vout_typ+AP14*Rwire/1000),(Vout_typ+AP14*Rwire/1000),BE14)</f>
        <v>5.0249342105263155</v>
      </c>
      <c r="BG14" s="337">
        <f ca="1">SUM(AY14:BA14)</f>
        <v>0.44851567281647614</v>
      </c>
      <c r="BH14" s="337">
        <f ca="1">BF14*AP14</f>
        <v>1.2562335526315789</v>
      </c>
      <c r="BI14" s="398">
        <f ca="1">100*BH14/(BH14+BG14)</f>
        <v>73.690225745748975</v>
      </c>
      <c r="BJ14" s="420"/>
      <c r="BK14" s="421"/>
      <c r="BL14" s="421"/>
      <c r="BM14" s="421"/>
      <c r="BN14" s="421"/>
      <c r="BO14" s="421"/>
      <c r="BP14" s="421"/>
      <c r="BQ14" s="421"/>
      <c r="BR14" s="421"/>
      <c r="BS14" s="421"/>
      <c r="BT14" s="421"/>
      <c r="BU14" s="421"/>
      <c r="BV14" s="421"/>
      <c r="BW14" s="421"/>
      <c r="BX14" s="421"/>
      <c r="BY14" s="421"/>
      <c r="BZ14" s="421"/>
      <c r="CA14" s="421"/>
      <c r="CB14" s="421"/>
      <c r="CC14" s="421"/>
      <c r="CD14" s="421"/>
      <c r="CE14" s="421"/>
      <c r="CF14" s="421"/>
      <c r="CG14" s="421"/>
      <c r="CH14" s="421"/>
      <c r="CI14" s="421"/>
      <c r="CJ14" s="421"/>
      <c r="CK14" s="421"/>
      <c r="CL14" s="421"/>
      <c r="CM14" s="421"/>
      <c r="CN14" s="421"/>
      <c r="CO14" s="421"/>
      <c r="CP14" s="421"/>
      <c r="CQ14" s="421"/>
      <c r="CR14" s="421"/>
      <c r="CS14" s="421"/>
      <c r="CT14" s="421"/>
      <c r="CU14" s="421"/>
      <c r="CV14" s="421"/>
      <c r="CW14" s="421"/>
      <c r="CX14" s="421"/>
      <c r="CY14" s="421"/>
      <c r="CZ14" s="421"/>
      <c r="DA14" s="421"/>
      <c r="DB14" s="421"/>
      <c r="DC14" s="421"/>
      <c r="DD14" s="421"/>
      <c r="DE14" s="421"/>
      <c r="DF14" s="421"/>
      <c r="DG14" s="421"/>
      <c r="DH14" s="421"/>
      <c r="DI14" s="421"/>
      <c r="DJ14" s="421"/>
      <c r="DK14" s="421"/>
      <c r="DL14" s="421"/>
      <c r="DM14" s="421"/>
      <c r="DN14" s="421"/>
      <c r="DO14" s="421"/>
      <c r="DP14" s="421"/>
      <c r="DQ14" s="421"/>
      <c r="DR14" s="421"/>
      <c r="DS14" s="421"/>
      <c r="DT14" s="421"/>
      <c r="DU14" s="421"/>
      <c r="DV14" s="421"/>
      <c r="DW14" s="421"/>
      <c r="DX14" s="421"/>
      <c r="DY14" s="421"/>
      <c r="DZ14" s="421"/>
      <c r="EA14" s="421"/>
      <c r="EB14" s="421"/>
      <c r="EC14" s="421"/>
      <c r="ED14" s="421"/>
      <c r="EE14" s="421"/>
      <c r="EF14" s="421"/>
      <c r="EG14" s="421"/>
      <c r="EH14" s="421"/>
      <c r="EI14" s="421"/>
      <c r="EJ14" s="421"/>
      <c r="EK14" s="421"/>
      <c r="EL14" s="421"/>
      <c r="EM14" s="421"/>
      <c r="EN14" s="421"/>
      <c r="EO14" s="421"/>
      <c r="EP14" s="421"/>
      <c r="EQ14" s="421"/>
      <c r="ER14" s="421"/>
      <c r="ES14" s="421"/>
      <c r="ET14" s="421"/>
      <c r="EU14" s="421"/>
      <c r="EV14" s="421"/>
      <c r="EW14" s="421"/>
      <c r="EX14" s="421"/>
      <c r="EY14" s="421"/>
      <c r="EZ14" s="421"/>
      <c r="FA14" s="421"/>
      <c r="FB14" s="421"/>
      <c r="FC14" s="421"/>
    </row>
    <row r="15" spans="1:159" s="374" customFormat="1" ht="12.75" customHeight="1">
      <c r="A15" s="341">
        <f>Design!$D$13</f>
        <v>85</v>
      </c>
      <c r="B15" s="399">
        <f>($B$21-$B$14)/7+B14</f>
        <v>0.58571428571428574</v>
      </c>
      <c r="C15" s="362">
        <f t="shared" ca="1" si="60"/>
        <v>93.5</v>
      </c>
      <c r="D15" s="343">
        <f t="shared" ca="1" si="61"/>
        <v>0</v>
      </c>
      <c r="E15" s="343">
        <f t="shared" si="62"/>
        <v>4.4399999999999995E-2</v>
      </c>
      <c r="F15" s="343">
        <f t="shared" si="63"/>
        <v>5.4666666666666665E-3</v>
      </c>
      <c r="G15" s="343">
        <f t="shared" ref="G15:G21" ca="1" si="98">IF($C$74,1,C15/100*(B15^2+D15^2/12)*O15/1000)</f>
        <v>4.1686941340332254E-2</v>
      </c>
      <c r="H15" s="343">
        <f t="shared" ref="H15:H21" ca="1" si="99">IF($C$74,1,(1-C15/100)*(B15^2+D15^2/12)*P15/1000)</f>
        <v>2.3546434112687656E-3</v>
      </c>
      <c r="I15" s="343">
        <f t="shared" si="64"/>
        <v>5.2714285714285719E-3</v>
      </c>
      <c r="J15" s="343">
        <f t="shared" si="65"/>
        <v>3.2399999999999998E-2</v>
      </c>
      <c r="K15" s="343">
        <f t="shared" ref="K15:K21" ca="1" si="100">SUM(E15:J15)</f>
        <v>0.13157967998969622</v>
      </c>
      <c r="L15" s="343">
        <f t="shared" ca="1" si="66"/>
        <v>1.5049532848345828E-2</v>
      </c>
      <c r="M15" s="343">
        <f t="shared" si="67"/>
        <v>1.8800000000000002E-3</v>
      </c>
      <c r="N15" s="362">
        <f t="shared" ca="1" si="68"/>
        <v>89.473709119649669</v>
      </c>
      <c r="O15" s="362">
        <f t="shared" ca="1" si="69"/>
        <v>129.96211992964973</v>
      </c>
      <c r="P15" s="362">
        <f t="shared" ca="1" si="70"/>
        <v>105.5942224428404</v>
      </c>
      <c r="Q15" s="343">
        <f t="shared" ca="1" si="71"/>
        <v>3.7071853632677159</v>
      </c>
      <c r="R15" s="343">
        <f t="shared" ca="1" si="72"/>
        <v>3.7071853632677159</v>
      </c>
      <c r="S15" s="343">
        <f t="shared" ref="S15:S21" ca="1" si="101">SUM(K15:M15)</f>
        <v>0.14850921283804203</v>
      </c>
      <c r="T15" s="343">
        <f t="shared" ref="T15:T21" ca="1" si="102">R15*B15</f>
        <v>2.1713514270568051</v>
      </c>
      <c r="U15" s="400">
        <f t="shared" ref="U15:U21" ca="1" si="103">100*T15/(T15+S15)</f>
        <v>93.598356285540774</v>
      </c>
      <c r="V15" s="405">
        <f>($V$21-$V$14)/7+V14</f>
        <v>0.58571428571428574</v>
      </c>
      <c r="W15" s="367">
        <f t="shared" ca="1" si="73"/>
        <v>43.256653093950455</v>
      </c>
      <c r="X15" s="344">
        <f t="shared" ca="1" si="74"/>
        <v>0.5920220047639092</v>
      </c>
      <c r="Y15" s="344">
        <f t="shared" si="75"/>
        <v>0.13319999999999999</v>
      </c>
      <c r="Z15" s="344">
        <f t="shared" si="76"/>
        <v>4.9200000000000001E-2</v>
      </c>
      <c r="AA15" s="344">
        <f t="shared" ref="AA15:AA21" ca="1" si="104">IF($C$74,1,W15/100*(V15^2+X15^2/12)*AI15/1000)</f>
        <v>2.1565717063119712E-2</v>
      </c>
      <c r="AB15" s="344">
        <f t="shared" ref="AB15:AB21" ca="1" si="105">IF($C$74,1,(1-W15/100)*(V15^2+X15^2/12)*AJ15/1000)</f>
        <v>2.2985254004052394E-2</v>
      </c>
      <c r="AC15" s="344">
        <f t="shared" si="77"/>
        <v>5.2714285714285719E-3</v>
      </c>
      <c r="AD15" s="344">
        <f t="shared" si="78"/>
        <v>9.7199999999999995E-2</v>
      </c>
      <c r="AE15" s="344">
        <f t="shared" ref="AE15:AE21" ca="1" si="106">SUM(Y15:AD15)</f>
        <v>0.32942239963860065</v>
      </c>
      <c r="AF15" s="344">
        <f t="shared" ca="1" si="79"/>
        <v>1.5366950605483947E-2</v>
      </c>
      <c r="AG15" s="344">
        <f t="shared" si="80"/>
        <v>1.6920000000000001E-2</v>
      </c>
      <c r="AH15" s="367">
        <f t="shared" ca="1" si="81"/>
        <v>96.200361587712422</v>
      </c>
      <c r="AI15" s="367">
        <f t="shared" ca="1" si="82"/>
        <v>133.92277290284508</v>
      </c>
      <c r="AJ15" s="367">
        <f t="shared" ca="1" si="83"/>
        <v>108.81225298356162</v>
      </c>
      <c r="AK15" s="344">
        <f t="shared" ca="1" si="84"/>
        <v>11.304981542791916</v>
      </c>
      <c r="AL15" s="344">
        <f t="shared" ca="1" si="85"/>
        <v>5.0668984962406016</v>
      </c>
      <c r="AM15" s="344">
        <f t="shared" ref="AM15:AM21" ca="1" si="107">SUM(AE15:AG15)</f>
        <v>0.36170935024408457</v>
      </c>
      <c r="AN15" s="344">
        <f t="shared" ref="AN15:AN21" ca="1" si="108">AL15*V15</f>
        <v>2.9677548335123527</v>
      </c>
      <c r="AO15" s="402">
        <f t="shared" ref="AO15:AO21" ca="1" si="109">100*AN15/(AN15+AM15)</f>
        <v>89.136109287231037</v>
      </c>
      <c r="AP15" s="403">
        <f>($AP$21-$AP$14)/7+AP14</f>
        <v>0.58571428571428574</v>
      </c>
      <c r="AQ15" s="372">
        <f t="shared" ca="1" si="86"/>
        <v>28.790239497160798</v>
      </c>
      <c r="AR15" s="345">
        <f t="shared" ref="AR15:AR21" ca="1" si="110">IF( ($AQ$2-AP15*(IF(ISBLANK(DCRLo_Sel),DCR_Lo,DCRLo_Sel)/1000*(1+TCR_DCRLo/100*(BB15-25))+BD15/1000)-Vout_typ) / (IF(ISBLANK(Lo_sel),Lo_Ridley,Lo_sel)/1000000) * AQ15/100 / (IF(ISBLANK(Fsw_Sel),Fsw_Recom,Fsw_Sel)*1000000) &lt; 0, 0, ($AQ$2-AP15*(IF(ISBLANK(DCRLo_Sel),DCR_Lo,DCRLo_Sel)/1000*(1+TCR_DCRLo/100*(BB15-25))+BD15/1000)-Vout_typ) / (IF(ISBLANK(Lo_sel),Lo_Ridley,Lo_sel)/1000000) * AQ15/100 / (IF(ISBLANK(Fsw_Sel),Fsw_Recom,Fsw_Sel)*1000000) )</f>
        <v>0.74360334562229091</v>
      </c>
      <c r="AS15" s="345">
        <f t="shared" si="87"/>
        <v>0.19979999999999998</v>
      </c>
      <c r="AT15" s="345">
        <f t="shared" si="88"/>
        <v>0.11069999999999999</v>
      </c>
      <c r="AU15" s="345">
        <f t="shared" ref="AU15:AU21" ca="1" si="111">IF($C$74,1,AQ15/100*(AP15^2+AR15^2/12)*BC15/1000)</f>
        <v>1.5404321254132512E-2</v>
      </c>
      <c r="AV15" s="345">
        <f t="shared" ref="AV15:AV21" ca="1" si="112">IF($C$74,1,(1-AQ15/100)*(AP15^2+AR15^2/12)*BD15/1000)</f>
        <v>3.095709388595206E-2</v>
      </c>
      <c r="AW15" s="345">
        <f t="shared" si="89"/>
        <v>5.2714285714285719E-3</v>
      </c>
      <c r="AX15" s="345">
        <f t="shared" si="90"/>
        <v>0.14579999999999999</v>
      </c>
      <c r="AY15" s="345">
        <f t="shared" ref="AY15:AY21" ca="1" si="113">SUM(AS15:AX15)</f>
        <v>0.50793284371151315</v>
      </c>
      <c r="AZ15" s="345">
        <f t="shared" ca="1" si="91"/>
        <v>1.5653351767396344E-2</v>
      </c>
      <c r="BA15" s="345">
        <f t="shared" si="92"/>
        <v>3.807E-2</v>
      </c>
      <c r="BB15" s="372">
        <f t="shared" ca="1" si="93"/>
        <v>102.26971668619144</v>
      </c>
      <c r="BC15" s="372">
        <f t="shared" ca="1" si="94"/>
        <v>137.49640918482953</v>
      </c>
      <c r="BD15" s="372">
        <f t="shared" ca="1" si="95"/>
        <v>111.71583246267399</v>
      </c>
      <c r="BE15" s="345">
        <f t="shared" ca="1" si="96"/>
        <v>17.002993069460725</v>
      </c>
      <c r="BF15" s="345">
        <f t="shared" ca="1" si="97"/>
        <v>5.0668984962406016</v>
      </c>
      <c r="BG15" s="345">
        <f t="shared" ref="BG15:BG21" ca="1" si="114">SUM(AY15:BA15)</f>
        <v>0.56165619547890955</v>
      </c>
      <c r="BH15" s="345">
        <f t="shared" ref="BH15:BH21" ca="1" si="115">BF15*AP15</f>
        <v>2.9677548335123527</v>
      </c>
      <c r="BI15" s="404">
        <f t="shared" ref="BI15:BI21" ca="1" si="116">100*BH15/(BH15+BG15)</f>
        <v>84.086404477535837</v>
      </c>
      <c r="BJ15" s="420"/>
      <c r="BK15" s="421"/>
      <c r="BL15" s="421"/>
      <c r="BM15" s="421"/>
      <c r="BN15" s="421"/>
      <c r="BO15" s="421"/>
      <c r="BP15" s="421"/>
      <c r="BQ15" s="421"/>
      <c r="BR15" s="421"/>
      <c r="BS15" s="421"/>
      <c r="BT15" s="421"/>
      <c r="BU15" s="421"/>
      <c r="BV15" s="421"/>
      <c r="BW15" s="421"/>
      <c r="BX15" s="421"/>
      <c r="BY15" s="421"/>
      <c r="BZ15" s="421"/>
      <c r="CA15" s="421"/>
      <c r="CB15" s="421"/>
      <c r="CC15" s="421"/>
      <c r="CD15" s="421"/>
      <c r="CE15" s="421"/>
      <c r="CF15" s="421"/>
      <c r="CG15" s="421"/>
      <c r="CH15" s="421"/>
      <c r="CI15" s="421"/>
      <c r="CJ15" s="421"/>
      <c r="CK15" s="421"/>
      <c r="CL15" s="421"/>
      <c r="CM15" s="421"/>
      <c r="CN15" s="421"/>
      <c r="CO15" s="421"/>
      <c r="CP15" s="421"/>
      <c r="CQ15" s="421"/>
      <c r="CR15" s="421"/>
      <c r="CS15" s="421"/>
      <c r="CT15" s="421"/>
      <c r="CU15" s="421"/>
      <c r="CV15" s="421"/>
      <c r="CW15" s="421"/>
      <c r="CX15" s="421"/>
      <c r="CY15" s="421"/>
      <c r="CZ15" s="421"/>
      <c r="DA15" s="421"/>
      <c r="DB15" s="421"/>
      <c r="DC15" s="421"/>
      <c r="DD15" s="421"/>
      <c r="DE15" s="421"/>
      <c r="DF15" s="421"/>
      <c r="DG15" s="421"/>
      <c r="DH15" s="421"/>
      <c r="DI15" s="421"/>
      <c r="DJ15" s="421"/>
      <c r="DK15" s="421"/>
      <c r="DL15" s="421"/>
      <c r="DM15" s="421"/>
      <c r="DN15" s="421"/>
      <c r="DO15" s="421"/>
      <c r="DP15" s="421"/>
      <c r="DQ15" s="421"/>
      <c r="DR15" s="421"/>
      <c r="DS15" s="421"/>
      <c r="DT15" s="421"/>
      <c r="DU15" s="421"/>
      <c r="DV15" s="421"/>
      <c r="DW15" s="421"/>
      <c r="DX15" s="421"/>
      <c r="DY15" s="421"/>
      <c r="DZ15" s="421"/>
      <c r="EA15" s="421"/>
      <c r="EB15" s="421"/>
      <c r="EC15" s="421"/>
      <c r="ED15" s="421"/>
      <c r="EE15" s="421"/>
      <c r="EF15" s="421"/>
      <c r="EG15" s="421"/>
      <c r="EH15" s="421"/>
      <c r="EI15" s="421"/>
      <c r="EJ15" s="421"/>
      <c r="EK15" s="421"/>
      <c r="EL15" s="421"/>
      <c r="EM15" s="421"/>
      <c r="EN15" s="421"/>
      <c r="EO15" s="421"/>
      <c r="EP15" s="421"/>
      <c r="EQ15" s="421"/>
      <c r="ER15" s="421"/>
      <c r="ES15" s="421"/>
      <c r="ET15" s="421"/>
      <c r="EU15" s="421"/>
      <c r="EV15" s="421"/>
      <c r="EW15" s="421"/>
      <c r="EX15" s="421"/>
      <c r="EY15" s="421"/>
      <c r="EZ15" s="421"/>
      <c r="FA15" s="421"/>
      <c r="FB15" s="421"/>
      <c r="FC15" s="421"/>
    </row>
    <row r="16" spans="1:159" s="374" customFormat="1" ht="12.75" customHeight="1">
      <c r="A16" s="341">
        <f>Design!$D$13</f>
        <v>85</v>
      </c>
      <c r="B16" s="399">
        <f t="shared" ref="B16:B20" si="117">($B$21-$B$14)/7+B15</f>
        <v>0.92142857142857149</v>
      </c>
      <c r="C16" s="362">
        <f t="shared" ca="1" si="60"/>
        <v>93.5</v>
      </c>
      <c r="D16" s="343">
        <f t="shared" ca="1" si="61"/>
        <v>0</v>
      </c>
      <c r="E16" s="343">
        <f t="shared" si="62"/>
        <v>4.4399999999999995E-2</v>
      </c>
      <c r="F16" s="343">
        <f t="shared" si="63"/>
        <v>8.6E-3</v>
      </c>
      <c r="G16" s="343">
        <f t="shared" ca="1" si="98"/>
        <v>0.1043189895377248</v>
      </c>
      <c r="H16" s="343">
        <f t="shared" ca="1" si="99"/>
        <v>5.8923493422043697E-3</v>
      </c>
      <c r="I16" s="343">
        <f t="shared" si="64"/>
        <v>8.2928571428571435E-3</v>
      </c>
      <c r="J16" s="343">
        <f t="shared" si="65"/>
        <v>3.2399999999999998E-2</v>
      </c>
      <c r="K16" s="343">
        <f t="shared" ca="1" si="100"/>
        <v>0.20390419602278625</v>
      </c>
      <c r="L16" s="343">
        <f t="shared" ca="1" si="66"/>
        <v>3.7532755604982419E-2</v>
      </c>
      <c r="M16" s="343">
        <f t="shared" si="67"/>
        <v>1.8800000000000002E-3</v>
      </c>
      <c r="N16" s="362">
        <f t="shared" ca="1" si="68"/>
        <v>91.932742664774736</v>
      </c>
      <c r="O16" s="362">
        <f t="shared" ca="1" si="69"/>
        <v>131.40999888101936</v>
      </c>
      <c r="P16" s="362">
        <f t="shared" ca="1" si="70"/>
        <v>106.77062409082824</v>
      </c>
      <c r="Q16" s="343">
        <f t="shared" ca="1" si="71"/>
        <v>3.6527193188366507</v>
      </c>
      <c r="R16" s="343">
        <f t="shared" ca="1" si="72"/>
        <v>3.6527193188366507</v>
      </c>
      <c r="S16" s="343">
        <f t="shared" ca="1" si="101"/>
        <v>0.24331695162776867</v>
      </c>
      <c r="T16" s="343">
        <f t="shared" ca="1" si="102"/>
        <v>3.3657199437851997</v>
      </c>
      <c r="U16" s="400">
        <f t="shared" ca="1" si="103"/>
        <v>93.258119584839349</v>
      </c>
      <c r="V16" s="405">
        <f t="shared" ref="V16:V20" si="118">($V$21-$V$14)/7+V15</f>
        <v>0.92142857142857149</v>
      </c>
      <c r="W16" s="367">
        <f t="shared" ca="1" si="73"/>
        <v>44.229555039586131</v>
      </c>
      <c r="X16" s="344">
        <f t="shared" ca="1" si="74"/>
        <v>0.59690400927056297</v>
      </c>
      <c r="Y16" s="344">
        <f t="shared" si="75"/>
        <v>0.13319999999999999</v>
      </c>
      <c r="Z16" s="344">
        <f t="shared" si="76"/>
        <v>7.7399999999999997E-2</v>
      </c>
      <c r="AA16" s="344">
        <f t="shared" ca="1" si="104"/>
        <v>5.2777348020662279E-2</v>
      </c>
      <c r="AB16" s="344">
        <f t="shared" ca="1" si="105"/>
        <v>5.4070759846005616E-2</v>
      </c>
      <c r="AC16" s="344">
        <f t="shared" si="77"/>
        <v>8.2928571428571435E-3</v>
      </c>
      <c r="AD16" s="344">
        <f t="shared" si="78"/>
        <v>9.7199999999999995E-2</v>
      </c>
      <c r="AE16" s="344">
        <f t="shared" ca="1" si="106"/>
        <v>0.42294096500952505</v>
      </c>
      <c r="AF16" s="344">
        <f t="shared" ca="1" si="79"/>
        <v>3.8402476462859707E-2</v>
      </c>
      <c r="AG16" s="344">
        <f t="shared" si="80"/>
        <v>1.6920000000000001E-2</v>
      </c>
      <c r="AH16" s="367">
        <f t="shared" ca="1" si="81"/>
        <v>99.379992810323856</v>
      </c>
      <c r="AI16" s="367">
        <f t="shared" ca="1" si="82"/>
        <v>135.7949397667187</v>
      </c>
      <c r="AJ16" s="367">
        <f t="shared" ca="1" si="83"/>
        <v>110.33338856045893</v>
      </c>
      <c r="AK16" s="344">
        <f t="shared" ca="1" si="84"/>
        <v>11.248880929511348</v>
      </c>
      <c r="AL16" s="344">
        <f t="shared" ca="1" si="85"/>
        <v>5.1088627819548869</v>
      </c>
      <c r="AM16" s="344">
        <f t="shared" ca="1" si="107"/>
        <v>0.47826344147238475</v>
      </c>
      <c r="AN16" s="344">
        <f t="shared" ca="1" si="108"/>
        <v>4.7074521348012892</v>
      </c>
      <c r="AO16" s="402">
        <f t="shared" ca="1" si="109"/>
        <v>90.777291302658512</v>
      </c>
      <c r="AP16" s="403">
        <f t="shared" ref="AP16:AP20" si="119">($AP$21-$AP$14)/7+AP15</f>
        <v>0.92142857142857149</v>
      </c>
      <c r="AQ16" s="372">
        <f t="shared" ca="1" si="86"/>
        <v>29.41277699509455</v>
      </c>
      <c r="AR16" s="345">
        <f t="shared" ca="1" si="110"/>
        <v>0.75642856916787005</v>
      </c>
      <c r="AS16" s="345">
        <f t="shared" si="87"/>
        <v>0.19979999999999998</v>
      </c>
      <c r="AT16" s="345">
        <f t="shared" si="88"/>
        <v>0.17414999999999997</v>
      </c>
      <c r="AU16" s="345">
        <f t="shared" ca="1" si="111"/>
        <v>3.6946052008237092E-2</v>
      </c>
      <c r="AV16" s="345">
        <f t="shared" ca="1" si="112"/>
        <v>7.2041288733519157E-2</v>
      </c>
      <c r="AW16" s="345">
        <f t="shared" si="89"/>
        <v>8.2928571428571435E-3</v>
      </c>
      <c r="AX16" s="345">
        <f t="shared" si="90"/>
        <v>0.14579999999999999</v>
      </c>
      <c r="AY16" s="345">
        <f t="shared" ca="1" si="113"/>
        <v>0.63703019788461335</v>
      </c>
      <c r="AZ16" s="345">
        <f t="shared" ca="1" si="91"/>
        <v>3.9252552329755316E-2</v>
      </c>
      <c r="BA16" s="345">
        <f t="shared" si="92"/>
        <v>3.807E-2</v>
      </c>
      <c r="BB16" s="372">
        <f t="shared" ca="1" si="93"/>
        <v>106.65902672807685</v>
      </c>
      <c r="BC16" s="372">
        <f t="shared" ca="1" si="94"/>
        <v>140.08083493749166</v>
      </c>
      <c r="BD16" s="372">
        <f t="shared" ca="1" si="95"/>
        <v>113.81567838671197</v>
      </c>
      <c r="BE16" s="345">
        <f t="shared" ca="1" si="96"/>
        <v>16.945129240560071</v>
      </c>
      <c r="BF16" s="345">
        <f t="shared" ca="1" si="97"/>
        <v>5.1088627819548869</v>
      </c>
      <c r="BG16" s="345">
        <f t="shared" ca="1" si="114"/>
        <v>0.71435275021436873</v>
      </c>
      <c r="BH16" s="345">
        <f t="shared" ca="1" si="115"/>
        <v>4.7074521348012892</v>
      </c>
      <c r="BI16" s="404">
        <f t="shared" ca="1" si="116"/>
        <v>86.824447478944904</v>
      </c>
      <c r="BJ16" s="420"/>
      <c r="BK16" s="421"/>
      <c r="BL16" s="421"/>
      <c r="BM16" s="421"/>
      <c r="BN16" s="421"/>
      <c r="BO16" s="421"/>
      <c r="BP16" s="421"/>
      <c r="BQ16" s="421"/>
      <c r="BR16" s="421"/>
      <c r="BS16" s="421"/>
      <c r="BT16" s="421"/>
      <c r="BU16" s="421"/>
      <c r="BV16" s="421"/>
      <c r="BW16" s="421"/>
      <c r="BX16" s="421"/>
      <c r="BY16" s="421"/>
      <c r="BZ16" s="421"/>
      <c r="CA16" s="421"/>
      <c r="CB16" s="421"/>
      <c r="CC16" s="421"/>
      <c r="CD16" s="421"/>
      <c r="CE16" s="421"/>
      <c r="CF16" s="421"/>
      <c r="CG16" s="421"/>
      <c r="CH16" s="421"/>
      <c r="CI16" s="421"/>
      <c r="CJ16" s="421"/>
      <c r="CK16" s="421"/>
      <c r="CL16" s="421"/>
      <c r="CM16" s="421"/>
      <c r="CN16" s="421"/>
      <c r="CO16" s="421"/>
      <c r="CP16" s="421"/>
      <c r="CQ16" s="421"/>
      <c r="CR16" s="421"/>
      <c r="CS16" s="421"/>
      <c r="CT16" s="421"/>
      <c r="CU16" s="421"/>
      <c r="CV16" s="421"/>
      <c r="CW16" s="421"/>
      <c r="CX16" s="421"/>
      <c r="CY16" s="421"/>
      <c r="CZ16" s="421"/>
      <c r="DA16" s="421"/>
      <c r="DB16" s="421"/>
      <c r="DC16" s="421"/>
      <c r="DD16" s="421"/>
      <c r="DE16" s="421"/>
      <c r="DF16" s="421"/>
      <c r="DG16" s="421"/>
      <c r="DH16" s="421"/>
      <c r="DI16" s="421"/>
      <c r="DJ16" s="421"/>
      <c r="DK16" s="421"/>
      <c r="DL16" s="421"/>
      <c r="DM16" s="421"/>
      <c r="DN16" s="421"/>
      <c r="DO16" s="421"/>
      <c r="DP16" s="421"/>
      <c r="DQ16" s="421"/>
      <c r="DR16" s="421"/>
      <c r="DS16" s="421"/>
      <c r="DT16" s="421"/>
      <c r="DU16" s="421"/>
      <c r="DV16" s="421"/>
      <c r="DW16" s="421"/>
      <c r="DX16" s="421"/>
      <c r="DY16" s="421"/>
      <c r="DZ16" s="421"/>
      <c r="EA16" s="421"/>
      <c r="EB16" s="421"/>
      <c r="EC16" s="421"/>
      <c r="ED16" s="421"/>
      <c r="EE16" s="421"/>
      <c r="EF16" s="421"/>
      <c r="EG16" s="421"/>
      <c r="EH16" s="421"/>
      <c r="EI16" s="421"/>
      <c r="EJ16" s="421"/>
      <c r="EK16" s="421"/>
      <c r="EL16" s="421"/>
      <c r="EM16" s="421"/>
      <c r="EN16" s="421"/>
      <c r="EO16" s="421"/>
      <c r="EP16" s="421"/>
      <c r="EQ16" s="421"/>
      <c r="ER16" s="421"/>
      <c r="ES16" s="421"/>
      <c r="ET16" s="421"/>
      <c r="EU16" s="421"/>
      <c r="EV16" s="421"/>
      <c r="EW16" s="421"/>
      <c r="EX16" s="421"/>
      <c r="EY16" s="421"/>
      <c r="EZ16" s="421"/>
      <c r="FA16" s="421"/>
      <c r="FB16" s="421"/>
      <c r="FC16" s="421"/>
    </row>
    <row r="17" spans="1:159" s="374" customFormat="1" ht="12.75" customHeight="1">
      <c r="A17" s="341">
        <f>Design!$D$13</f>
        <v>85</v>
      </c>
      <c r="B17" s="399">
        <f t="shared" si="117"/>
        <v>1.2571428571428571</v>
      </c>
      <c r="C17" s="362">
        <f t="shared" ca="1" si="60"/>
        <v>93.5</v>
      </c>
      <c r="D17" s="343">
        <f t="shared" ca="1" si="61"/>
        <v>0</v>
      </c>
      <c r="E17" s="343">
        <f t="shared" si="62"/>
        <v>4.4399999999999995E-2</v>
      </c>
      <c r="F17" s="343">
        <f t="shared" si="63"/>
        <v>1.1733333333333332E-2</v>
      </c>
      <c r="G17" s="343">
        <f t="shared" ca="1" si="98"/>
        <v>0.1972691759561673</v>
      </c>
      <c r="H17" s="343">
        <f t="shared" ca="1" si="99"/>
        <v>1.1142543695385112E-2</v>
      </c>
      <c r="I17" s="343">
        <f t="shared" si="64"/>
        <v>1.1314285714285714E-2</v>
      </c>
      <c r="J17" s="343">
        <f t="shared" si="65"/>
        <v>3.2399999999999998E-2</v>
      </c>
      <c r="K17" s="343">
        <f t="shared" ca="1" si="100"/>
        <v>0.30825933869917144</v>
      </c>
      <c r="L17" s="343">
        <f t="shared" ca="1" si="66"/>
        <v>7.0635768298639989E-2</v>
      </c>
      <c r="M17" s="343">
        <f t="shared" si="67"/>
        <v>1.8800000000000002E-3</v>
      </c>
      <c r="N17" s="362">
        <f t="shared" ca="1" si="68"/>
        <v>95.480817515771832</v>
      </c>
      <c r="O17" s="362">
        <f t="shared" ca="1" si="69"/>
        <v>133.49910535328644</v>
      </c>
      <c r="P17" s="362">
        <f t="shared" ca="1" si="70"/>
        <v>108.46802309954525</v>
      </c>
      <c r="Q17" s="343">
        <f t="shared" ca="1" si="71"/>
        <v>3.5965639256066462</v>
      </c>
      <c r="R17" s="343">
        <f t="shared" ca="1" si="72"/>
        <v>3.5965639256066462</v>
      </c>
      <c r="S17" s="343">
        <f t="shared" ca="1" si="101"/>
        <v>0.38077510699781142</v>
      </c>
      <c r="T17" s="343">
        <f t="shared" ca="1" si="102"/>
        <v>4.5213946493340691</v>
      </c>
      <c r="U17" s="400">
        <f t="shared" ca="1" si="103"/>
        <v>92.232518947227732</v>
      </c>
      <c r="V17" s="405">
        <f t="shared" si="118"/>
        <v>1.2571428571428571</v>
      </c>
      <c r="W17" s="367">
        <f t="shared" ca="1" si="73"/>
        <v>45.235849501616585</v>
      </c>
      <c r="X17" s="344">
        <f t="shared" ca="1" si="74"/>
        <v>0.60166719501827848</v>
      </c>
      <c r="Y17" s="344">
        <f t="shared" si="75"/>
        <v>0.13319999999999999</v>
      </c>
      <c r="Z17" s="344">
        <f t="shared" si="76"/>
        <v>0.1056</v>
      </c>
      <c r="AA17" s="344">
        <f t="shared" ca="1" si="104"/>
        <v>0.10074612918948923</v>
      </c>
      <c r="AB17" s="344">
        <f t="shared" ca="1" si="105"/>
        <v>9.909810352855862E-2</v>
      </c>
      <c r="AC17" s="344">
        <f t="shared" si="77"/>
        <v>1.1314285714285714E-2</v>
      </c>
      <c r="AD17" s="344">
        <f t="shared" si="78"/>
        <v>9.7199999999999995E-2</v>
      </c>
      <c r="AE17" s="344">
        <f t="shared" ca="1" si="106"/>
        <v>0.54715851843233354</v>
      </c>
      <c r="AF17" s="344">
        <f t="shared" ca="1" si="79"/>
        <v>7.2401494797341412E-2</v>
      </c>
      <c r="AG17" s="344">
        <f t="shared" si="80"/>
        <v>1.6920000000000001E-2</v>
      </c>
      <c r="AH17" s="367">
        <f t="shared" ca="1" si="81"/>
        <v>103.60338962669934</v>
      </c>
      <c r="AI17" s="367">
        <f t="shared" ca="1" si="82"/>
        <v>138.28167581220058</v>
      </c>
      <c r="AJ17" s="367">
        <f t="shared" ca="1" si="83"/>
        <v>112.35386159741296</v>
      </c>
      <c r="AK17" s="344">
        <f t="shared" ca="1" si="84"/>
        <v>11.190852170029999</v>
      </c>
      <c r="AL17" s="344">
        <f t="shared" ca="1" si="85"/>
        <v>5.150827067669173</v>
      </c>
      <c r="AM17" s="344">
        <f t="shared" ca="1" si="107"/>
        <v>0.63648001322967496</v>
      </c>
      <c r="AN17" s="344">
        <f t="shared" ca="1" si="108"/>
        <v>6.4753254564983891</v>
      </c>
      <c r="AO17" s="402">
        <f t="shared" ca="1" si="109"/>
        <v>91.050373692884307</v>
      </c>
      <c r="AP17" s="403">
        <f t="shared" si="119"/>
        <v>1.2571428571428571</v>
      </c>
      <c r="AQ17" s="372">
        <f t="shared" ca="1" si="86"/>
        <v>30.057768071030566</v>
      </c>
      <c r="AR17" s="345">
        <f t="shared" ca="1" si="110"/>
        <v>0.76953237183148138</v>
      </c>
      <c r="AS17" s="345">
        <f t="shared" si="87"/>
        <v>0.19979999999999998</v>
      </c>
      <c r="AT17" s="345">
        <f t="shared" si="88"/>
        <v>0.23759999999999995</v>
      </c>
      <c r="AU17" s="345">
        <f t="shared" ca="1" si="111"/>
        <v>7.0194077988057546E-2</v>
      </c>
      <c r="AV17" s="345">
        <f t="shared" ca="1" si="112"/>
        <v>0.13271090214521888</v>
      </c>
      <c r="AW17" s="345">
        <f t="shared" si="89"/>
        <v>1.1314285714285714E-2</v>
      </c>
      <c r="AX17" s="345">
        <f t="shared" si="90"/>
        <v>0.14579999999999999</v>
      </c>
      <c r="AY17" s="345">
        <f t="shared" ca="1" si="113"/>
        <v>0.79741926584756206</v>
      </c>
      <c r="AZ17" s="345">
        <f t="shared" ca="1" si="91"/>
        <v>7.4251195720506827E-2</v>
      </c>
      <c r="BA17" s="345">
        <f t="shared" si="92"/>
        <v>3.807E-2</v>
      </c>
      <c r="BB17" s="372">
        <f t="shared" ca="1" si="93"/>
        <v>112.11225503881711</v>
      </c>
      <c r="BC17" s="372">
        <f t="shared" ca="1" si="94"/>
        <v>143.29169576685553</v>
      </c>
      <c r="BD17" s="372">
        <f t="shared" ca="1" si="95"/>
        <v>116.42450281057012</v>
      </c>
      <c r="BE17" s="345">
        <f t="shared" ca="1" si="96"/>
        <v>16.88486877476987</v>
      </c>
      <c r="BF17" s="345">
        <f t="shared" ca="1" si="97"/>
        <v>5.150827067669173</v>
      </c>
      <c r="BG17" s="345">
        <f t="shared" ca="1" si="114"/>
        <v>0.90974046156806898</v>
      </c>
      <c r="BH17" s="345">
        <f t="shared" ca="1" si="115"/>
        <v>6.4753254564983891</v>
      </c>
      <c r="BI17" s="404">
        <f t="shared" ca="1" si="116"/>
        <v>87.681349473908881</v>
      </c>
      <c r="BJ17" s="420"/>
      <c r="BK17" s="421"/>
      <c r="BL17" s="421"/>
      <c r="BM17" s="421"/>
      <c r="BN17" s="421"/>
      <c r="BO17" s="421"/>
      <c r="BP17" s="421"/>
      <c r="BQ17" s="421"/>
      <c r="BR17" s="421"/>
      <c r="BS17" s="421"/>
      <c r="BT17" s="421"/>
      <c r="BU17" s="421"/>
      <c r="BV17" s="421"/>
      <c r="BW17" s="421"/>
      <c r="BX17" s="421"/>
      <c r="BY17" s="421"/>
      <c r="BZ17" s="421"/>
      <c r="CA17" s="421"/>
      <c r="CB17" s="421"/>
      <c r="CC17" s="421"/>
      <c r="CD17" s="421"/>
      <c r="CE17" s="421"/>
      <c r="CF17" s="421"/>
      <c r="CG17" s="421"/>
      <c r="CH17" s="421"/>
      <c r="CI17" s="421"/>
      <c r="CJ17" s="421"/>
      <c r="CK17" s="421"/>
      <c r="CL17" s="421"/>
      <c r="CM17" s="421"/>
      <c r="CN17" s="421"/>
      <c r="CO17" s="421"/>
      <c r="CP17" s="421"/>
      <c r="CQ17" s="421"/>
      <c r="CR17" s="421"/>
      <c r="CS17" s="421"/>
      <c r="CT17" s="421"/>
      <c r="CU17" s="421"/>
      <c r="CV17" s="421"/>
      <c r="CW17" s="421"/>
      <c r="CX17" s="421"/>
      <c r="CY17" s="421"/>
      <c r="CZ17" s="421"/>
      <c r="DA17" s="421"/>
      <c r="DB17" s="421"/>
      <c r="DC17" s="421"/>
      <c r="DD17" s="421"/>
      <c r="DE17" s="421"/>
      <c r="DF17" s="421"/>
      <c r="DG17" s="421"/>
      <c r="DH17" s="421"/>
      <c r="DI17" s="421"/>
      <c r="DJ17" s="421"/>
      <c r="DK17" s="421"/>
      <c r="DL17" s="421"/>
      <c r="DM17" s="421"/>
      <c r="DN17" s="421"/>
      <c r="DO17" s="421"/>
      <c r="DP17" s="421"/>
      <c r="DQ17" s="421"/>
      <c r="DR17" s="421"/>
      <c r="DS17" s="421"/>
      <c r="DT17" s="421"/>
      <c r="DU17" s="421"/>
      <c r="DV17" s="421"/>
      <c r="DW17" s="421"/>
      <c r="DX17" s="421"/>
      <c r="DY17" s="421"/>
      <c r="DZ17" s="421"/>
      <c r="EA17" s="421"/>
      <c r="EB17" s="421"/>
      <c r="EC17" s="421"/>
      <c r="ED17" s="421"/>
      <c r="EE17" s="421"/>
      <c r="EF17" s="421"/>
      <c r="EG17" s="421"/>
      <c r="EH17" s="421"/>
      <c r="EI17" s="421"/>
      <c r="EJ17" s="421"/>
      <c r="EK17" s="421"/>
      <c r="EL17" s="421"/>
      <c r="EM17" s="421"/>
      <c r="EN17" s="421"/>
      <c r="EO17" s="421"/>
      <c r="EP17" s="421"/>
      <c r="EQ17" s="421"/>
      <c r="ER17" s="421"/>
      <c r="ES17" s="421"/>
      <c r="ET17" s="421"/>
      <c r="EU17" s="421"/>
      <c r="EV17" s="421"/>
      <c r="EW17" s="421"/>
      <c r="EX17" s="421"/>
      <c r="EY17" s="421"/>
      <c r="EZ17" s="421"/>
      <c r="FA17" s="421"/>
      <c r="FB17" s="421"/>
      <c r="FC17" s="421"/>
    </row>
    <row r="18" spans="1:159" s="374" customFormat="1" ht="12.75" customHeight="1">
      <c r="A18" s="341">
        <f>Design!$D$13</f>
        <v>85</v>
      </c>
      <c r="B18" s="399">
        <f t="shared" si="117"/>
        <v>1.592857142857143</v>
      </c>
      <c r="C18" s="362">
        <f t="shared" ca="1" si="60"/>
        <v>93.5</v>
      </c>
      <c r="D18" s="343">
        <f t="shared" ca="1" si="61"/>
        <v>0</v>
      </c>
      <c r="E18" s="343">
        <f t="shared" si="62"/>
        <v>4.4399999999999995E-2</v>
      </c>
      <c r="F18" s="343">
        <f t="shared" si="63"/>
        <v>1.4866666666666667E-2</v>
      </c>
      <c r="G18" s="343">
        <f t="shared" ca="1" si="98"/>
        <v>0.32331313019758073</v>
      </c>
      <c r="H18" s="343">
        <f t="shared" ca="1" si="99"/>
        <v>1.8262005014502376E-2</v>
      </c>
      <c r="I18" s="343">
        <f t="shared" si="64"/>
        <v>1.4335714285714288E-2</v>
      </c>
      <c r="J18" s="343">
        <f t="shared" si="65"/>
        <v>3.2399999999999998E-2</v>
      </c>
      <c r="K18" s="343">
        <f t="shared" ca="1" si="100"/>
        <v>0.44757751616446401</v>
      </c>
      <c r="L18" s="343">
        <f t="shared" ca="1" si="66"/>
        <v>0.11505206490554537</v>
      </c>
      <c r="M18" s="343">
        <f t="shared" si="67"/>
        <v>1.8800000000000002E-3</v>
      </c>
      <c r="N18" s="362">
        <f t="shared" ca="1" si="68"/>
        <v>100.21763554959178</v>
      </c>
      <c r="O18" s="362">
        <f t="shared" ca="1" si="69"/>
        <v>136.28814381159964</v>
      </c>
      <c r="P18" s="362">
        <f t="shared" ca="1" si="70"/>
        <v>110.73411684692471</v>
      </c>
      <c r="Q18" s="343">
        <f t="shared" ca="1" si="71"/>
        <v>3.5380168338108038</v>
      </c>
      <c r="R18" s="343">
        <f t="shared" ca="1" si="72"/>
        <v>3.5380168338108038</v>
      </c>
      <c r="S18" s="343">
        <f t="shared" ca="1" si="101"/>
        <v>0.56450958107000937</v>
      </c>
      <c r="T18" s="343">
        <f t="shared" ca="1" si="102"/>
        <v>5.6355553852843521</v>
      </c>
      <c r="U18" s="400">
        <f t="shared" ca="1" si="103"/>
        <v>90.895102162099761</v>
      </c>
      <c r="V18" s="405">
        <f t="shared" si="118"/>
        <v>1.592857142857143</v>
      </c>
      <c r="W18" s="367">
        <f t="shared" ca="1" si="73"/>
        <v>46.28566432806705</v>
      </c>
      <c r="X18" s="344">
        <f t="shared" ca="1" si="74"/>
        <v>0.60634243374997743</v>
      </c>
      <c r="Y18" s="344">
        <f t="shared" si="75"/>
        <v>0.13319999999999999</v>
      </c>
      <c r="Z18" s="344">
        <f t="shared" si="76"/>
        <v>0.1338</v>
      </c>
      <c r="AA18" s="344">
        <f t="shared" ca="1" si="104"/>
        <v>0.1681124737090223</v>
      </c>
      <c r="AB18" s="344">
        <f t="shared" ca="1" si="105"/>
        <v>0.15851377752291212</v>
      </c>
      <c r="AC18" s="344">
        <f t="shared" si="77"/>
        <v>1.4335714285714288E-2</v>
      </c>
      <c r="AD18" s="344">
        <f t="shared" si="78"/>
        <v>9.7199999999999995E-2</v>
      </c>
      <c r="AE18" s="344">
        <f t="shared" ca="1" si="106"/>
        <v>0.70516196551764865</v>
      </c>
      <c r="AF18" s="344">
        <f t="shared" ca="1" si="79"/>
        <v>0.11810848331711933</v>
      </c>
      <c r="AG18" s="344">
        <f t="shared" si="80"/>
        <v>1.6920000000000001E-2</v>
      </c>
      <c r="AH18" s="367">
        <f t="shared" ca="1" si="81"/>
        <v>108.97550682760006</v>
      </c>
      <c r="AI18" s="367">
        <f t="shared" ca="1" si="82"/>
        <v>141.44477842009093</v>
      </c>
      <c r="AJ18" s="367">
        <f t="shared" ca="1" si="83"/>
        <v>114.92388246632387</v>
      </c>
      <c r="AK18" s="344">
        <f t="shared" ca="1" si="84"/>
        <v>11.130213740655025</v>
      </c>
      <c r="AL18" s="344">
        <f t="shared" ca="1" si="85"/>
        <v>5.1927913533834582</v>
      </c>
      <c r="AM18" s="344">
        <f t="shared" ca="1" si="107"/>
        <v>0.84019044883476801</v>
      </c>
      <c r="AN18" s="344">
        <f t="shared" ca="1" si="108"/>
        <v>8.2713747986036523</v>
      </c>
      <c r="AO18" s="402">
        <f t="shared" ca="1" si="109"/>
        <v>90.778857133564671</v>
      </c>
      <c r="AP18" s="403">
        <f t="shared" si="119"/>
        <v>1.592857142857143</v>
      </c>
      <c r="AQ18" s="372">
        <f t="shared" ca="1" si="86"/>
        <v>30.731311055416729</v>
      </c>
      <c r="AR18" s="345">
        <f t="shared" ca="1" si="110"/>
        <v>0.78300460417175199</v>
      </c>
      <c r="AS18" s="345">
        <f t="shared" si="87"/>
        <v>0.19979999999999998</v>
      </c>
      <c r="AT18" s="345">
        <f t="shared" si="88"/>
        <v>0.30104999999999998</v>
      </c>
      <c r="AU18" s="345">
        <f t="shared" ca="1" si="111"/>
        <v>0.11708245380635122</v>
      </c>
      <c r="AV18" s="345">
        <f t="shared" ca="1" si="112"/>
        <v>0.21442285029433636</v>
      </c>
      <c r="AW18" s="345">
        <f t="shared" si="89"/>
        <v>1.4335714285714288E-2</v>
      </c>
      <c r="AX18" s="345">
        <f t="shared" si="90"/>
        <v>0.14579999999999999</v>
      </c>
      <c r="AY18" s="345">
        <f t="shared" ca="1" si="113"/>
        <v>0.99249101838640197</v>
      </c>
      <c r="AZ18" s="345">
        <f t="shared" ca="1" si="91"/>
        <v>0.12151784211021956</v>
      </c>
      <c r="BA18" s="345">
        <f t="shared" si="92"/>
        <v>3.807E-2</v>
      </c>
      <c r="BB18" s="372">
        <f t="shared" ca="1" si="93"/>
        <v>118.74469462513767</v>
      </c>
      <c r="BC18" s="372">
        <f t="shared" ca="1" si="94"/>
        <v>147.19687619528105</v>
      </c>
      <c r="BD18" s="372">
        <f t="shared" ca="1" si="95"/>
        <v>119.59746190866586</v>
      </c>
      <c r="BE18" s="345">
        <f t="shared" ca="1" si="96"/>
        <v>16.82150958412878</v>
      </c>
      <c r="BF18" s="345">
        <f t="shared" ca="1" si="97"/>
        <v>5.1927913533834582</v>
      </c>
      <c r="BG18" s="345">
        <f t="shared" ca="1" si="114"/>
        <v>1.1520788604966217</v>
      </c>
      <c r="BH18" s="345">
        <f t="shared" ca="1" si="115"/>
        <v>8.2713747986036523</v>
      </c>
      <c r="BI18" s="404">
        <f t="shared" ca="1" si="116"/>
        <v>87.774345774130779</v>
      </c>
      <c r="BJ18" s="420"/>
      <c r="BK18" s="421"/>
      <c r="BL18" s="421"/>
      <c r="BM18" s="421"/>
      <c r="BN18" s="421"/>
      <c r="BO18" s="421"/>
      <c r="BP18" s="421"/>
      <c r="BQ18" s="421"/>
      <c r="BR18" s="421"/>
      <c r="BS18" s="421"/>
      <c r="BT18" s="421"/>
      <c r="BU18" s="421"/>
      <c r="BV18" s="421"/>
      <c r="BW18" s="421"/>
      <c r="BX18" s="421"/>
      <c r="BY18" s="421"/>
      <c r="BZ18" s="421"/>
      <c r="CA18" s="421"/>
      <c r="CB18" s="421"/>
      <c r="CC18" s="421"/>
      <c r="CD18" s="421"/>
      <c r="CE18" s="421"/>
      <c r="CF18" s="421"/>
      <c r="CG18" s="421"/>
      <c r="CH18" s="421"/>
      <c r="CI18" s="421"/>
      <c r="CJ18" s="421"/>
      <c r="CK18" s="421"/>
      <c r="CL18" s="421"/>
      <c r="CM18" s="421"/>
      <c r="CN18" s="421"/>
      <c r="CO18" s="421"/>
      <c r="CP18" s="421"/>
      <c r="CQ18" s="421"/>
      <c r="CR18" s="421"/>
      <c r="CS18" s="421"/>
      <c r="CT18" s="421"/>
      <c r="CU18" s="421"/>
      <c r="CV18" s="421"/>
      <c r="CW18" s="421"/>
      <c r="CX18" s="421"/>
      <c r="CY18" s="421"/>
      <c r="CZ18" s="421"/>
      <c r="DA18" s="421"/>
      <c r="DB18" s="421"/>
      <c r="DC18" s="421"/>
      <c r="DD18" s="421"/>
      <c r="DE18" s="421"/>
      <c r="DF18" s="421"/>
      <c r="DG18" s="421"/>
      <c r="DH18" s="421"/>
      <c r="DI18" s="421"/>
      <c r="DJ18" s="421"/>
      <c r="DK18" s="421"/>
      <c r="DL18" s="421"/>
      <c r="DM18" s="421"/>
      <c r="DN18" s="421"/>
      <c r="DO18" s="421"/>
      <c r="DP18" s="421"/>
      <c r="DQ18" s="421"/>
      <c r="DR18" s="421"/>
      <c r="DS18" s="421"/>
      <c r="DT18" s="421"/>
      <c r="DU18" s="421"/>
      <c r="DV18" s="421"/>
      <c r="DW18" s="421"/>
      <c r="DX18" s="421"/>
      <c r="DY18" s="421"/>
      <c r="DZ18" s="421"/>
      <c r="EA18" s="421"/>
      <c r="EB18" s="421"/>
      <c r="EC18" s="421"/>
      <c r="ED18" s="421"/>
      <c r="EE18" s="421"/>
      <c r="EF18" s="421"/>
      <c r="EG18" s="421"/>
      <c r="EH18" s="421"/>
      <c r="EI18" s="421"/>
      <c r="EJ18" s="421"/>
      <c r="EK18" s="421"/>
      <c r="EL18" s="421"/>
      <c r="EM18" s="421"/>
      <c r="EN18" s="421"/>
      <c r="EO18" s="421"/>
      <c r="EP18" s="421"/>
      <c r="EQ18" s="421"/>
      <c r="ER18" s="421"/>
      <c r="ES18" s="421"/>
      <c r="ET18" s="421"/>
      <c r="EU18" s="421"/>
      <c r="EV18" s="421"/>
      <c r="EW18" s="421"/>
      <c r="EX18" s="421"/>
      <c r="EY18" s="421"/>
      <c r="EZ18" s="421"/>
      <c r="FA18" s="421"/>
      <c r="FB18" s="421"/>
      <c r="FC18" s="421"/>
    </row>
    <row r="19" spans="1:159" s="374" customFormat="1" ht="12.75" customHeight="1">
      <c r="A19" s="341">
        <f>Design!$D$13</f>
        <v>85</v>
      </c>
      <c r="B19" s="399">
        <f t="shared" si="117"/>
        <v>1.9285714285714288</v>
      </c>
      <c r="C19" s="362">
        <f t="shared" ca="1" si="60"/>
        <v>93.5</v>
      </c>
      <c r="D19" s="343">
        <f t="shared" ca="1" si="61"/>
        <v>0</v>
      </c>
      <c r="E19" s="343">
        <f t="shared" si="62"/>
        <v>4.4399999999999995E-2</v>
      </c>
      <c r="F19" s="343">
        <f t="shared" si="63"/>
        <v>1.8000000000000002E-2</v>
      </c>
      <c r="G19" s="343">
        <f t="shared" ca="1" si="98"/>
        <v>0.48638187708215624</v>
      </c>
      <c r="H19" s="343">
        <f t="shared" ca="1" si="99"/>
        <v>2.7472773137327652E-2</v>
      </c>
      <c r="I19" s="343">
        <f t="shared" si="64"/>
        <v>1.7357142857142859E-2</v>
      </c>
      <c r="J19" s="343">
        <f t="shared" si="65"/>
        <v>3.2399999999999998E-2</v>
      </c>
      <c r="K19" s="343">
        <f t="shared" ca="1" si="100"/>
        <v>0.62601179307662669</v>
      </c>
      <c r="L19" s="343">
        <f t="shared" ca="1" si="66"/>
        <v>0.17176381611277958</v>
      </c>
      <c r="M19" s="343">
        <f t="shared" si="67"/>
        <v>1.8800000000000002E-3</v>
      </c>
      <c r="N19" s="362">
        <f t="shared" ca="1" si="68"/>
        <v>106.28440096460531</v>
      </c>
      <c r="O19" s="362">
        <f t="shared" ca="1" si="69"/>
        <v>139.8602552879596</v>
      </c>
      <c r="P19" s="362">
        <f t="shared" ca="1" si="70"/>
        <v>113.63645742146718</v>
      </c>
      <c r="Q19" s="343">
        <f t="shared" ca="1" si="71"/>
        <v>3.4762560322759883</v>
      </c>
      <c r="R19" s="343">
        <f t="shared" ca="1" si="72"/>
        <v>3.4762560322759883</v>
      </c>
      <c r="S19" s="343">
        <f t="shared" ca="1" si="101"/>
        <v>0.79965560918940626</v>
      </c>
      <c r="T19" s="343">
        <f t="shared" ca="1" si="102"/>
        <v>6.7042080622465496</v>
      </c>
      <c r="U19" s="400">
        <f t="shared" ca="1" si="103"/>
        <v>89.343415016541968</v>
      </c>
      <c r="V19" s="405">
        <f t="shared" si="118"/>
        <v>1.9285714285714288</v>
      </c>
      <c r="W19" s="367">
        <f t="shared" ca="1" si="73"/>
        <v>47.39126405243384</v>
      </c>
      <c r="X19" s="344">
        <f t="shared" ca="1" si="74"/>
        <v>0.61095981780951081</v>
      </c>
      <c r="Y19" s="344">
        <f t="shared" si="75"/>
        <v>0.13319999999999999</v>
      </c>
      <c r="Z19" s="344">
        <f t="shared" si="76"/>
        <v>0.16200000000000003</v>
      </c>
      <c r="AA19" s="344">
        <f t="shared" ca="1" si="104"/>
        <v>0.25837971312270303</v>
      </c>
      <c r="AB19" s="344">
        <f t="shared" ca="1" si="105"/>
        <v>0.23304584038016288</v>
      </c>
      <c r="AC19" s="344">
        <f t="shared" si="77"/>
        <v>1.7357142857142859E-2</v>
      </c>
      <c r="AD19" s="344">
        <f t="shared" si="78"/>
        <v>9.7199999999999995E-2</v>
      </c>
      <c r="AE19" s="344">
        <f t="shared" ca="1" si="106"/>
        <v>0.90118269636000869</v>
      </c>
      <c r="AF19" s="344">
        <f t="shared" ca="1" si="79"/>
        <v>0.17655026557965689</v>
      </c>
      <c r="AG19" s="344">
        <f t="shared" si="80"/>
        <v>1.6920000000000001E-2</v>
      </c>
      <c r="AH19" s="367">
        <f t="shared" ca="1" si="81"/>
        <v>115.6402116762403</v>
      </c>
      <c r="AI19" s="367">
        <f t="shared" ca="1" si="82"/>
        <v>145.36895663497029</v>
      </c>
      <c r="AJ19" s="367">
        <f t="shared" ca="1" si="83"/>
        <v>118.11227726591336</v>
      </c>
      <c r="AK19" s="344">
        <f t="shared" ca="1" si="84"/>
        <v>11.066163304450928</v>
      </c>
      <c r="AL19" s="344">
        <f t="shared" ca="1" si="85"/>
        <v>5.2347556390977443</v>
      </c>
      <c r="AM19" s="344">
        <f t="shared" ca="1" si="107"/>
        <v>1.0946529619396657</v>
      </c>
      <c r="AN19" s="344">
        <f t="shared" ca="1" si="108"/>
        <v>10.09560016111708</v>
      </c>
      <c r="AO19" s="402">
        <f t="shared" ca="1" si="109"/>
        <v>90.217799812908538</v>
      </c>
      <c r="AP19" s="403">
        <f t="shared" si="119"/>
        <v>1.9285714285714288</v>
      </c>
      <c r="AQ19" s="372">
        <f t="shared" ca="1" si="86"/>
        <v>31.440755270190159</v>
      </c>
      <c r="AR19" s="345">
        <f t="shared" ca="1" si="110"/>
        <v>0.79694977879005657</v>
      </c>
      <c r="AS19" s="345">
        <f t="shared" si="87"/>
        <v>0.19979999999999998</v>
      </c>
      <c r="AT19" s="345">
        <f t="shared" si="88"/>
        <v>0.36450000000000005</v>
      </c>
      <c r="AU19" s="345">
        <f t="shared" ca="1" si="111"/>
        <v>0.18014463522321253</v>
      </c>
      <c r="AV19" s="345">
        <f t="shared" ca="1" si="112"/>
        <v>0.31916683527006851</v>
      </c>
      <c r="AW19" s="345">
        <f t="shared" si="89"/>
        <v>1.7357142857142859E-2</v>
      </c>
      <c r="AX19" s="345">
        <f t="shared" si="90"/>
        <v>0.14579999999999999</v>
      </c>
      <c r="AY19" s="345">
        <f t="shared" ca="1" si="113"/>
        <v>1.2267686133504239</v>
      </c>
      <c r="AZ19" s="345">
        <f t="shared" ca="1" si="91"/>
        <v>0.18221365702187134</v>
      </c>
      <c r="BA19" s="345">
        <f t="shared" si="92"/>
        <v>3.807E-2</v>
      </c>
      <c r="BB19" s="372">
        <f t="shared" ca="1" si="93"/>
        <v>126.71013285391442</v>
      </c>
      <c r="BC19" s="372">
        <f t="shared" ca="1" si="94"/>
        <v>151.88692622438481</v>
      </c>
      <c r="BD19" s="372">
        <f t="shared" ca="1" si="95"/>
        <v>123.40812755731267</v>
      </c>
      <c r="BE19" s="345">
        <f t="shared" ca="1" si="96"/>
        <v>16.754221453024609</v>
      </c>
      <c r="BF19" s="345">
        <f t="shared" ca="1" si="97"/>
        <v>5.2347556390977443</v>
      </c>
      <c r="BG19" s="345">
        <f t="shared" ca="1" si="114"/>
        <v>1.4470522703722952</v>
      </c>
      <c r="BH19" s="345">
        <f t="shared" ca="1" si="115"/>
        <v>10.09560016111708</v>
      </c>
      <c r="BI19" s="404">
        <f t="shared" ca="1" si="116"/>
        <v>87.463433738811986</v>
      </c>
      <c r="BJ19" s="420"/>
      <c r="BK19" s="421"/>
      <c r="BL19" s="421"/>
      <c r="BM19" s="421"/>
      <c r="BN19" s="421"/>
      <c r="BO19" s="421"/>
      <c r="BP19" s="421"/>
      <c r="BQ19" s="421"/>
      <c r="BR19" s="421"/>
      <c r="BS19" s="421"/>
      <c r="BT19" s="421"/>
      <c r="BU19" s="421"/>
      <c r="BV19" s="421"/>
      <c r="BW19" s="421"/>
      <c r="BX19" s="421"/>
      <c r="BY19" s="421"/>
      <c r="BZ19" s="421"/>
      <c r="CA19" s="421"/>
      <c r="CB19" s="421"/>
      <c r="CC19" s="421"/>
      <c r="CD19" s="421"/>
      <c r="CE19" s="421"/>
      <c r="CF19" s="421"/>
      <c r="CG19" s="421"/>
      <c r="CH19" s="421"/>
      <c r="CI19" s="421"/>
      <c r="CJ19" s="421"/>
      <c r="CK19" s="421"/>
      <c r="CL19" s="421"/>
      <c r="CM19" s="421"/>
      <c r="CN19" s="421"/>
      <c r="CO19" s="421"/>
      <c r="CP19" s="421"/>
      <c r="CQ19" s="421"/>
      <c r="CR19" s="421"/>
      <c r="CS19" s="421"/>
      <c r="CT19" s="421"/>
      <c r="CU19" s="421"/>
      <c r="CV19" s="421"/>
      <c r="CW19" s="421"/>
      <c r="CX19" s="421"/>
      <c r="CY19" s="421"/>
      <c r="CZ19" s="421"/>
      <c r="DA19" s="421"/>
      <c r="DB19" s="421"/>
      <c r="DC19" s="421"/>
      <c r="DD19" s="421"/>
      <c r="DE19" s="421"/>
      <c r="DF19" s="421"/>
      <c r="DG19" s="421"/>
      <c r="DH19" s="421"/>
      <c r="DI19" s="421"/>
      <c r="DJ19" s="421"/>
      <c r="DK19" s="421"/>
      <c r="DL19" s="421"/>
      <c r="DM19" s="421"/>
      <c r="DN19" s="421"/>
      <c r="DO19" s="421"/>
      <c r="DP19" s="421"/>
      <c r="DQ19" s="421"/>
      <c r="DR19" s="421"/>
      <c r="DS19" s="421"/>
      <c r="DT19" s="421"/>
      <c r="DU19" s="421"/>
      <c r="DV19" s="421"/>
      <c r="DW19" s="421"/>
      <c r="DX19" s="421"/>
      <c r="DY19" s="421"/>
      <c r="DZ19" s="421"/>
      <c r="EA19" s="421"/>
      <c r="EB19" s="421"/>
      <c r="EC19" s="421"/>
      <c r="ED19" s="421"/>
      <c r="EE19" s="421"/>
      <c r="EF19" s="421"/>
      <c r="EG19" s="421"/>
      <c r="EH19" s="421"/>
      <c r="EI19" s="421"/>
      <c r="EJ19" s="421"/>
      <c r="EK19" s="421"/>
      <c r="EL19" s="421"/>
      <c r="EM19" s="421"/>
      <c r="EN19" s="421"/>
      <c r="EO19" s="421"/>
      <c r="EP19" s="421"/>
      <c r="EQ19" s="421"/>
      <c r="ER19" s="421"/>
      <c r="ES19" s="421"/>
      <c r="ET19" s="421"/>
      <c r="EU19" s="421"/>
      <c r="EV19" s="421"/>
      <c r="EW19" s="421"/>
      <c r="EX19" s="421"/>
      <c r="EY19" s="421"/>
      <c r="EZ19" s="421"/>
      <c r="FA19" s="421"/>
      <c r="FB19" s="421"/>
      <c r="FC19" s="421"/>
    </row>
    <row r="20" spans="1:159" s="374" customFormat="1" ht="12.75" customHeight="1">
      <c r="A20" s="341">
        <f>Design!$D$13</f>
        <v>85</v>
      </c>
      <c r="B20" s="399">
        <f t="shared" si="117"/>
        <v>2.2642857142857147</v>
      </c>
      <c r="C20" s="362">
        <f t="shared" ca="1" si="60"/>
        <v>93.5</v>
      </c>
      <c r="D20" s="343">
        <f t="shared" ca="1" si="61"/>
        <v>0</v>
      </c>
      <c r="E20" s="343">
        <f t="shared" si="62"/>
        <v>4.4399999999999995E-2</v>
      </c>
      <c r="F20" s="343">
        <f t="shared" si="63"/>
        <v>2.1133333333333334E-2</v>
      </c>
      <c r="G20" s="343">
        <f t="shared" ca="1" si="98"/>
        <v>0.6918784684498861</v>
      </c>
      <c r="H20" s="343">
        <f t="shared" ca="1" si="99"/>
        <v>3.9080033812844472E-2</v>
      </c>
      <c r="I20" s="343">
        <f t="shared" si="64"/>
        <v>2.037857142857143E-2</v>
      </c>
      <c r="J20" s="343">
        <f t="shared" si="65"/>
        <v>3.2399999999999998E-2</v>
      </c>
      <c r="K20" s="343">
        <f t="shared" ca="1" si="100"/>
        <v>0.84927040702463541</v>
      </c>
      <c r="L20" s="343">
        <f t="shared" ca="1" si="66"/>
        <v>0.24212098010701233</v>
      </c>
      <c r="M20" s="343">
        <f t="shared" si="67"/>
        <v>1.8800000000000002E-3</v>
      </c>
      <c r="N20" s="362">
        <f t="shared" ca="1" si="68"/>
        <v>113.8751938388376</v>
      </c>
      <c r="O20" s="362">
        <f t="shared" ca="1" si="69"/>
        <v>144.32971413230757</v>
      </c>
      <c r="P20" s="362">
        <f t="shared" ca="1" si="70"/>
        <v>117.26789273249992</v>
      </c>
      <c r="Q20" s="343">
        <f t="shared" ca="1" si="71"/>
        <v>3.4102864756361111</v>
      </c>
      <c r="R20" s="343">
        <f t="shared" ca="1" si="72"/>
        <v>3.4102864756361111</v>
      </c>
      <c r="S20" s="343">
        <f t="shared" ca="1" si="101"/>
        <v>1.093271387131648</v>
      </c>
      <c r="T20" s="343">
        <f t="shared" ca="1" si="102"/>
        <v>7.7218629484046239</v>
      </c>
      <c r="U20" s="400">
        <f t="shared" ca="1" si="103"/>
        <v>87.5977909636117</v>
      </c>
      <c r="V20" s="405">
        <f t="shared" si="118"/>
        <v>2.2642857142857147</v>
      </c>
      <c r="W20" s="367">
        <f t="shared" ca="1" si="73"/>
        <v>48.567927960164681</v>
      </c>
      <c r="X20" s="344">
        <f t="shared" ca="1" si="74"/>
        <v>0.61554908551915111</v>
      </c>
      <c r="Y20" s="344">
        <f t="shared" si="75"/>
        <v>0.13319999999999999</v>
      </c>
      <c r="Z20" s="344">
        <f t="shared" si="76"/>
        <v>0.19020000000000004</v>
      </c>
      <c r="AA20" s="344">
        <f t="shared" ca="1" si="104"/>
        <v>0.37623331247492947</v>
      </c>
      <c r="AB20" s="344">
        <f t="shared" ca="1" si="105"/>
        <v>0.32371666777878533</v>
      </c>
      <c r="AC20" s="344">
        <f t="shared" si="77"/>
        <v>2.037857142857143E-2</v>
      </c>
      <c r="AD20" s="344">
        <f t="shared" si="78"/>
        <v>9.7199999999999995E-2</v>
      </c>
      <c r="AE20" s="344">
        <f t="shared" ca="1" si="106"/>
        <v>1.140928551682286</v>
      </c>
      <c r="AF20" s="344">
        <f t="shared" ca="1" si="79"/>
        <v>0.24911418211520145</v>
      </c>
      <c r="AG20" s="344">
        <f t="shared" si="80"/>
        <v>1.6920000000000001E-2</v>
      </c>
      <c r="AH20" s="367">
        <f t="shared" ca="1" si="81"/>
        <v>123.79157075719772</v>
      </c>
      <c r="AI20" s="367">
        <f t="shared" ca="1" si="82"/>
        <v>150.16847686183803</v>
      </c>
      <c r="AJ20" s="367">
        <f t="shared" ca="1" si="83"/>
        <v>122.01188745024339</v>
      </c>
      <c r="AK20" s="344">
        <f t="shared" ca="1" si="84"/>
        <v>10.997726879950411</v>
      </c>
      <c r="AL20" s="344">
        <f t="shared" ca="1" si="85"/>
        <v>5.2767199248120296</v>
      </c>
      <c r="AM20" s="344">
        <f t="shared" ca="1" si="107"/>
        <v>1.4069627337974875</v>
      </c>
      <c r="AN20" s="344">
        <f t="shared" ca="1" si="108"/>
        <v>11.94800154403867</v>
      </c>
      <c r="AO20" s="402">
        <f t="shared" ca="1" si="109"/>
        <v>89.464870856057061</v>
      </c>
      <c r="AP20" s="403">
        <f t="shared" si="119"/>
        <v>2.2642857142857147</v>
      </c>
      <c r="AQ20" s="372">
        <f t="shared" ca="1" si="86"/>
        <v>32.195186109721718</v>
      </c>
      <c r="AR20" s="345">
        <f t="shared" ca="1" si="110"/>
        <v>0.81149285391785198</v>
      </c>
      <c r="AS20" s="345">
        <f t="shared" si="87"/>
        <v>0.19979999999999998</v>
      </c>
      <c r="AT20" s="345">
        <f t="shared" si="88"/>
        <v>0.42795000000000005</v>
      </c>
      <c r="AU20" s="345">
        <f t="shared" ca="1" si="111"/>
        <v>0.26272821502235316</v>
      </c>
      <c r="AV20" s="345">
        <f t="shared" ca="1" si="112"/>
        <v>0.44957243299871352</v>
      </c>
      <c r="AW20" s="345">
        <f t="shared" si="89"/>
        <v>2.037857142857143E-2</v>
      </c>
      <c r="AX20" s="345">
        <f t="shared" si="90"/>
        <v>0.14579999999999999</v>
      </c>
      <c r="AY20" s="345">
        <f t="shared" ca="1" si="113"/>
        <v>1.5062292194496381</v>
      </c>
      <c r="AZ20" s="345">
        <f t="shared" ca="1" si="91"/>
        <v>0.25787313985465393</v>
      </c>
      <c r="BA20" s="345">
        <f t="shared" si="92"/>
        <v>3.807E-2</v>
      </c>
      <c r="BB20" s="372">
        <f t="shared" ca="1" si="93"/>
        <v>136.2117934612877</v>
      </c>
      <c r="BC20" s="372">
        <f t="shared" ca="1" si="94"/>
        <v>157.48150399000619</v>
      </c>
      <c r="BD20" s="372">
        <f t="shared" ca="1" si="95"/>
        <v>127.95372199188003</v>
      </c>
      <c r="BE20" s="345">
        <f t="shared" ca="1" si="96"/>
        <v>16.681996036238644</v>
      </c>
      <c r="BF20" s="345">
        <f t="shared" ca="1" si="97"/>
        <v>5.2767199248120296</v>
      </c>
      <c r="BG20" s="345">
        <f t="shared" ca="1" si="114"/>
        <v>1.802172359304292</v>
      </c>
      <c r="BH20" s="345">
        <f t="shared" ca="1" si="115"/>
        <v>11.94800154403867</v>
      </c>
      <c r="BI20" s="404">
        <f t="shared" ca="1" si="116"/>
        <v>86.893457697533961</v>
      </c>
      <c r="BJ20" s="420"/>
      <c r="BK20" s="421"/>
      <c r="BL20" s="421"/>
      <c r="BM20" s="421"/>
      <c r="BN20" s="421"/>
      <c r="BO20" s="421"/>
      <c r="BP20" s="421"/>
      <c r="BQ20" s="421"/>
      <c r="BR20" s="421"/>
      <c r="BS20" s="421"/>
      <c r="BT20" s="421"/>
      <c r="BU20" s="421"/>
      <c r="BV20" s="421"/>
      <c r="BW20" s="421"/>
      <c r="BX20" s="421"/>
      <c r="BY20" s="421"/>
      <c r="BZ20" s="421"/>
      <c r="CA20" s="421"/>
      <c r="CB20" s="421"/>
      <c r="CC20" s="421"/>
      <c r="CD20" s="421"/>
      <c r="CE20" s="421"/>
      <c r="CF20" s="421"/>
      <c r="CG20" s="421"/>
      <c r="CH20" s="421"/>
      <c r="CI20" s="421"/>
      <c r="CJ20" s="421"/>
      <c r="CK20" s="421"/>
      <c r="CL20" s="421"/>
      <c r="CM20" s="421"/>
      <c r="CN20" s="421"/>
      <c r="CO20" s="421"/>
      <c r="CP20" s="421"/>
      <c r="CQ20" s="421"/>
      <c r="CR20" s="421"/>
      <c r="CS20" s="421"/>
      <c r="CT20" s="421"/>
      <c r="CU20" s="421"/>
      <c r="CV20" s="421"/>
      <c r="CW20" s="421"/>
      <c r="CX20" s="421"/>
      <c r="CY20" s="421"/>
      <c r="CZ20" s="421"/>
      <c r="DA20" s="421"/>
      <c r="DB20" s="421"/>
      <c r="DC20" s="421"/>
      <c r="DD20" s="421"/>
      <c r="DE20" s="421"/>
      <c r="DF20" s="421"/>
      <c r="DG20" s="421"/>
      <c r="DH20" s="421"/>
      <c r="DI20" s="421"/>
      <c r="DJ20" s="421"/>
      <c r="DK20" s="421"/>
      <c r="DL20" s="421"/>
      <c r="DM20" s="421"/>
      <c r="DN20" s="421"/>
      <c r="DO20" s="421"/>
      <c r="DP20" s="421"/>
      <c r="DQ20" s="421"/>
      <c r="DR20" s="421"/>
      <c r="DS20" s="421"/>
      <c r="DT20" s="421"/>
      <c r="DU20" s="421"/>
      <c r="DV20" s="421"/>
      <c r="DW20" s="421"/>
      <c r="DX20" s="421"/>
      <c r="DY20" s="421"/>
      <c r="DZ20" s="421"/>
      <c r="EA20" s="421"/>
      <c r="EB20" s="421"/>
      <c r="EC20" s="421"/>
      <c r="ED20" s="421"/>
      <c r="EE20" s="421"/>
      <c r="EF20" s="421"/>
      <c r="EG20" s="421"/>
      <c r="EH20" s="421"/>
      <c r="EI20" s="421"/>
      <c r="EJ20" s="421"/>
      <c r="EK20" s="421"/>
      <c r="EL20" s="421"/>
      <c r="EM20" s="421"/>
      <c r="EN20" s="421"/>
      <c r="EO20" s="421"/>
      <c r="EP20" s="421"/>
      <c r="EQ20" s="421"/>
      <c r="ER20" s="421"/>
      <c r="ES20" s="421"/>
      <c r="ET20" s="421"/>
      <c r="EU20" s="421"/>
      <c r="EV20" s="421"/>
      <c r="EW20" s="421"/>
      <c r="EX20" s="421"/>
      <c r="EY20" s="421"/>
      <c r="EZ20" s="421"/>
      <c r="FA20" s="421"/>
      <c r="FB20" s="421"/>
      <c r="FC20" s="421"/>
    </row>
    <row r="21" spans="1:159" s="310" customFormat="1" ht="12.75" customHeight="1" thickBot="1">
      <c r="A21" s="375">
        <f>Design!$D$13</f>
        <v>85</v>
      </c>
      <c r="B21" s="406">
        <f>Iout</f>
        <v>2.6</v>
      </c>
      <c r="C21" s="381">
        <f t="shared" ca="1" si="60"/>
        <v>93.5</v>
      </c>
      <c r="D21" s="380">
        <f t="shared" ca="1" si="61"/>
        <v>0</v>
      </c>
      <c r="E21" s="380">
        <f t="shared" si="62"/>
        <v>4.4399999999999995E-2</v>
      </c>
      <c r="F21" s="380">
        <f t="shared" si="63"/>
        <v>2.4266666666666666E-2</v>
      </c>
      <c r="G21" s="380">
        <f t="shared" ca="1" si="98"/>
        <v>0.94715460525716344</v>
      </c>
      <c r="H21" s="380">
        <f t="shared" ca="1" si="99"/>
        <v>5.349904020336247E-2</v>
      </c>
      <c r="I21" s="380">
        <f t="shared" si="64"/>
        <v>2.3399999999999997E-2</v>
      </c>
      <c r="J21" s="380">
        <f t="shared" si="65"/>
        <v>3.2399999999999998E-2</v>
      </c>
      <c r="K21" s="380">
        <f t="shared" ca="1" si="100"/>
        <v>1.1251203121271924</v>
      </c>
      <c r="L21" s="380">
        <f t="shared" ca="1" si="66"/>
        <v>0.32796038710678271</v>
      </c>
      <c r="M21" s="380">
        <f t="shared" si="67"/>
        <v>1.8800000000000002E-3</v>
      </c>
      <c r="N21" s="381">
        <f t="shared" ca="1" si="68"/>
        <v>123.25409061232455</v>
      </c>
      <c r="O21" s="381">
        <f t="shared" ca="1" si="69"/>
        <v>149.85200855253669</v>
      </c>
      <c r="P21" s="381">
        <f t="shared" ca="1" si="70"/>
        <v>121.75475694893606</v>
      </c>
      <c r="Q21" s="380">
        <f t="shared" ca="1" si="71"/>
        <v>3.338865538875234</v>
      </c>
      <c r="R21" s="380">
        <f t="shared" ca="1" si="72"/>
        <v>3.338865538875234</v>
      </c>
      <c r="S21" s="380">
        <f t="shared" ca="1" si="101"/>
        <v>1.4549606992339752</v>
      </c>
      <c r="T21" s="380">
        <f t="shared" ca="1" si="102"/>
        <v>8.6810504010756091</v>
      </c>
      <c r="U21" s="407">
        <f t="shared" ca="1" si="103"/>
        <v>85.645628395281278</v>
      </c>
      <c r="V21" s="408">
        <f>Iout</f>
        <v>2.6</v>
      </c>
      <c r="W21" s="385">
        <f t="shared" ca="1" si="73"/>
        <v>49.835225830998446</v>
      </c>
      <c r="X21" s="384">
        <f t="shared" ca="1" si="74"/>
        <v>0.62013966583504165</v>
      </c>
      <c r="Y21" s="384">
        <f t="shared" si="75"/>
        <v>0.13319999999999999</v>
      </c>
      <c r="Z21" s="384">
        <f t="shared" si="76"/>
        <v>0.21840000000000001</v>
      </c>
      <c r="AA21" s="384">
        <f t="shared" ca="1" si="104"/>
        <v>0.52802405683768938</v>
      </c>
      <c r="AB21" s="384">
        <f t="shared" ca="1" si="105"/>
        <v>0.43185654904470372</v>
      </c>
      <c r="AC21" s="384">
        <f t="shared" si="77"/>
        <v>2.3399999999999997E-2</v>
      </c>
      <c r="AD21" s="384">
        <f t="shared" si="78"/>
        <v>9.7199999999999995E-2</v>
      </c>
      <c r="AE21" s="384">
        <f t="shared" ca="1" si="106"/>
        <v>1.4320806058823932</v>
      </c>
      <c r="AF21" s="384">
        <f t="shared" ca="1" si="79"/>
        <v>0.33766478085802409</v>
      </c>
      <c r="AG21" s="384">
        <f t="shared" si="80"/>
        <v>1.6920000000000001E-2</v>
      </c>
      <c r="AH21" s="385">
        <f t="shared" ca="1" si="81"/>
        <v>133.69074060000136</v>
      </c>
      <c r="AI21" s="385">
        <f t="shared" ca="1" si="82"/>
        <v>155.9971080652808</v>
      </c>
      <c r="AJ21" s="385">
        <f t="shared" ca="1" si="83"/>
        <v>126.74765030304066</v>
      </c>
      <c r="AK21" s="384">
        <f t="shared" ca="1" si="84"/>
        <v>10.923687143078757</v>
      </c>
      <c r="AL21" s="384">
        <f t="shared" ca="1" si="85"/>
        <v>5.3186842105263157</v>
      </c>
      <c r="AM21" s="384">
        <f t="shared" ca="1" si="107"/>
        <v>1.7866653867404174</v>
      </c>
      <c r="AN21" s="384">
        <f t="shared" ca="1" si="108"/>
        <v>13.82857894736842</v>
      </c>
      <c r="AO21" s="409">
        <f t="shared" ca="1" si="109"/>
        <v>88.558197691228244</v>
      </c>
      <c r="AP21" s="410">
        <f>Iout</f>
        <v>2.6</v>
      </c>
      <c r="AQ21" s="391">
        <f t="shared" ca="1" si="86"/>
        <v>33.00611634039744</v>
      </c>
      <c r="AR21" s="390">
        <f t="shared" ca="1" si="110"/>
        <v>0.82678712532921328</v>
      </c>
      <c r="AS21" s="390">
        <f t="shared" si="87"/>
        <v>0.19979999999999998</v>
      </c>
      <c r="AT21" s="390">
        <f t="shared" si="88"/>
        <v>0.4914</v>
      </c>
      <c r="AU21" s="390">
        <f t="shared" ca="1" si="111"/>
        <v>0.36931486936523378</v>
      </c>
      <c r="AV21" s="390">
        <f t="shared" ca="1" si="112"/>
        <v>0.60906114108336717</v>
      </c>
      <c r="AW21" s="390">
        <f t="shared" si="89"/>
        <v>2.3399999999999997E-2</v>
      </c>
      <c r="AX21" s="390">
        <f t="shared" si="90"/>
        <v>0.14579999999999999</v>
      </c>
      <c r="AY21" s="390">
        <f t="shared" ca="1" si="113"/>
        <v>1.8387760104486008</v>
      </c>
      <c r="AZ21" s="390">
        <f t="shared" ca="1" si="91"/>
        <v>0.3505222494721193</v>
      </c>
      <c r="BA21" s="390">
        <f t="shared" si="92"/>
        <v>3.807E-2</v>
      </c>
      <c r="BB21" s="391">
        <f t="shared" ca="1" si="93"/>
        <v>147.51838435525244</v>
      </c>
      <c r="BC21" s="391">
        <f t="shared" ca="1" si="94"/>
        <v>164.13882470837262</v>
      </c>
      <c r="BD21" s="391">
        <f t="shared" ca="1" si="95"/>
        <v>133.36279507555278</v>
      </c>
      <c r="BE21" s="390">
        <f t="shared" ca="1" si="96"/>
        <v>16.60357710297032</v>
      </c>
      <c r="BF21" s="390">
        <f t="shared" ca="1" si="97"/>
        <v>5.3186842105263157</v>
      </c>
      <c r="BG21" s="390">
        <f t="shared" ca="1" si="114"/>
        <v>2.2273682599207199</v>
      </c>
      <c r="BH21" s="390">
        <f t="shared" ca="1" si="115"/>
        <v>13.82857894736842</v>
      </c>
      <c r="BI21" s="411">
        <f t="shared" ca="1" si="116"/>
        <v>86.127456504655612</v>
      </c>
      <c r="BJ21" s="420"/>
      <c r="BK21" s="421"/>
      <c r="BL21" s="421"/>
      <c r="BM21" s="421"/>
      <c r="BN21" s="421"/>
      <c r="BO21" s="421"/>
      <c r="BP21" s="421"/>
      <c r="BQ21" s="421"/>
      <c r="BR21" s="421"/>
      <c r="BS21" s="421"/>
      <c r="BT21" s="421"/>
      <c r="BU21" s="421"/>
      <c r="BV21" s="421"/>
      <c r="BW21" s="421"/>
      <c r="BX21" s="421"/>
      <c r="BY21" s="421"/>
      <c r="BZ21" s="421"/>
      <c r="CA21" s="421"/>
      <c r="CB21" s="421"/>
      <c r="CC21" s="421"/>
      <c r="CD21" s="421"/>
      <c r="CE21" s="421"/>
      <c r="CF21" s="421"/>
      <c r="CG21" s="421"/>
      <c r="CH21" s="421"/>
      <c r="CI21" s="421"/>
      <c r="CJ21" s="421"/>
      <c r="CK21" s="421"/>
      <c r="CL21" s="421"/>
      <c r="CM21" s="421"/>
      <c r="CN21" s="421"/>
      <c r="CO21" s="421"/>
      <c r="CP21" s="421"/>
      <c r="CQ21" s="421"/>
      <c r="CR21" s="421"/>
      <c r="CS21" s="421"/>
      <c r="CT21" s="421"/>
      <c r="CU21" s="421"/>
      <c r="CV21" s="421"/>
      <c r="CW21" s="421"/>
      <c r="CX21" s="421"/>
      <c r="CY21" s="421"/>
      <c r="CZ21" s="421"/>
      <c r="DA21" s="421"/>
      <c r="DB21" s="421"/>
      <c r="DC21" s="421"/>
      <c r="DD21" s="421"/>
      <c r="DE21" s="421"/>
      <c r="DF21" s="421"/>
      <c r="DG21" s="421"/>
      <c r="DH21" s="421"/>
      <c r="DI21" s="421"/>
      <c r="DJ21" s="421"/>
      <c r="DK21" s="421"/>
      <c r="DL21" s="421"/>
      <c r="DM21" s="421"/>
      <c r="DN21" s="421"/>
      <c r="DO21" s="421"/>
      <c r="DP21" s="421"/>
      <c r="DQ21" s="421"/>
      <c r="DR21" s="421"/>
      <c r="DS21" s="421"/>
      <c r="DT21" s="421"/>
      <c r="DU21" s="421"/>
      <c r="DV21" s="421"/>
      <c r="DW21" s="421"/>
      <c r="DX21" s="421"/>
      <c r="DY21" s="421"/>
      <c r="DZ21" s="421"/>
      <c r="EA21" s="421"/>
      <c r="EB21" s="421"/>
      <c r="EC21" s="421"/>
      <c r="ED21" s="421"/>
      <c r="EE21" s="421"/>
      <c r="EF21" s="421"/>
      <c r="EG21" s="421"/>
      <c r="EH21" s="421"/>
      <c r="EI21" s="421"/>
      <c r="EJ21" s="421"/>
      <c r="EK21" s="421"/>
      <c r="EL21" s="421"/>
      <c r="EM21" s="421"/>
      <c r="EN21" s="421"/>
      <c r="EO21" s="421"/>
      <c r="EP21" s="421"/>
      <c r="EQ21" s="421"/>
      <c r="ER21" s="421"/>
      <c r="ES21" s="421"/>
      <c r="ET21" s="421"/>
      <c r="EU21" s="421"/>
      <c r="EV21" s="421"/>
      <c r="EW21" s="421"/>
      <c r="EX21" s="421"/>
      <c r="EY21" s="421"/>
      <c r="EZ21" s="421"/>
      <c r="FA21" s="421"/>
      <c r="FB21" s="421"/>
      <c r="FC21" s="421"/>
    </row>
    <row r="22" spans="1:159">
      <c r="A22" s="134"/>
      <c r="F22" s="151"/>
    </row>
    <row r="24" spans="1:159">
      <c r="F24" s="11"/>
    </row>
    <row r="34" spans="31:31">
      <c r="AE34" s="234"/>
    </row>
    <row r="71" spans="2:9" ht="15.75" thickBot="1"/>
    <row r="72" spans="2:9">
      <c r="B72" s="172" t="s">
        <v>199</v>
      </c>
      <c r="C72" s="149"/>
      <c r="D72" s="149"/>
      <c r="E72" s="149"/>
      <c r="G72" s="200">
        <v>0</v>
      </c>
      <c r="H72" s="201">
        <v>155</v>
      </c>
      <c r="I72" s="235"/>
    </row>
    <row r="73" spans="2:9" ht="15.75" thickBot="1">
      <c r="B73" s="170" t="s">
        <v>222</v>
      </c>
      <c r="C73" s="150"/>
      <c r="D73" s="150"/>
      <c r="E73" s="152"/>
      <c r="G73" s="202">
        <v>3.5</v>
      </c>
      <c r="H73" s="203">
        <v>155</v>
      </c>
      <c r="I73" s="235"/>
    </row>
    <row r="74" spans="2:9">
      <c r="B74" s="171" t="s">
        <v>200</v>
      </c>
      <c r="C74" s="133">
        <v>0</v>
      </c>
      <c r="E74" s="11"/>
    </row>
  </sheetData>
  <sheetProtection password="83AF" sheet="1" objects="1" scenarios="1"/>
  <mergeCells count="1">
    <mergeCell ref="A1:BI1"/>
  </mergeCells>
  <pageMargins left="0.7" right="0.7" top="0.75" bottom="0.75" header="0.3" footer="0.3"/>
  <pageSetup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X117"/>
  <sheetViews>
    <sheetView topLeftCell="A97" zoomScaleNormal="100" workbookViewId="0">
      <selection activeCell="D117" sqref="D117 C50:E50 N50"/>
    </sheetView>
  </sheetViews>
  <sheetFormatPr defaultRowHeight="15"/>
  <cols>
    <col min="1" max="5" width="6.7109375" style="1" customWidth="1"/>
    <col min="6" max="16" width="6.7109375" style="155" customWidth="1"/>
    <col min="17" max="50" width="6.7109375" customWidth="1"/>
  </cols>
  <sheetData>
    <row r="1" spans="1:50" ht="24" customHeight="1" thickBot="1">
      <c r="A1" s="548" t="s">
        <v>172</v>
      </c>
      <c r="B1" s="548"/>
      <c r="C1" s="548"/>
      <c r="D1" s="548"/>
      <c r="E1" s="548"/>
      <c r="F1" s="548"/>
      <c r="G1" s="548"/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  <c r="T1" s="548"/>
      <c r="U1" s="548"/>
      <c r="V1" s="548"/>
      <c r="W1" s="548"/>
      <c r="X1" s="548"/>
      <c r="Y1" s="548"/>
      <c r="Z1" s="548"/>
      <c r="AA1" s="548"/>
      <c r="AB1" s="548"/>
      <c r="AC1" s="548"/>
      <c r="AD1" s="548"/>
      <c r="AE1" s="548"/>
      <c r="AF1" s="548"/>
      <c r="AG1" s="548"/>
      <c r="AH1" s="548"/>
      <c r="AI1" s="548"/>
      <c r="AJ1" s="548"/>
      <c r="AK1" s="548"/>
      <c r="AL1" s="548"/>
      <c r="AM1" s="548"/>
      <c r="AN1" s="548"/>
      <c r="AO1" s="548"/>
      <c r="AP1" s="548"/>
      <c r="AQ1" s="548"/>
      <c r="AR1" s="548"/>
      <c r="AS1" s="548"/>
      <c r="AT1" s="548"/>
      <c r="AU1" s="548"/>
      <c r="AV1" s="548"/>
      <c r="AW1" s="548"/>
      <c r="AX1" s="548"/>
    </row>
    <row r="2" spans="1:50" s="189" customFormat="1" ht="18" customHeight="1">
      <c r="A2" s="199" t="s">
        <v>275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211"/>
      <c r="O2" s="211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  <c r="AR2" s="197"/>
      <c r="AS2" s="197"/>
      <c r="AT2" s="197"/>
      <c r="AU2" s="197"/>
      <c r="AV2" s="197"/>
      <c r="AW2" s="197"/>
      <c r="AX2" s="197"/>
    </row>
    <row r="3" spans="1:50" s="224" customFormat="1" ht="18" customHeight="1">
      <c r="A3" s="225"/>
      <c r="B3" s="222"/>
      <c r="C3" s="236"/>
      <c r="D3" s="236"/>
      <c r="E3" s="236"/>
      <c r="F3" s="236"/>
      <c r="G3" s="236" t="s">
        <v>264</v>
      </c>
      <c r="H3" s="236" t="s">
        <v>264</v>
      </c>
      <c r="I3" s="236" t="s">
        <v>265</v>
      </c>
      <c r="J3" s="236"/>
      <c r="K3" s="236"/>
      <c r="L3" s="236"/>
      <c r="M3" s="236"/>
      <c r="N3" s="236" t="s">
        <v>264</v>
      </c>
      <c r="O3" s="236" t="s">
        <v>265</v>
      </c>
      <c r="P3" s="236"/>
      <c r="Q3" s="236"/>
      <c r="R3" s="236"/>
      <c r="S3" s="244"/>
      <c r="T3" s="236"/>
      <c r="U3" s="236"/>
      <c r="V3" s="236"/>
      <c r="W3" s="236" t="s">
        <v>264</v>
      </c>
      <c r="X3" s="236" t="s">
        <v>264</v>
      </c>
      <c r="Y3" s="236" t="s">
        <v>265</v>
      </c>
      <c r="Z3" s="236"/>
      <c r="AA3" s="236"/>
      <c r="AB3" s="236"/>
      <c r="AC3" s="236"/>
      <c r="AD3" s="236" t="s">
        <v>264</v>
      </c>
      <c r="AE3" s="236" t="s">
        <v>265</v>
      </c>
      <c r="AF3" s="236"/>
      <c r="AG3" s="236"/>
      <c r="AH3" s="236"/>
      <c r="AI3" s="244"/>
      <c r="AJ3" s="236"/>
      <c r="AK3" s="236"/>
      <c r="AL3" s="236"/>
      <c r="AM3" s="236" t="s">
        <v>264</v>
      </c>
      <c r="AN3" s="236" t="s">
        <v>264</v>
      </c>
      <c r="AO3" s="236" t="s">
        <v>265</v>
      </c>
      <c r="AP3" s="236"/>
      <c r="AQ3" s="236"/>
      <c r="AR3" s="236"/>
      <c r="AS3" s="236"/>
      <c r="AT3" s="236" t="s">
        <v>264</v>
      </c>
      <c r="AU3" s="236" t="s">
        <v>265</v>
      </c>
      <c r="AV3" s="236"/>
      <c r="AW3" s="236"/>
      <c r="AX3" s="236"/>
    </row>
    <row r="4" spans="1:50" s="156" customFormat="1" thickBot="1">
      <c r="A4" s="179" t="s">
        <v>198</v>
      </c>
      <c r="B4" s="196" t="s">
        <v>103</v>
      </c>
      <c r="C4" s="178" t="s">
        <v>93</v>
      </c>
      <c r="D4" s="169" t="s">
        <v>220</v>
      </c>
      <c r="E4" s="169" t="s">
        <v>221</v>
      </c>
      <c r="F4" s="169" t="s">
        <v>94</v>
      </c>
      <c r="G4" s="169" t="s">
        <v>271</v>
      </c>
      <c r="H4" s="169" t="s">
        <v>272</v>
      </c>
      <c r="I4" s="169" t="s">
        <v>272</v>
      </c>
      <c r="J4" s="169" t="s">
        <v>269</v>
      </c>
      <c r="K4" s="169" t="s">
        <v>263</v>
      </c>
      <c r="L4" s="169" t="s">
        <v>232</v>
      </c>
      <c r="M4" s="169" t="s">
        <v>254</v>
      </c>
      <c r="N4" s="169" t="s">
        <v>270</v>
      </c>
      <c r="O4" s="169" t="s">
        <v>270</v>
      </c>
      <c r="P4" s="169" t="s">
        <v>228</v>
      </c>
      <c r="Q4" s="178" t="s">
        <v>227</v>
      </c>
      <c r="R4" s="180" t="s">
        <v>327</v>
      </c>
      <c r="S4" s="178" t="s">
        <v>93</v>
      </c>
      <c r="T4" s="169" t="s">
        <v>220</v>
      </c>
      <c r="U4" s="169" t="s">
        <v>221</v>
      </c>
      <c r="V4" s="169" t="s">
        <v>94</v>
      </c>
      <c r="W4" s="169" t="s">
        <v>271</v>
      </c>
      <c r="X4" s="169" t="s">
        <v>272</v>
      </c>
      <c r="Y4" s="169" t="s">
        <v>272</v>
      </c>
      <c r="Z4" s="169" t="s">
        <v>269</v>
      </c>
      <c r="AA4" s="169" t="s">
        <v>263</v>
      </c>
      <c r="AB4" s="169" t="s">
        <v>232</v>
      </c>
      <c r="AC4" s="169" t="s">
        <v>254</v>
      </c>
      <c r="AD4" s="169" t="s">
        <v>270</v>
      </c>
      <c r="AE4" s="169" t="s">
        <v>270</v>
      </c>
      <c r="AF4" s="169" t="s">
        <v>228</v>
      </c>
      <c r="AG4" s="169" t="s">
        <v>227</v>
      </c>
      <c r="AH4" s="180" t="s">
        <v>327</v>
      </c>
      <c r="AI4" s="178" t="s">
        <v>93</v>
      </c>
      <c r="AJ4" s="169" t="s">
        <v>220</v>
      </c>
      <c r="AK4" s="169" t="s">
        <v>221</v>
      </c>
      <c r="AL4" s="169" t="s">
        <v>94</v>
      </c>
      <c r="AM4" s="169" t="s">
        <v>271</v>
      </c>
      <c r="AN4" s="169" t="s">
        <v>272</v>
      </c>
      <c r="AO4" s="169" t="s">
        <v>272</v>
      </c>
      <c r="AP4" s="169" t="s">
        <v>269</v>
      </c>
      <c r="AQ4" s="169" t="s">
        <v>263</v>
      </c>
      <c r="AR4" s="169" t="s">
        <v>232</v>
      </c>
      <c r="AS4" s="169" t="s">
        <v>254</v>
      </c>
      <c r="AT4" s="169" t="s">
        <v>270</v>
      </c>
      <c r="AU4" s="169" t="s">
        <v>270</v>
      </c>
      <c r="AV4" s="169" t="s">
        <v>228</v>
      </c>
      <c r="AW4" s="169" t="s">
        <v>227</v>
      </c>
      <c r="AX4" s="180" t="s">
        <v>327</v>
      </c>
    </row>
    <row r="5" spans="1:50" s="340" customFormat="1" ht="12.75" customHeight="1">
      <c r="A5" s="320">
        <v>25</v>
      </c>
      <c r="B5" s="321">
        <f t="shared" ref="B5:B44" si="0">$B6+$AX$90</f>
        <v>11.999999999999995</v>
      </c>
      <c r="C5" s="322">
        <f t="shared" ref="C5:C45" si="1">Iout</f>
        <v>2.6</v>
      </c>
      <c r="D5" s="323">
        <f t="shared" ref="D5:D45" ca="1" si="2">IF( 100*((Vout_typ+C5*Rwire/1000)+C5*(IF(ISBLANK(DCRLo_Sel),DCR_Lo,DCRLo_Sel)/1000*(1+TCR_DCRLo/100*(M5-25))+O5/1000))/($B5-C5*N5/1000) &gt; ChosenmaxDuty_max, ChosenmaxDuty_max, 100*((Vout_typ+C5*Rwire/1000)+C5*(IF(ISBLANK(DCRLo_Sel),DCR_Lo,DCRLo_Sel)/1000*(1+TCR_DCRLo/100*(M5-25))+O5/1000))/($B5-C5*N5/1000) )</f>
        <v>48.510732484219645</v>
      </c>
      <c r="E5" s="324">
        <f t="shared" ref="E5:E45" ca="1" si="3">IF(($B5-C5*IF(ISBLANK(DCRLo_Sel),DCR_Lo,DCRLo_Sel)/1000*(1+TCR_DCRLo/100*(M5-25))-(Vout_typ+C5*Rwire/1000))/(IF(ISBLANK(Lo_sel),Lo_Ridley,Lo_sel)/1000000)*D5/100/(IF(ISBLANK(Fsw_Sel),Fsw_Recom,Fsw_Sel)*1000000)&lt;0, 0, ($B5-C5*IF(ISBLANK(DCRLo_Sel),DCR_Lo,DCRLo_Sel)/1000*(1+TCR_DCRLo/100*(M5-25))-(Vout_typ+C5*Rwire/1000))/(IF(ISBLANK(Lo_sel),Lo_Ridley,Lo_sel)/1000000)*D5/100/(IF(ISBLANK(Fsw_Sel),Fsw_Recom,Fsw_Sel)*1000000))</f>
        <v>0.63790388207114845</v>
      </c>
      <c r="F5" s="325">
        <f t="shared" ref="F5:F45" si="4">$B5*IQ/1000+IF(ISBLANK(Fsw_Sel),Fsw_Recom,Fsw_Sel)*1000000*(QgHS+QgLS)/1000000000*$B5</f>
        <v>0.13319999999999993</v>
      </c>
      <c r="G5" s="325">
        <f t="shared" ref="G5:G45" si="5">$B5*C5*($B5/(SR_rise*1000000000)*IF(ISBLANK(Fsw_Sel),Fsw_Recom,Fsw_Sel)*1000000/2+$B5/(SR_fall*1000000000)*IF(ISBLANK(Fsw_Sel),Fsw_Recom,Fsw_Sel)*1000000/2)</f>
        <v>0.21839999999999984</v>
      </c>
      <c r="H5" s="325">
        <f t="shared" ref="H5:H45" ca="1" si="6">IF($D$117,1,D5/100*(C5^2+E5^2/12)*N5/1000)</f>
        <v>0.38700217825217503</v>
      </c>
      <c r="I5" s="325">
        <f t="shared" ref="I5:I45" ca="1" si="7">IF($D$117,1,(1-D5/100)*(C5^2+E5^2/12)*N5/1000)</f>
        <v>0.41076392098795783</v>
      </c>
      <c r="J5" s="325">
        <f t="shared" ref="J5:J45" si="8">2*C5*tnonOverlap/1000000000*VSD_LS*IF(ISBLANK(Fsw_Sel),Fsw_Recom,Fsw_Sel)*1000000</f>
        <v>2.3399999999999997E-2</v>
      </c>
      <c r="K5" s="325">
        <f t="shared" ref="K5:K45" si="9">(QgHS+QgLS)/1000000000*$B5*IF(ISBLANK(Fsw_Sel),Fsw_Recom,Fsw_Sel)*1000000</f>
        <v>9.7199999999999953E-2</v>
      </c>
      <c r="L5" s="325">
        <f ca="1">SUM(F5:K5)</f>
        <v>1.2699660992401327</v>
      </c>
      <c r="M5" s="326">
        <f t="shared" ref="M5:M45" ca="1" si="10">L5*Rth_typ+$A5</f>
        <v>68.178847374164519</v>
      </c>
      <c r="N5" s="326">
        <f t="shared" ref="N5:N45" ca="1" si="11">RdsHS_max+RdsHS_max*TCR_Rds/100*(M5-25)</f>
        <v>117.42370533390806</v>
      </c>
      <c r="O5" s="326">
        <f t="shared" ref="O5:O45" ca="1" si="12">RdsLS_max+RdsLS_max*TCR_Rds/100*(M5-25)</f>
        <v>95.406760583800306</v>
      </c>
      <c r="P5" s="325">
        <f t="shared" ref="P5:P45" ca="1" si="13">(1-toffmin_typ/1000000000*Fsw_Sel*1000000) * ($B5+C5*O5/1000-C5*N5/1000) - (C5*O5/1000+C5*(1+($A5-25)*TCR_DCRLo/100)*IF(ISBLANK(DCRLo_Sel),DCR_Lo/1000,DCRLo_Sel/1000))</f>
        <v>11.006560568949348</v>
      </c>
      <c r="Q5" s="324">
        <f t="shared" ref="Q5:Q45" ca="1" si="14">IF(P5&gt;(Vout_typ+C5*Rwire/1000),(Vout_typ+C5*Rwire/1000),P5)</f>
        <v>5.3186842105263157</v>
      </c>
      <c r="R5" s="327">
        <f t="shared" ref="R5:R45" ca="1" si="15">IF(P5&gt;(Vout_typ+C5*Rwire/1000),Vout_typ,(P5-C5*Rwire/1000))</f>
        <v>4.9936842105263155</v>
      </c>
      <c r="S5" s="328">
        <f t="shared" ref="S5:S45" si="16">2*Iout/3</f>
        <v>1.7333333333333334</v>
      </c>
      <c r="T5" s="329">
        <f t="shared" ref="T5:T45" ca="1" si="17">IF( 100*((Vout_typ+S5*Rwire/1000)+S5*(IF(ISBLANK(DCRLo_Sel),DCR_Lo,DCRLo_Sel)/1000*(1+TCR_DCRLo/100*(AC5-25))+AE5/1000))/($B5-S5*AD5/1000) &gt; ChosenmaxDuty_max, ChosenmaxDuty_max, 100*((Vout_typ+S5*Rwire/1000)+S5*(IF(ISBLANK(DCRLo_Sel),DCR_Lo,DCRLo_Sel)/1000*(1+TCR_DCRLo/100*(AC5-25))+AE5/1000))/($B5-S5*AD5/1000) )</f>
        <v>45.926135556606923</v>
      </c>
      <c r="U5" s="330">
        <f t="shared" ref="U5:U45" ca="1" si="18">IF(($B5-S5*IF(ISBLANK(DCRLo_Sel),DCR_Lo,DCRLo_Sel)/1000*(1+TCR_DCRLo/100*(AC5-25))-(Vout_typ+S5*Rwire/1000))/(IF(ISBLANK(Lo_sel),Lo_Ridley,Lo_sel)/1000000)*T5/100/(IF(ISBLANK(Fsw_Sel),Fsw_Recom,Fsw_Sel)*1000000)&lt;0, 0, ($B5-S5*IF(ISBLANK(DCRLo_Sel),DCR_Lo,DCRLo_Sel)/1000*(1+TCR_DCRLo/100*(AC5-25))-(Vout_typ+S5*Rwire/1000))/(IF(ISBLANK(Lo_sel),Lo_Ridley,Lo_sel)/1000000)*T5/100/(IF(ISBLANK(Fsw_Sel),Fsw_Recom,Fsw_Sel)*1000000))</f>
        <v>0.61754042777395568</v>
      </c>
      <c r="V5" s="331">
        <f t="shared" ref="V5:V45" si="19">$B5*IQ/1000+IF(ISBLANK(Fsw_Sel),Fsw_Recom,Fsw_Sel)*1000000*(QgHS+QgLS)/1000000000*$B5</f>
        <v>0.13319999999999993</v>
      </c>
      <c r="W5" s="331">
        <f t="shared" ref="W5:W45" si="20">$B5*S5*($B5/(SR_rise*1000000000)*IF(ISBLANK(Fsw_Sel),Fsw_Recom,Fsw_Sel)*1000000/2+$B5/(SR_fall*1000000000)*IF(ISBLANK(Fsw_Sel),Fsw_Recom,Fsw_Sel)*1000000/2)</f>
        <v>0.14559999999999987</v>
      </c>
      <c r="X5" s="331">
        <f ca="1">IF($D$117,1,T5/100*(S5^2+U5^2/12)*AD5/1000)</f>
        <v>0.14822797023583506</v>
      </c>
      <c r="Y5" s="331">
        <f ca="1">IF($D$117,1,(1-T5/100)*(S5^2+U5^2/12)*AD5/1000)</f>
        <v>0.17452500786556549</v>
      </c>
      <c r="Z5" s="331">
        <f t="shared" ref="Z5:Z45" si="21">2*S5*tnonOverlap/1000000000*VSD_LS*IF(ISBLANK(Fsw_Sel),Fsw_Recom,Fsw_Sel)*1000000</f>
        <v>1.5600000000000001E-2</v>
      </c>
      <c r="AA5" s="331">
        <f t="shared" ref="AA5:AA45" si="22">(QgHS+QgLS)/1000000000*$B5*IF(ISBLANK(Fsw_Sel),Fsw_Recom,Fsw_Sel)*1000000</f>
        <v>9.7199999999999953E-2</v>
      </c>
      <c r="AB5" s="331">
        <f ca="1">SUM(V5:AA5)</f>
        <v>0.7143529781014003</v>
      </c>
      <c r="AC5" s="332">
        <f t="shared" ref="AC5:AC45" ca="1" si="23">AB5*Rth_typ+$A5</f>
        <v>49.288001255447611</v>
      </c>
      <c r="AD5" s="332">
        <f t="shared" ref="AD5:AD45" ca="1" si="24">RdsHS_max+RdsHS_max*TCR_Rds/100*(AC5-25)</f>
        <v>106.30077513920756</v>
      </c>
      <c r="AE5" s="332">
        <f t="shared" ref="AE5:AE45" ca="1" si="25">RdsLS_max+RdsLS_max*TCR_Rds/100*(AC5-25)</f>
        <v>86.36937980060614</v>
      </c>
      <c r="AF5" s="331">
        <f t="shared" ref="AF5:AF45" ca="1" si="26">(1-toffmin_typ/1000000000*Fsw_Sel*1000000) * ($B5+S5*AE5/1000-S5*AD5/1000) - (S5*AE5/1000+S5*(1+($A5-25)*TCR_DCRLo/100)*IF(ISBLANK(DCRLo_Sel),DCR_Lo/1000,DCRLo_Sel/1000))</f>
        <v>11.156806044021378</v>
      </c>
      <c r="AG5" s="330">
        <f t="shared" ref="AG5:AG45" ca="1" si="27">IF(AF5&gt;(Vout_typ+S5*Rwire/1000),(Vout_typ+S5*Rwire/1000),AF5)</f>
        <v>5.2103508771929823</v>
      </c>
      <c r="AH5" s="333">
        <f t="shared" ref="AH5:AH45" ca="1" si="28">IF(AF5&gt;(Vout_typ+S5*Rwire/1000),Vout_typ,AF5-S5*Rwire/1000)</f>
        <v>4.9936842105263155</v>
      </c>
      <c r="AI5" s="334">
        <f t="shared" ref="AI5:AI45" si="29">Iout/3</f>
        <v>0.8666666666666667</v>
      </c>
      <c r="AJ5" s="335">
        <f t="shared" ref="AJ5:AJ45" ca="1" si="30">IF( 100*((Vout_typ+AI5*Rwire/1000)+AI5*(IF(ISBLANK(DCRLo_Sel),DCR_Lo,DCRLo_Sel)/1000*(1+TCR_DCRLo/100*(AS5-25))+AU5/1000))/($B5-AI5*AT5/1000) &gt; ChosenmaxDuty_max, ChosenmaxDuty_max, 100*((Vout_typ+AI5*Rwire/1000)+AI5*(IF(ISBLANK(DCRLo_Sel),DCR_Lo,DCRLo_Sel)/1000*(1+TCR_DCRLo/100*(AS5-25))+AU5/1000))/($B5-AI5*AT5/1000) )</f>
        <v>43.683094227580696</v>
      </c>
      <c r="AK5" s="336">
        <f t="shared" ref="AK5:AK45" ca="1" si="31">IF(($B5-AI5*IF(ISBLANK(DCRLo_Sel),DCR_Lo,DCRLo_Sel)/1000*(1+TCR_DCRLo/100*(AS5-25))-(Vout_typ+AI5*Rwire/1000))/(IF(ISBLANK(Lo_sel),Lo_Ridley,Lo_sel)/1000000)*AJ5/100/(IF(ISBLANK(Fsw_Sel),Fsw_Recom,Fsw_Sel)*1000000)&lt;0, 0, ($B5-AI5*IF(ISBLANK(DCRLo_Sel),DCR_Lo,DCRLo_Sel)/1000*(1+TCR_DCRLo/100*(AS5-25))-(Vout_typ+AI5*Rwire/1000))/(IF(ISBLANK(Lo_sel),Lo_Ridley,Lo_sel)/1000000)*AJ5/100/(IF(ISBLANK(Fsw_Sel),Fsw_Recom,Fsw_Sel)*1000000))</f>
        <v>0.59986259997342894</v>
      </c>
      <c r="AL5" s="337">
        <f t="shared" ref="AL5:AL45" si="32">$B5*IQ/1000+IF(ISBLANK(Fsw_Sel),Fsw_Recom,Fsw_Sel)*1000000*(QgHS+QgLS)/1000000000*$B5</f>
        <v>0.13319999999999993</v>
      </c>
      <c r="AM5" s="337">
        <f t="shared" ref="AM5:AM45" si="33">$B5*AI5*($B5/(SR_rise*1000000000)*IF(ISBLANK(Fsw_Sel),Fsw_Recom,Fsw_Sel)*1000000/2+$B5/(SR_fall*1000000000)*IF(ISBLANK(Fsw_Sel),Fsw_Recom,Fsw_Sel)*1000000/2)</f>
        <v>7.2799999999999934E-2</v>
      </c>
      <c r="AN5" s="337">
        <f ca="1">IF($D$117,1,AJ5/100*(AI5^2+AK5^2/12)*AT5/1000)</f>
        <v>3.404784242072325E-2</v>
      </c>
      <c r="AO5" s="337">
        <f ca="1">IF($D$117,1,(1-AJ5/100)*(AI5^2+AK5^2/12)*AT5/1000)</f>
        <v>4.3894993412609433E-2</v>
      </c>
      <c r="AP5" s="337">
        <f t="shared" ref="AP5:AP45" si="34">2*AI5*tnonOverlap/1000000000*VSD_LS*IF(ISBLANK(Fsw_Sel),Fsw_Recom,Fsw_Sel)*1000000</f>
        <v>7.8000000000000005E-3</v>
      </c>
      <c r="AQ5" s="337">
        <f t="shared" ref="AQ5:AQ45" si="35">(QgHS+QgLS)/1000000000*$B5*IF(ISBLANK(Fsw_Sel),Fsw_Recom,Fsw_Sel)*1000000</f>
        <v>9.7199999999999953E-2</v>
      </c>
      <c r="AR5" s="337">
        <f ca="1">SUM(AL5:AQ5)</f>
        <v>0.38894283583333245</v>
      </c>
      <c r="AS5" s="338">
        <f t="shared" ref="AS5:AS45" ca="1" si="36">AR5*Rth_typ+$A5</f>
        <v>38.224056418333305</v>
      </c>
      <c r="AT5" s="338">
        <f t="shared" ref="AT5:AT45" ca="1" si="37">RdsHS_max+RdsHS_max*TCR_Rds/100*(AS5-25)</f>
        <v>99.786324419114649</v>
      </c>
      <c r="AU5" s="338">
        <f t="shared" ref="AU5:AU45" ca="1" si="38">RdsLS_max+RdsLS_max*TCR_Rds/100*(AS5-25)</f>
        <v>81.076388590530655</v>
      </c>
      <c r="AV5" s="337">
        <f t="shared" ref="AV5:AV45" ca="1" si="39">(1-toffmin_typ/1000000000*Fsw_Sel*1000000) * ($B5+AI5*AU5/1000-AI5*AT5/1000) - (AI5*AU5/1000+AI5*(1+($A5-25)*TCR_DCRLo/100)*IF(ISBLANK(DCRLo_Sel),DCR_Lo/1000,DCRLo_Sel/1000))</f>
        <v>11.283995949389332</v>
      </c>
      <c r="AW5" s="336">
        <f t="shared" ref="AW5:AW45" ca="1" si="40">IF(AV5&gt;(Vout_typ+AI5*Rwire/1000),(Vout_typ+AI5*Rwire/1000),AV5)</f>
        <v>5.1020175438596489</v>
      </c>
      <c r="AX5" s="339">
        <f t="shared" ref="AX5:AX45" ca="1" si="41">IF(AV5&gt;(Vout_typ+AI5*Rwire/1000),Vout_typ,AV5-AI5*Rwire/1000)</f>
        <v>4.9936842105263155</v>
      </c>
    </row>
    <row r="6" spans="1:50" s="358" customFormat="1" ht="12.75" customHeight="1">
      <c r="A6" s="346">
        <v>25</v>
      </c>
      <c r="B6" s="347">
        <f t="shared" si="0"/>
        <v>11.764999999999995</v>
      </c>
      <c r="C6" s="348">
        <f t="shared" si="1"/>
        <v>2.6</v>
      </c>
      <c r="D6" s="360">
        <f t="shared" ca="1" si="2"/>
        <v>49.494904547216585</v>
      </c>
      <c r="E6" s="349">
        <f t="shared" ca="1" si="3"/>
        <v>0.62760115436274944</v>
      </c>
      <c r="F6" s="350">
        <f t="shared" si="4"/>
        <v>0.13059149999999994</v>
      </c>
      <c r="G6" s="350">
        <f t="shared" si="5"/>
        <v>0.20992975791666649</v>
      </c>
      <c r="H6" s="350">
        <f t="shared" ca="1" si="6"/>
        <v>0.39376916780518034</v>
      </c>
      <c r="I6" s="350">
        <f t="shared" ca="1" si="7"/>
        <v>0.40180599575440767</v>
      </c>
      <c r="J6" s="350">
        <f t="shared" si="8"/>
        <v>2.3399999999999997E-2</v>
      </c>
      <c r="K6" s="350">
        <f t="shared" si="9"/>
        <v>9.5296499999999951E-2</v>
      </c>
      <c r="L6" s="350">
        <f t="shared" ref="L6:L45" ca="1" si="42">SUM(F6:K6)</f>
        <v>1.2547929214762545</v>
      </c>
      <c r="M6" s="351">
        <f t="shared" ca="1" si="10"/>
        <v>67.662959330192649</v>
      </c>
      <c r="N6" s="351">
        <f t="shared" ca="1" si="11"/>
        <v>117.11995045361743</v>
      </c>
      <c r="O6" s="351">
        <f t="shared" ca="1" si="12"/>
        <v>95.159959743564173</v>
      </c>
      <c r="P6" s="350">
        <f t="shared" ca="1" si="13"/>
        <v>10.784092927612896</v>
      </c>
      <c r="Q6" s="361">
        <f t="shared" ca="1" si="14"/>
        <v>5.3186842105263157</v>
      </c>
      <c r="R6" s="363">
        <f t="shared" ca="1" si="15"/>
        <v>4.9936842105263155</v>
      </c>
      <c r="S6" s="352">
        <f t="shared" si="16"/>
        <v>1.7333333333333334</v>
      </c>
      <c r="T6" s="365">
        <f t="shared" ca="1" si="17"/>
        <v>46.853123806983191</v>
      </c>
      <c r="U6" s="366">
        <f t="shared" ca="1" si="18"/>
        <v>0.60799239882548228</v>
      </c>
      <c r="V6" s="353">
        <f t="shared" si="19"/>
        <v>0.13059149999999994</v>
      </c>
      <c r="W6" s="353">
        <f t="shared" si="20"/>
        <v>0.13995317194444434</v>
      </c>
      <c r="X6" s="353">
        <f t="shared" ref="X6:X45" ca="1" si="43">IF($D$117,1,T6/100*(S6^2+U6^2/12)*AD6/1000)</f>
        <v>0.15086021721263534</v>
      </c>
      <c r="Y6" s="353">
        <f t="shared" ref="Y6:Y45" ca="1" si="44">IF($D$117,1,(1-T6/100)*(S6^2+U6^2/12)*AD6/1000)</f>
        <v>0.17112518088829234</v>
      </c>
      <c r="Z6" s="353">
        <f t="shared" si="21"/>
        <v>1.5600000000000001E-2</v>
      </c>
      <c r="AA6" s="353">
        <f t="shared" si="22"/>
        <v>9.5296499999999951E-2</v>
      </c>
      <c r="AB6" s="353">
        <f t="shared" ref="AB6:AB45" ca="1" si="45">SUM(V6:AA6)</f>
        <v>0.7034265700453719</v>
      </c>
      <c r="AC6" s="354">
        <f t="shared" ca="1" si="23"/>
        <v>48.91650338154264</v>
      </c>
      <c r="AD6" s="354">
        <f t="shared" ca="1" si="24"/>
        <v>106.08203719105231</v>
      </c>
      <c r="AE6" s="354">
        <f t="shared" ca="1" si="25"/>
        <v>86.191655217730002</v>
      </c>
      <c r="AF6" s="353">
        <f t="shared" ca="1" si="26"/>
        <v>10.933931635306525</v>
      </c>
      <c r="AG6" s="366">
        <f t="shared" ca="1" si="27"/>
        <v>5.2103508771929823</v>
      </c>
      <c r="AH6" s="368">
        <f t="shared" ca="1" si="28"/>
        <v>4.9936842105263155</v>
      </c>
      <c r="AI6" s="355">
        <f t="shared" si="29"/>
        <v>0.8666666666666667</v>
      </c>
      <c r="AJ6" s="370">
        <f t="shared" ca="1" si="30"/>
        <v>44.560432343436993</v>
      </c>
      <c r="AK6" s="371">
        <f t="shared" ca="1" si="31"/>
        <v>0.59096965536479329</v>
      </c>
      <c r="AL6" s="356">
        <f t="shared" si="32"/>
        <v>0.13059149999999994</v>
      </c>
      <c r="AM6" s="356">
        <f t="shared" si="33"/>
        <v>6.9976585972222172E-2</v>
      </c>
      <c r="AN6" s="356">
        <f t="shared" ref="AN6:AN45" ca="1" si="46">IF($D$117,1,AJ6/100*(AI6^2+AK6^2/12)*AT6/1000)</f>
        <v>3.4639936719463679E-2</v>
      </c>
      <c r="AO6" s="356">
        <f t="shared" ref="AO6:AO45" ca="1" si="47">IF($D$117,1,(1-AJ6/100)*(AI6^2+AK6^2/12)*AT6/1000)</f>
        <v>4.3097048533475762E-2</v>
      </c>
      <c r="AP6" s="356">
        <f t="shared" si="34"/>
        <v>7.8000000000000005E-3</v>
      </c>
      <c r="AQ6" s="356">
        <f t="shared" si="35"/>
        <v>9.5296499999999951E-2</v>
      </c>
      <c r="AR6" s="356">
        <f t="shared" ref="AR6:AR45" ca="1" si="48">SUM(AL6:AQ6)</f>
        <v>0.3814015712251615</v>
      </c>
      <c r="AS6" s="357">
        <f t="shared" ca="1" si="36"/>
        <v>37.967653421655491</v>
      </c>
      <c r="AT6" s="357">
        <f t="shared" ca="1" si="37"/>
        <v>99.635354334670751</v>
      </c>
      <c r="AU6" s="357">
        <f t="shared" ca="1" si="38"/>
        <v>80.953725396919992</v>
      </c>
      <c r="AV6" s="356">
        <f t="shared" ca="1" si="39"/>
        <v>11.060875563497248</v>
      </c>
      <c r="AW6" s="371">
        <f t="shared" ca="1" si="40"/>
        <v>5.1020175438596489</v>
      </c>
      <c r="AX6" s="373">
        <f t="shared" ca="1" si="41"/>
        <v>4.9936842105263155</v>
      </c>
    </row>
    <row r="7" spans="1:50" s="358" customFormat="1" ht="12.75" customHeight="1">
      <c r="A7" s="346">
        <v>25</v>
      </c>
      <c r="B7" s="347">
        <f t="shared" si="0"/>
        <v>11.529999999999996</v>
      </c>
      <c r="C7" s="348">
        <f t="shared" si="1"/>
        <v>2.6</v>
      </c>
      <c r="D7" s="360">
        <f t="shared" ca="1" si="2"/>
        <v>50.52027904349211</v>
      </c>
      <c r="E7" s="349">
        <f t="shared" ca="1" si="3"/>
        <v>0.61687689806401214</v>
      </c>
      <c r="F7" s="350">
        <f t="shared" si="4"/>
        <v>0.12798299999999996</v>
      </c>
      <c r="G7" s="350">
        <f t="shared" si="5"/>
        <v>0.20162703166666654</v>
      </c>
      <c r="H7" s="350">
        <f t="shared" ca="1" si="6"/>
        <v>0.40083187624588917</v>
      </c>
      <c r="I7" s="350">
        <f t="shared" ca="1" si="7"/>
        <v>0.39257600636065654</v>
      </c>
      <c r="J7" s="350">
        <f t="shared" si="8"/>
        <v>2.3399999999999997E-2</v>
      </c>
      <c r="K7" s="350">
        <f t="shared" si="9"/>
        <v>9.3392999999999962E-2</v>
      </c>
      <c r="L7" s="350">
        <f t="shared" ca="1" si="42"/>
        <v>1.2398109142732123</v>
      </c>
      <c r="M7" s="351">
        <f t="shared" ca="1" si="10"/>
        <v>67.153571085289229</v>
      </c>
      <c r="N7" s="351">
        <f t="shared" ca="1" si="11"/>
        <v>116.82002265501831</v>
      </c>
      <c r="O7" s="351">
        <f t="shared" ca="1" si="12"/>
        <v>94.916268407202367</v>
      </c>
      <c r="P7" s="350">
        <f t="shared" ca="1" si="13"/>
        <v>10.561615429149162</v>
      </c>
      <c r="Q7" s="361">
        <f t="shared" ca="1" si="14"/>
        <v>5.3186842105263157</v>
      </c>
      <c r="R7" s="363">
        <f t="shared" ca="1" si="15"/>
        <v>4.9936842105263155</v>
      </c>
      <c r="S7" s="352">
        <f t="shared" si="16"/>
        <v>1.7333333333333334</v>
      </c>
      <c r="T7" s="365">
        <f t="shared" ca="1" si="17"/>
        <v>47.818502620627861</v>
      </c>
      <c r="U7" s="366">
        <f t="shared" ca="1" si="18"/>
        <v>0.59805337959840976</v>
      </c>
      <c r="V7" s="353">
        <f t="shared" si="19"/>
        <v>0.12798299999999996</v>
      </c>
      <c r="W7" s="353">
        <f t="shared" si="20"/>
        <v>0.13441802111111101</v>
      </c>
      <c r="X7" s="353">
        <f t="shared" ca="1" si="43"/>
        <v>0.15360393933727395</v>
      </c>
      <c r="Y7" s="353">
        <f t="shared" ca="1" si="44"/>
        <v>0.16761887384009341</v>
      </c>
      <c r="Z7" s="353">
        <f t="shared" si="21"/>
        <v>1.5600000000000001E-2</v>
      </c>
      <c r="AA7" s="353">
        <f t="shared" si="22"/>
        <v>9.3392999999999962E-2</v>
      </c>
      <c r="AB7" s="353">
        <f t="shared" ca="1" si="45"/>
        <v>0.6926168342884782</v>
      </c>
      <c r="AC7" s="354">
        <f t="shared" ca="1" si="23"/>
        <v>48.548972365808254</v>
      </c>
      <c r="AD7" s="354">
        <f t="shared" ca="1" si="24"/>
        <v>105.8656349289879</v>
      </c>
      <c r="AE7" s="354">
        <f t="shared" ca="1" si="25"/>
        <v>86.01582837980267</v>
      </c>
      <c r="AF7" s="353">
        <f t="shared" ca="1" si="26"/>
        <v>10.711053216024014</v>
      </c>
      <c r="AG7" s="366">
        <f t="shared" ca="1" si="27"/>
        <v>5.2103508771929823</v>
      </c>
      <c r="AH7" s="368">
        <f t="shared" ca="1" si="28"/>
        <v>4.9936842105263155</v>
      </c>
      <c r="AI7" s="355">
        <f t="shared" si="29"/>
        <v>0.8666666666666667</v>
      </c>
      <c r="AJ7" s="370">
        <f t="shared" ca="1" si="30"/>
        <v>45.473795437044174</v>
      </c>
      <c r="AK7" s="371">
        <f t="shared" ca="1" si="31"/>
        <v>0.58171294116398808</v>
      </c>
      <c r="AL7" s="356">
        <f t="shared" si="32"/>
        <v>0.12798299999999996</v>
      </c>
      <c r="AM7" s="356">
        <f t="shared" si="33"/>
        <v>6.7209010555555504E-2</v>
      </c>
      <c r="AN7" s="356">
        <f t="shared" ca="1" si="46"/>
        <v>3.5255859527414779E-2</v>
      </c>
      <c r="AO7" s="356">
        <f t="shared" ca="1" si="47"/>
        <v>4.2274197483604829E-2</v>
      </c>
      <c r="AP7" s="356">
        <f t="shared" si="34"/>
        <v>7.8000000000000005E-3</v>
      </c>
      <c r="AQ7" s="356">
        <f t="shared" si="35"/>
        <v>9.3392999999999962E-2</v>
      </c>
      <c r="AR7" s="356">
        <f t="shared" ca="1" si="48"/>
        <v>0.373915067566575</v>
      </c>
      <c r="AS7" s="357">
        <f t="shared" ca="1" si="36"/>
        <v>37.71311229726355</v>
      </c>
      <c r="AT7" s="357">
        <f t="shared" ca="1" si="37"/>
        <v>99.485480520628784</v>
      </c>
      <c r="AU7" s="357">
        <f t="shared" ca="1" si="38"/>
        <v>80.831952923010888</v>
      </c>
      <c r="AV7" s="356">
        <f t="shared" ca="1" si="39"/>
        <v>10.837754236411348</v>
      </c>
      <c r="AW7" s="371">
        <f t="shared" ca="1" si="40"/>
        <v>5.1020175438596489</v>
      </c>
      <c r="AX7" s="373">
        <f t="shared" ca="1" si="41"/>
        <v>4.9936842105263155</v>
      </c>
    </row>
    <row r="8" spans="1:50" s="340" customFormat="1" ht="12.75" customHeight="1">
      <c r="A8" s="341">
        <v>25</v>
      </c>
      <c r="B8" s="342">
        <f t="shared" si="0"/>
        <v>11.294999999999996</v>
      </c>
      <c r="C8" s="359">
        <f t="shared" si="1"/>
        <v>2.6</v>
      </c>
      <c r="D8" s="360">
        <f t="shared" ca="1" si="2"/>
        <v>51.589492564090122</v>
      </c>
      <c r="E8" s="349">
        <f t="shared" ca="1" si="3"/>
        <v>0.60570400433924132</v>
      </c>
      <c r="F8" s="343">
        <f t="shared" si="4"/>
        <v>0.12537449999999994</v>
      </c>
      <c r="G8" s="343">
        <f t="shared" si="5"/>
        <v>0.19349182124999986</v>
      </c>
      <c r="H8" s="343">
        <f t="shared" ca="1" si="6"/>
        <v>0.40820918772464071</v>
      </c>
      <c r="I8" s="343">
        <f t="shared" ca="1" si="7"/>
        <v>0.38305501635241729</v>
      </c>
      <c r="J8" s="343">
        <f t="shared" si="8"/>
        <v>2.3399999999999997E-2</v>
      </c>
      <c r="K8" s="343">
        <f t="shared" si="9"/>
        <v>9.1489499999999974E-2</v>
      </c>
      <c r="L8" s="343">
        <f t="shared" ca="1" si="42"/>
        <v>1.225020025327058</v>
      </c>
      <c r="M8" s="362">
        <f t="shared" ca="1" si="10"/>
        <v>66.65068086111998</v>
      </c>
      <c r="N8" s="362">
        <f t="shared" ca="1" si="11"/>
        <v>116.52392089102744</v>
      </c>
      <c r="O8" s="362">
        <f t="shared" ca="1" si="12"/>
        <v>94.675685723959802</v>
      </c>
      <c r="P8" s="343">
        <f t="shared" ca="1" si="13"/>
        <v>10.339128076255042</v>
      </c>
      <c r="Q8" s="361">
        <f t="shared" ca="1" si="14"/>
        <v>5.3186842105263157</v>
      </c>
      <c r="R8" s="363">
        <f t="shared" ca="1" si="15"/>
        <v>4.9936842105263155</v>
      </c>
      <c r="S8" s="364">
        <f t="shared" si="16"/>
        <v>1.7333333333333334</v>
      </c>
      <c r="T8" s="365">
        <f t="shared" ca="1" si="17"/>
        <v>48.824704857621597</v>
      </c>
      <c r="U8" s="366">
        <f t="shared" ca="1" si="18"/>
        <v>0.58769853825685603</v>
      </c>
      <c r="V8" s="344">
        <f t="shared" si="19"/>
        <v>0.12537449999999994</v>
      </c>
      <c r="W8" s="344">
        <f t="shared" si="20"/>
        <v>0.12899454749999992</v>
      </c>
      <c r="X8" s="344">
        <f t="shared" ca="1" si="43"/>
        <v>0.15646617698125148</v>
      </c>
      <c r="Y8" s="344">
        <f t="shared" ca="1" si="44"/>
        <v>0.16399900030456044</v>
      </c>
      <c r="Z8" s="344">
        <f t="shared" si="21"/>
        <v>1.5600000000000001E-2</v>
      </c>
      <c r="AA8" s="344">
        <f t="shared" si="22"/>
        <v>9.1489499999999974E-2</v>
      </c>
      <c r="AB8" s="344">
        <f t="shared" ca="1" si="45"/>
        <v>0.68192372478581176</v>
      </c>
      <c r="AC8" s="367">
        <f t="shared" ca="1" si="23"/>
        <v>48.185406642717595</v>
      </c>
      <c r="AD8" s="367">
        <f t="shared" ca="1" si="24"/>
        <v>105.65156743123212</v>
      </c>
      <c r="AE8" s="367">
        <f t="shared" ca="1" si="25"/>
        <v>85.841898537876091</v>
      </c>
      <c r="AF8" s="344">
        <f t="shared" ca="1" si="26"/>
        <v>10.488170787756619</v>
      </c>
      <c r="AG8" s="366">
        <f t="shared" ca="1" si="27"/>
        <v>5.2103508771929823</v>
      </c>
      <c r="AH8" s="368">
        <f t="shared" ca="1" si="28"/>
        <v>4.9936842105263155</v>
      </c>
      <c r="AI8" s="369">
        <f t="shared" si="29"/>
        <v>0.8666666666666667</v>
      </c>
      <c r="AJ8" s="370">
        <f t="shared" ca="1" si="30"/>
        <v>46.425448319670522</v>
      </c>
      <c r="AK8" s="371">
        <f t="shared" ca="1" si="31"/>
        <v>0.57206957525712365</v>
      </c>
      <c r="AL8" s="345">
        <f t="shared" si="32"/>
        <v>0.12537449999999994</v>
      </c>
      <c r="AM8" s="345">
        <f t="shared" si="33"/>
        <v>6.4497273749999959E-2</v>
      </c>
      <c r="AN8" s="345">
        <f t="shared" ca="1" si="46"/>
        <v>3.5897088825562133E-2</v>
      </c>
      <c r="AO8" s="345">
        <f t="shared" ca="1" si="47"/>
        <v>4.1424919092135221E-2</v>
      </c>
      <c r="AP8" s="345">
        <f t="shared" si="34"/>
        <v>7.8000000000000005E-3</v>
      </c>
      <c r="AQ8" s="345">
        <f t="shared" si="35"/>
        <v>9.1489499999999974E-2</v>
      </c>
      <c r="AR8" s="345">
        <f t="shared" ca="1" si="48"/>
        <v>0.36648328166769717</v>
      </c>
      <c r="AS8" s="372">
        <f t="shared" ca="1" si="36"/>
        <v>37.460431576701701</v>
      </c>
      <c r="AT8" s="372">
        <f t="shared" ca="1" si="37"/>
        <v>99.336702112361962</v>
      </c>
      <c r="AU8" s="372">
        <f t="shared" ca="1" si="38"/>
        <v>80.711070466294089</v>
      </c>
      <c r="AV8" s="345">
        <f t="shared" ca="1" si="39"/>
        <v>10.614631968873946</v>
      </c>
      <c r="AW8" s="371">
        <f t="shared" ca="1" si="40"/>
        <v>5.1020175438596489</v>
      </c>
      <c r="AX8" s="373">
        <f t="shared" ca="1" si="41"/>
        <v>4.9936842105263155</v>
      </c>
    </row>
    <row r="9" spans="1:50" s="340" customFormat="1" ht="12.75" customHeight="1">
      <c r="A9" s="341">
        <v>25</v>
      </c>
      <c r="B9" s="342">
        <f t="shared" si="0"/>
        <v>11.059999999999997</v>
      </c>
      <c r="C9" s="359">
        <f t="shared" si="1"/>
        <v>2.6</v>
      </c>
      <c r="D9" s="360">
        <f t="shared" ca="1" si="2"/>
        <v>52.705411570518741</v>
      </c>
      <c r="E9" s="349">
        <f t="shared" ca="1" si="3"/>
        <v>0.59405300106624881</v>
      </c>
      <c r="F9" s="343">
        <f t="shared" si="4"/>
        <v>0.12276599999999996</v>
      </c>
      <c r="G9" s="343">
        <f t="shared" si="5"/>
        <v>0.18552412666666657</v>
      </c>
      <c r="H9" s="343">
        <f t="shared" ca="1" si="6"/>
        <v>0.41592163753094924</v>
      </c>
      <c r="I9" s="343">
        <f t="shared" ca="1" si="7"/>
        <v>0.37322244679984989</v>
      </c>
      <c r="J9" s="343">
        <f t="shared" si="8"/>
        <v>2.3399999999999997E-2</v>
      </c>
      <c r="K9" s="343">
        <f t="shared" si="9"/>
        <v>8.9585999999999971E-2</v>
      </c>
      <c r="L9" s="343">
        <f t="shared" ca="1" si="42"/>
        <v>1.2104202109974658</v>
      </c>
      <c r="M9" s="362">
        <f t="shared" ca="1" si="10"/>
        <v>66.154287173913843</v>
      </c>
      <c r="N9" s="362">
        <f t="shared" ca="1" si="11"/>
        <v>116.23164428800047</v>
      </c>
      <c r="O9" s="362">
        <f t="shared" ca="1" si="12"/>
        <v>94.438210984000392</v>
      </c>
      <c r="P9" s="343">
        <f t="shared" ca="1" si="13"/>
        <v>10.116630871180714</v>
      </c>
      <c r="Q9" s="361">
        <f t="shared" ca="1" si="14"/>
        <v>5.3186842105263157</v>
      </c>
      <c r="R9" s="363">
        <f t="shared" ca="1" si="15"/>
        <v>4.9936842105263155</v>
      </c>
      <c r="S9" s="364">
        <f t="shared" si="16"/>
        <v>1.7333333333333334</v>
      </c>
      <c r="T9" s="365">
        <f t="shared" ca="1" si="17"/>
        <v>49.87437338288219</v>
      </c>
      <c r="U9" s="366">
        <f t="shared" ca="1" si="18"/>
        <v>0.57690089956248558</v>
      </c>
      <c r="V9" s="344">
        <f t="shared" si="19"/>
        <v>0.12276599999999996</v>
      </c>
      <c r="W9" s="344">
        <f t="shared" si="20"/>
        <v>0.12368275111111104</v>
      </c>
      <c r="X9" s="344">
        <f t="shared" ca="1" si="43"/>
        <v>0.15945458101963619</v>
      </c>
      <c r="Y9" s="344">
        <f t="shared" ca="1" si="44"/>
        <v>0.16025786889028878</v>
      </c>
      <c r="Z9" s="344">
        <f t="shared" si="21"/>
        <v>1.5600000000000001E-2</v>
      </c>
      <c r="AA9" s="344">
        <f t="shared" si="22"/>
        <v>8.9585999999999971E-2</v>
      </c>
      <c r="AB9" s="344">
        <f t="shared" ca="1" si="45"/>
        <v>0.67134720102103584</v>
      </c>
      <c r="AC9" s="367">
        <f t="shared" ca="1" si="23"/>
        <v>47.825804834715214</v>
      </c>
      <c r="AD9" s="367">
        <f t="shared" ca="1" si="24"/>
        <v>105.43983388668032</v>
      </c>
      <c r="AE9" s="367">
        <f t="shared" ca="1" si="25"/>
        <v>85.66986503292776</v>
      </c>
      <c r="AF9" s="344">
        <f t="shared" ca="1" si="26"/>
        <v>10.265284351897074</v>
      </c>
      <c r="AG9" s="366">
        <f t="shared" ca="1" si="27"/>
        <v>5.2103508771929823</v>
      </c>
      <c r="AH9" s="368">
        <f t="shared" ca="1" si="28"/>
        <v>4.9936842105263155</v>
      </c>
      <c r="AI9" s="369">
        <f t="shared" si="29"/>
        <v>0.8666666666666667</v>
      </c>
      <c r="AJ9" s="370">
        <f t="shared" ca="1" si="30"/>
        <v>47.417849712581415</v>
      </c>
      <c r="AK9" s="371">
        <f t="shared" ca="1" si="31"/>
        <v>0.56201471642724643</v>
      </c>
      <c r="AL9" s="345">
        <f t="shared" si="32"/>
        <v>0.12276599999999996</v>
      </c>
      <c r="AM9" s="345">
        <f t="shared" si="33"/>
        <v>6.1841375555555522E-2</v>
      </c>
      <c r="AN9" s="345">
        <f t="shared" ca="1" si="46"/>
        <v>3.6565230908178918E-2</v>
      </c>
      <c r="AO9" s="345">
        <f t="shared" ca="1" si="47"/>
        <v>4.0547567605071749E-2</v>
      </c>
      <c r="AP9" s="345">
        <f t="shared" si="34"/>
        <v>7.8000000000000005E-3</v>
      </c>
      <c r="AQ9" s="345">
        <f t="shared" si="35"/>
        <v>8.9585999999999971E-2</v>
      </c>
      <c r="AR9" s="345">
        <f t="shared" ca="1" si="48"/>
        <v>0.35910617406880607</v>
      </c>
      <c r="AS9" s="372">
        <f t="shared" ca="1" si="36"/>
        <v>37.20960991833941</v>
      </c>
      <c r="AT9" s="372">
        <f t="shared" ca="1" si="37"/>
        <v>99.189018319918247</v>
      </c>
      <c r="AU9" s="372">
        <f t="shared" ca="1" si="38"/>
        <v>80.59107738493357</v>
      </c>
      <c r="AV9" s="345">
        <f t="shared" ca="1" si="39"/>
        <v>10.39150876156325</v>
      </c>
      <c r="AW9" s="371">
        <f t="shared" ca="1" si="40"/>
        <v>5.1020175438596489</v>
      </c>
      <c r="AX9" s="373">
        <f t="shared" ca="1" si="41"/>
        <v>4.9936842105263155</v>
      </c>
    </row>
    <row r="10" spans="1:50" s="340" customFormat="1" ht="12.75" customHeight="1">
      <c r="A10" s="341">
        <v>25</v>
      </c>
      <c r="B10" s="342">
        <f t="shared" si="0"/>
        <v>10.824999999999998</v>
      </c>
      <c r="C10" s="359">
        <f t="shared" si="1"/>
        <v>2.6</v>
      </c>
      <c r="D10" s="360">
        <f t="shared" ca="1" si="2"/>
        <v>53.871158005859414</v>
      </c>
      <c r="E10" s="349">
        <f t="shared" ca="1" si="3"/>
        <v>0.58189178955667631</v>
      </c>
      <c r="F10" s="343">
        <f t="shared" si="4"/>
        <v>0.12015749999999997</v>
      </c>
      <c r="G10" s="343">
        <f t="shared" si="5"/>
        <v>0.1777239479166666</v>
      </c>
      <c r="H10" s="343">
        <f t="shared" ca="1" si="6"/>
        <v>0.42399159737664815</v>
      </c>
      <c r="I10" s="343">
        <f t="shared" ca="1" si="7"/>
        <v>0.3630558934727815</v>
      </c>
      <c r="J10" s="343">
        <f t="shared" si="8"/>
        <v>2.3399999999999997E-2</v>
      </c>
      <c r="K10" s="343">
        <f t="shared" si="9"/>
        <v>8.7682499999999983E-2</v>
      </c>
      <c r="L10" s="343">
        <f t="shared" ca="1" si="42"/>
        <v>1.1960114387660963</v>
      </c>
      <c r="M10" s="362">
        <f t="shared" ca="1" si="10"/>
        <v>65.66438891804728</v>
      </c>
      <c r="N10" s="362">
        <f t="shared" ca="1" si="11"/>
        <v>115.94319219494623</v>
      </c>
      <c r="O10" s="362">
        <f t="shared" ca="1" si="12"/>
        <v>94.203843658393822</v>
      </c>
      <c r="P10" s="343">
        <f t="shared" ca="1" si="13"/>
        <v>9.8941238156028906</v>
      </c>
      <c r="Q10" s="361">
        <f t="shared" ca="1" si="14"/>
        <v>5.3186842105263157</v>
      </c>
      <c r="R10" s="363">
        <f t="shared" ca="1" si="15"/>
        <v>4.9936842105263155</v>
      </c>
      <c r="S10" s="364">
        <f t="shared" si="16"/>
        <v>1.7333333333333334</v>
      </c>
      <c r="T10" s="365">
        <f t="shared" ca="1" si="17"/>
        <v>50.970384226146216</v>
      </c>
      <c r="U10" s="366">
        <f t="shared" ca="1" si="18"/>
        <v>0.56563110850576759</v>
      </c>
      <c r="V10" s="344">
        <f t="shared" si="19"/>
        <v>0.12015749999999997</v>
      </c>
      <c r="W10" s="344">
        <f t="shared" si="20"/>
        <v>0.11848263194444439</v>
      </c>
      <c r="X10" s="344">
        <f t="shared" ca="1" si="43"/>
        <v>0.16257748101283356</v>
      </c>
      <c r="Y10" s="344">
        <f t="shared" ca="1" si="44"/>
        <v>0.15638711672593805</v>
      </c>
      <c r="Z10" s="344">
        <f t="shared" si="21"/>
        <v>1.5600000000000001E-2</v>
      </c>
      <c r="AA10" s="344">
        <f t="shared" si="22"/>
        <v>8.7682499999999983E-2</v>
      </c>
      <c r="AB10" s="344">
        <f t="shared" ca="1" si="45"/>
        <v>0.66088722968321589</v>
      </c>
      <c r="AC10" s="367">
        <f t="shared" ca="1" si="23"/>
        <v>47.470165809229343</v>
      </c>
      <c r="AD10" s="367">
        <f t="shared" ca="1" si="24"/>
        <v>105.23043362847423</v>
      </c>
      <c r="AE10" s="367">
        <f t="shared" ca="1" si="25"/>
        <v>85.499727323135318</v>
      </c>
      <c r="AF10" s="344">
        <f t="shared" ca="1" si="26"/>
        <v>10.042393909590437</v>
      </c>
      <c r="AG10" s="366">
        <f t="shared" ca="1" si="27"/>
        <v>5.2103508771929823</v>
      </c>
      <c r="AH10" s="368">
        <f t="shared" ca="1" si="28"/>
        <v>4.9936842105263155</v>
      </c>
      <c r="AI10" s="369">
        <f t="shared" si="29"/>
        <v>0.8666666666666667</v>
      </c>
      <c r="AJ10" s="370">
        <f t="shared" ca="1" si="30"/>
        <v>48.453673454081503</v>
      </c>
      <c r="AK10" s="371">
        <f t="shared" ca="1" si="31"/>
        <v>0.55152135010087511</v>
      </c>
      <c r="AL10" s="345">
        <f t="shared" si="32"/>
        <v>0.12015749999999997</v>
      </c>
      <c r="AM10" s="345">
        <f t="shared" si="33"/>
        <v>5.9241315972222194E-2</v>
      </c>
      <c r="AN10" s="345">
        <f t="shared" ca="1" si="46"/>
        <v>3.7262035014848566E-2</v>
      </c>
      <c r="AO10" s="345">
        <f t="shared" ca="1" si="47"/>
        <v>3.9640359290014589E-2</v>
      </c>
      <c r="AP10" s="345">
        <f t="shared" si="34"/>
        <v>7.8000000000000005E-3</v>
      </c>
      <c r="AQ10" s="345">
        <f t="shared" si="35"/>
        <v>8.7682499999999983E-2</v>
      </c>
      <c r="AR10" s="345">
        <f t="shared" ca="1" si="48"/>
        <v>0.35178371027708533</v>
      </c>
      <c r="AS10" s="372">
        <f t="shared" ca="1" si="36"/>
        <v>36.960646149420903</v>
      </c>
      <c r="AT10" s="372">
        <f t="shared" ca="1" si="37"/>
        <v>99.042428452779035</v>
      </c>
      <c r="AU10" s="372">
        <f t="shared" ca="1" si="38"/>
        <v>80.471973117882953</v>
      </c>
      <c r="AV10" s="345">
        <f t="shared" ca="1" si="39"/>
        <v>10.168384615072101</v>
      </c>
      <c r="AW10" s="371">
        <f t="shared" ca="1" si="40"/>
        <v>5.1020175438596489</v>
      </c>
      <c r="AX10" s="373">
        <f t="shared" ca="1" si="41"/>
        <v>4.9936842105263155</v>
      </c>
    </row>
    <row r="11" spans="1:50" s="340" customFormat="1" ht="12.75" customHeight="1">
      <c r="A11" s="341">
        <v>25</v>
      </c>
      <c r="B11" s="342">
        <f t="shared" si="0"/>
        <v>10.589999999999998</v>
      </c>
      <c r="C11" s="359">
        <f t="shared" si="1"/>
        <v>2.6</v>
      </c>
      <c r="D11" s="360">
        <f t="shared" ca="1" si="2"/>
        <v>55.090138408343954</v>
      </c>
      <c r="E11" s="349">
        <f t="shared" ca="1" si="3"/>
        <v>0.56918534527595677</v>
      </c>
      <c r="F11" s="343">
        <f t="shared" si="4"/>
        <v>0.11754899999999997</v>
      </c>
      <c r="G11" s="343">
        <f t="shared" si="5"/>
        <v>0.17009128499999995</v>
      </c>
      <c r="H11" s="343">
        <f t="shared" ca="1" si="6"/>
        <v>0.43244348631673524</v>
      </c>
      <c r="I11" s="343">
        <f t="shared" ca="1" si="7"/>
        <v>0.35253091892316396</v>
      </c>
      <c r="J11" s="343">
        <f t="shared" si="8"/>
        <v>2.3399999999999997E-2</v>
      </c>
      <c r="K11" s="343">
        <f t="shared" si="9"/>
        <v>8.577899999999998E-2</v>
      </c>
      <c r="L11" s="343">
        <f t="shared" ca="1" si="42"/>
        <v>1.1817936902398993</v>
      </c>
      <c r="M11" s="362">
        <f t="shared" ca="1" si="10"/>
        <v>65.180985468156578</v>
      </c>
      <c r="N11" s="362">
        <f t="shared" ca="1" si="11"/>
        <v>115.65856424365059</v>
      </c>
      <c r="O11" s="362">
        <f t="shared" ca="1" si="12"/>
        <v>93.972583447966116</v>
      </c>
      <c r="P11" s="343">
        <f t="shared" ca="1" si="13"/>
        <v>9.6716069104699436</v>
      </c>
      <c r="Q11" s="361">
        <f t="shared" ca="1" si="14"/>
        <v>5.3186842105263157</v>
      </c>
      <c r="R11" s="363">
        <f t="shared" ca="1" si="15"/>
        <v>4.9936842105263155</v>
      </c>
      <c r="S11" s="364">
        <f t="shared" si="16"/>
        <v>1.7333333333333334</v>
      </c>
      <c r="T11" s="365">
        <f t="shared" ca="1" si="17"/>
        <v>52.115872876180163</v>
      </c>
      <c r="U11" s="366">
        <f t="shared" ca="1" si="18"/>
        <v>0.55385716195166879</v>
      </c>
      <c r="V11" s="344">
        <f t="shared" si="19"/>
        <v>0.11754899999999997</v>
      </c>
      <c r="W11" s="344">
        <f t="shared" si="20"/>
        <v>0.11339418999999996</v>
      </c>
      <c r="X11" s="344">
        <f t="shared" ca="1" si="43"/>
        <v>0.16584396281017338</v>
      </c>
      <c r="Y11" s="344">
        <f t="shared" ca="1" si="44"/>
        <v>0.15237763390796055</v>
      </c>
      <c r="Z11" s="344">
        <f t="shared" si="21"/>
        <v>1.5600000000000001E-2</v>
      </c>
      <c r="AA11" s="344">
        <f t="shared" si="22"/>
        <v>8.577899999999998E-2</v>
      </c>
      <c r="AB11" s="344">
        <f t="shared" ca="1" si="45"/>
        <v>0.65054378671813373</v>
      </c>
      <c r="AC11" s="367">
        <f t="shared" ca="1" si="23"/>
        <v>47.118488748416546</v>
      </c>
      <c r="AD11" s="367">
        <f t="shared" ca="1" si="24"/>
        <v>105.02336617506766</v>
      </c>
      <c r="AE11" s="367">
        <f t="shared" ca="1" si="25"/>
        <v>85.331485017242471</v>
      </c>
      <c r="AF11" s="344">
        <f t="shared" ca="1" si="26"/>
        <v>9.8194994616635594</v>
      </c>
      <c r="AG11" s="366">
        <f t="shared" ca="1" si="27"/>
        <v>5.2103508771929823</v>
      </c>
      <c r="AH11" s="368">
        <f t="shared" ca="1" si="28"/>
        <v>4.9936842105263155</v>
      </c>
      <c r="AI11" s="369">
        <f t="shared" si="29"/>
        <v>0.8666666666666667</v>
      </c>
      <c r="AJ11" s="370">
        <f t="shared" ca="1" si="30"/>
        <v>49.535832552016934</v>
      </c>
      <c r="AK11" s="371">
        <f t="shared" ca="1" si="31"/>
        <v>0.54056004534780289</v>
      </c>
      <c r="AL11" s="345">
        <f t="shared" si="32"/>
        <v>0.11754899999999997</v>
      </c>
      <c r="AM11" s="345">
        <f t="shared" si="33"/>
        <v>5.6697094999999982E-2</v>
      </c>
      <c r="AN11" s="345">
        <f t="shared" ca="1" si="46"/>
        <v>3.7989410064123839E-2</v>
      </c>
      <c r="AO11" s="345">
        <f t="shared" ca="1" si="47"/>
        <v>3.8701357218795349E-2</v>
      </c>
      <c r="AP11" s="345">
        <f t="shared" si="34"/>
        <v>7.8000000000000005E-3</v>
      </c>
      <c r="AQ11" s="345">
        <f t="shared" si="35"/>
        <v>8.577899999999998E-2</v>
      </c>
      <c r="AR11" s="345">
        <f t="shared" ca="1" si="48"/>
        <v>0.34451586228291914</v>
      </c>
      <c r="AS11" s="372">
        <f t="shared" ca="1" si="36"/>
        <v>36.713539317619251</v>
      </c>
      <c r="AT11" s="372">
        <f t="shared" ca="1" si="37"/>
        <v>98.89693195021421</v>
      </c>
      <c r="AU11" s="372">
        <f t="shared" ca="1" si="38"/>
        <v>80.353757209549045</v>
      </c>
      <c r="AV11" s="345">
        <f t="shared" ca="1" si="39"/>
        <v>9.9452595298819073</v>
      </c>
      <c r="AW11" s="371">
        <f t="shared" ca="1" si="40"/>
        <v>5.1020175438596489</v>
      </c>
      <c r="AX11" s="373">
        <f t="shared" ca="1" si="41"/>
        <v>4.9936842105263155</v>
      </c>
    </row>
    <row r="12" spans="1:50" s="340" customFormat="1" ht="12.75" customHeight="1">
      <c r="A12" s="341">
        <v>25</v>
      </c>
      <c r="B12" s="342">
        <f t="shared" si="0"/>
        <v>10.354999999999999</v>
      </c>
      <c r="C12" s="359">
        <f t="shared" si="1"/>
        <v>2.6</v>
      </c>
      <c r="D12" s="360">
        <f t="shared" ca="1" si="2"/>
        <v>56.366077099301258</v>
      </c>
      <c r="E12" s="349">
        <f t="shared" ca="1" si="3"/>
        <v>0.55589537668551936</v>
      </c>
      <c r="F12" s="343">
        <f t="shared" si="4"/>
        <v>0.11494049999999997</v>
      </c>
      <c r="G12" s="343">
        <f t="shared" si="5"/>
        <v>0.16262613791666664</v>
      </c>
      <c r="H12" s="343">
        <f t="shared" ca="1" si="6"/>
        <v>0.44130401156369747</v>
      </c>
      <c r="I12" s="343">
        <f t="shared" ca="1" si="7"/>
        <v>0.34162081534281802</v>
      </c>
      <c r="J12" s="343">
        <f t="shared" si="8"/>
        <v>2.3399999999999997E-2</v>
      </c>
      <c r="K12" s="343">
        <f t="shared" si="9"/>
        <v>8.3875499999999992E-2</v>
      </c>
      <c r="L12" s="343">
        <f t="shared" ca="1" si="42"/>
        <v>1.1677669648231821</v>
      </c>
      <c r="M12" s="362">
        <f t="shared" ca="1" si="10"/>
        <v>64.704076803988187</v>
      </c>
      <c r="N12" s="362">
        <f t="shared" ca="1" si="11"/>
        <v>115.37776042218825</v>
      </c>
      <c r="O12" s="362">
        <f t="shared" ca="1" si="12"/>
        <v>93.744430343027943</v>
      </c>
      <c r="P12" s="343">
        <f t="shared" ca="1" si="13"/>
        <v>9.4490801558126005</v>
      </c>
      <c r="Q12" s="361">
        <f t="shared" ca="1" si="14"/>
        <v>5.3186842105263157</v>
      </c>
      <c r="R12" s="363">
        <f t="shared" ca="1" si="15"/>
        <v>4.9936842105263155</v>
      </c>
      <c r="S12" s="364">
        <f t="shared" si="16"/>
        <v>1.7333333333333334</v>
      </c>
      <c r="T12" s="365">
        <f t="shared" ca="1" si="17"/>
        <v>53.31426421550983</v>
      </c>
      <c r="U12" s="366">
        <f t="shared" ca="1" si="18"/>
        <v>0.54154410313340395</v>
      </c>
      <c r="V12" s="344">
        <f t="shared" si="19"/>
        <v>0.11494049999999997</v>
      </c>
      <c r="W12" s="344">
        <f t="shared" si="20"/>
        <v>0.10841742527777776</v>
      </c>
      <c r="X12" s="344">
        <f t="shared" ca="1" si="43"/>
        <v>0.16926395714241702</v>
      </c>
      <c r="Y12" s="344">
        <f t="shared" ca="1" si="44"/>
        <v>0.14821947741875222</v>
      </c>
      <c r="Z12" s="344">
        <f t="shared" si="21"/>
        <v>1.5600000000000001E-2</v>
      </c>
      <c r="AA12" s="344">
        <f t="shared" si="22"/>
        <v>8.3875499999999992E-2</v>
      </c>
      <c r="AB12" s="344">
        <f t="shared" ca="1" si="45"/>
        <v>0.64031685983894693</v>
      </c>
      <c r="AC12" s="367">
        <f t="shared" ca="1" si="23"/>
        <v>46.770773234524199</v>
      </c>
      <c r="AD12" s="367">
        <f t="shared" ca="1" si="24"/>
        <v>104.81863128048785</v>
      </c>
      <c r="AE12" s="367">
        <f t="shared" ca="1" si="25"/>
        <v>85.165137915396372</v>
      </c>
      <c r="AF12" s="344">
        <f t="shared" ca="1" si="26"/>
        <v>9.5966010085387925</v>
      </c>
      <c r="AG12" s="366">
        <f t="shared" ca="1" si="27"/>
        <v>5.2103508771929823</v>
      </c>
      <c r="AH12" s="368">
        <f t="shared" ca="1" si="28"/>
        <v>4.9936842105263155</v>
      </c>
      <c r="AI12" s="369">
        <f t="shared" si="29"/>
        <v>0.8666666666666667</v>
      </c>
      <c r="AJ12" s="370">
        <f t="shared" ca="1" si="30"/>
        <v>50.667506537357362</v>
      </c>
      <c r="AK12" s="371">
        <f t="shared" ca="1" si="31"/>
        <v>0.52909867853135417</v>
      </c>
      <c r="AL12" s="345">
        <f t="shared" si="32"/>
        <v>0.11494049999999997</v>
      </c>
      <c r="AM12" s="345">
        <f t="shared" si="33"/>
        <v>5.4208712638888878E-2</v>
      </c>
      <c r="AN12" s="345">
        <f t="shared" ca="1" si="46"/>
        <v>3.8749443857417222E-2</v>
      </c>
      <c r="AO12" s="345">
        <f t="shared" ca="1" si="47"/>
        <v>3.7728453922784559E-2</v>
      </c>
      <c r="AP12" s="345">
        <f t="shared" si="34"/>
        <v>7.8000000000000005E-3</v>
      </c>
      <c r="AQ12" s="345">
        <f t="shared" si="35"/>
        <v>8.3875499999999992E-2</v>
      </c>
      <c r="AR12" s="345">
        <f t="shared" ca="1" si="48"/>
        <v>0.3373026104190906</v>
      </c>
      <c r="AS12" s="372">
        <f t="shared" ca="1" si="36"/>
        <v>36.46828875424908</v>
      </c>
      <c r="AT12" s="372">
        <f t="shared" ca="1" si="37"/>
        <v>98.752528418501853</v>
      </c>
      <c r="AU12" s="372">
        <f t="shared" ca="1" si="38"/>
        <v>80.236429340032757</v>
      </c>
      <c r="AV12" s="345">
        <f t="shared" ca="1" si="39"/>
        <v>9.7221335063306977</v>
      </c>
      <c r="AW12" s="371">
        <f t="shared" ca="1" si="40"/>
        <v>5.1020175438596489</v>
      </c>
      <c r="AX12" s="373">
        <f t="shared" ca="1" si="41"/>
        <v>4.9936842105263155</v>
      </c>
    </row>
    <row r="13" spans="1:50" s="358" customFormat="1" ht="12.75" customHeight="1">
      <c r="A13" s="346">
        <v>25</v>
      </c>
      <c r="B13" s="347">
        <f t="shared" si="0"/>
        <v>10.119999999999999</v>
      </c>
      <c r="C13" s="348">
        <f t="shared" si="1"/>
        <v>2.6</v>
      </c>
      <c r="D13" s="360">
        <f t="shared" ca="1" si="2"/>
        <v>57.703054126661591</v>
      </c>
      <c r="E13" s="349">
        <f t="shared" ca="1" si="3"/>
        <v>0.54197993520692878</v>
      </c>
      <c r="F13" s="350">
        <f t="shared" si="4"/>
        <v>0.11233199999999999</v>
      </c>
      <c r="G13" s="350">
        <f t="shared" si="5"/>
        <v>0.15532850666666664</v>
      </c>
      <c r="H13" s="350">
        <f t="shared" ca="1" si="6"/>
        <v>0.45060244428185525</v>
      </c>
      <c r="I13" s="350">
        <f t="shared" ca="1" si="7"/>
        <v>0.3302963332642283</v>
      </c>
      <c r="J13" s="350">
        <f t="shared" si="8"/>
        <v>2.3399999999999997E-2</v>
      </c>
      <c r="K13" s="350">
        <f t="shared" si="9"/>
        <v>8.1971999999999989E-2</v>
      </c>
      <c r="L13" s="350">
        <f t="shared" ca="1" si="42"/>
        <v>1.1539312842127503</v>
      </c>
      <c r="M13" s="351">
        <f t="shared" ca="1" si="10"/>
        <v>64.2336636632335</v>
      </c>
      <c r="N13" s="351">
        <f t="shared" ca="1" si="11"/>
        <v>115.10078116491188</v>
      </c>
      <c r="O13" s="351">
        <f t="shared" ca="1" si="12"/>
        <v>93.519384696490903</v>
      </c>
      <c r="P13" s="350">
        <f t="shared" ca="1" si="13"/>
        <v>9.2265435505121207</v>
      </c>
      <c r="Q13" s="361">
        <f t="shared" ca="1" si="14"/>
        <v>5.3186842105263157</v>
      </c>
      <c r="R13" s="363">
        <f t="shared" ca="1" si="15"/>
        <v>4.9936842105263155</v>
      </c>
      <c r="S13" s="352">
        <f t="shared" si="16"/>
        <v>1.7333333333333334</v>
      </c>
      <c r="T13" s="365">
        <f t="shared" ca="1" si="17"/>
        <v>54.569306697637614</v>
      </c>
      <c r="U13" s="366">
        <f t="shared" ca="1" si="18"/>
        <v>0.52865367285159093</v>
      </c>
      <c r="V13" s="353">
        <f t="shared" si="19"/>
        <v>0.11233199999999999</v>
      </c>
      <c r="W13" s="353">
        <f t="shared" si="20"/>
        <v>0.10355233777777778</v>
      </c>
      <c r="X13" s="353">
        <f t="shared" ca="1" si="43"/>
        <v>0.17284834107775007</v>
      </c>
      <c r="Y13" s="353">
        <f t="shared" ca="1" si="44"/>
        <v>0.14390177274627797</v>
      </c>
      <c r="Z13" s="353">
        <f t="shared" si="21"/>
        <v>1.5600000000000001E-2</v>
      </c>
      <c r="AA13" s="353">
        <f t="shared" si="22"/>
        <v>8.1971999999999989E-2</v>
      </c>
      <c r="AB13" s="353">
        <f t="shared" ca="1" si="45"/>
        <v>0.63020645160180577</v>
      </c>
      <c r="AC13" s="354">
        <f t="shared" ca="1" si="23"/>
        <v>46.427019354461393</v>
      </c>
      <c r="AD13" s="354">
        <f t="shared" ca="1" si="24"/>
        <v>104.61622899590687</v>
      </c>
      <c r="AE13" s="354">
        <f t="shared" ca="1" si="25"/>
        <v>85.000686059174328</v>
      </c>
      <c r="AF13" s="353">
        <f t="shared" ca="1" si="26"/>
        <v>9.3736985501282764</v>
      </c>
      <c r="AG13" s="366">
        <f t="shared" ca="1" si="27"/>
        <v>5.2103508771929823</v>
      </c>
      <c r="AH13" s="368">
        <f t="shared" ca="1" si="28"/>
        <v>4.9936842105263155</v>
      </c>
      <c r="AI13" s="355">
        <f t="shared" si="29"/>
        <v>0.8666666666666667</v>
      </c>
      <c r="AJ13" s="370">
        <f t="shared" ca="1" si="30"/>
        <v>51.852172659807138</v>
      </c>
      <c r="AK13" s="371">
        <f t="shared" ca="1" si="31"/>
        <v>0.51710211814427087</v>
      </c>
      <c r="AL13" s="356">
        <f t="shared" si="32"/>
        <v>0.11233199999999999</v>
      </c>
      <c r="AM13" s="356">
        <f t="shared" si="33"/>
        <v>5.177616888888889E-2</v>
      </c>
      <c r="AN13" s="356">
        <f t="shared" ca="1" si="46"/>
        <v>3.9544425198742343E-2</v>
      </c>
      <c r="AO13" s="356">
        <f t="shared" ca="1" si="47"/>
        <v>3.6719351554039589E-2</v>
      </c>
      <c r="AP13" s="356">
        <f t="shared" si="34"/>
        <v>7.8000000000000005E-3</v>
      </c>
      <c r="AQ13" s="356">
        <f t="shared" si="35"/>
        <v>8.1971999999999989E-2</v>
      </c>
      <c r="AR13" s="356">
        <f t="shared" ca="1" si="48"/>
        <v>0.33014394564167082</v>
      </c>
      <c r="AS13" s="357">
        <f t="shared" ca="1" si="36"/>
        <v>36.224894151816812</v>
      </c>
      <c r="AT13" s="357">
        <f t="shared" ca="1" si="37"/>
        <v>98.609217676589736</v>
      </c>
      <c r="AU13" s="357">
        <f t="shared" ca="1" si="38"/>
        <v>80.119989362229163</v>
      </c>
      <c r="AV13" s="356">
        <f t="shared" ca="1" si="39"/>
        <v>9.4990065445739109</v>
      </c>
      <c r="AW13" s="371">
        <f t="shared" ca="1" si="40"/>
        <v>5.1020175438596489</v>
      </c>
      <c r="AX13" s="373">
        <f t="shared" ca="1" si="41"/>
        <v>4.9936842105263155</v>
      </c>
    </row>
    <row r="14" spans="1:50" s="340" customFormat="1" ht="12.75" customHeight="1">
      <c r="A14" s="341">
        <v>25</v>
      </c>
      <c r="B14" s="342">
        <f t="shared" si="0"/>
        <v>9.8849999999999998</v>
      </c>
      <c r="C14" s="359">
        <f t="shared" si="1"/>
        <v>2.6</v>
      </c>
      <c r="D14" s="360">
        <f t="shared" ca="1" si="2"/>
        <v>59.105548778564206</v>
      </c>
      <c r="E14" s="349">
        <f t="shared" ca="1" si="3"/>
        <v>0.52739296793745527</v>
      </c>
      <c r="F14" s="343">
        <f t="shared" si="4"/>
        <v>0.1097235</v>
      </c>
      <c r="G14" s="343">
        <f t="shared" si="5"/>
        <v>0.14819839125000001</v>
      </c>
      <c r="H14" s="343">
        <f t="shared" ca="1" si="6"/>
        <v>0.46037093646685351</v>
      </c>
      <c r="I14" s="343">
        <f t="shared" ca="1" si="7"/>
        <v>0.31852537019228722</v>
      </c>
      <c r="J14" s="343">
        <f t="shared" si="8"/>
        <v>2.3399999999999997E-2</v>
      </c>
      <c r="K14" s="343">
        <f t="shared" si="9"/>
        <v>8.0068500000000001E-2</v>
      </c>
      <c r="L14" s="343">
        <f t="shared" ca="1" si="42"/>
        <v>1.1402866979091408</v>
      </c>
      <c r="M14" s="362">
        <f t="shared" ca="1" si="10"/>
        <v>63.769747728910787</v>
      </c>
      <c r="N14" s="362">
        <f t="shared" ca="1" si="11"/>
        <v>114.82762746278267</v>
      </c>
      <c r="O14" s="362">
        <f t="shared" ca="1" si="12"/>
        <v>93.297447313510929</v>
      </c>
      <c r="P14" s="343">
        <f t="shared" ca="1" si="13"/>
        <v>9.0039970920161689</v>
      </c>
      <c r="Q14" s="361">
        <f t="shared" ca="1" si="14"/>
        <v>5.3186842105263157</v>
      </c>
      <c r="R14" s="363">
        <f t="shared" ca="1" si="15"/>
        <v>4.9936842105263155</v>
      </c>
      <c r="S14" s="364">
        <f t="shared" si="16"/>
        <v>1.7333333333333334</v>
      </c>
      <c r="T14" s="365">
        <f t="shared" ca="1" si="17"/>
        <v>55.885111485233267</v>
      </c>
      <c r="U14" s="366">
        <f t="shared" ca="1" si="18"/>
        <v>0.51514391004731341</v>
      </c>
      <c r="V14" s="344">
        <f t="shared" si="19"/>
        <v>0.1097235</v>
      </c>
      <c r="W14" s="344">
        <f t="shared" si="20"/>
        <v>9.8798927499999994E-2</v>
      </c>
      <c r="X14" s="344">
        <f t="shared" ca="1" si="43"/>
        <v>0.17660905459333504</v>
      </c>
      <c r="Y14" s="344">
        <f t="shared" ca="1" si="44"/>
        <v>0.13941260108503134</v>
      </c>
      <c r="Z14" s="344">
        <f t="shared" si="21"/>
        <v>1.5600000000000001E-2</v>
      </c>
      <c r="AA14" s="344">
        <f t="shared" si="22"/>
        <v>8.0068500000000001E-2</v>
      </c>
      <c r="AB14" s="344">
        <f t="shared" ca="1" si="45"/>
        <v>0.62021258317836625</v>
      </c>
      <c r="AC14" s="367">
        <f t="shared" ca="1" si="23"/>
        <v>46.087227828064457</v>
      </c>
      <c r="AD14" s="367">
        <f t="shared" ca="1" si="24"/>
        <v>104.41615974516435</v>
      </c>
      <c r="AE14" s="367">
        <f t="shared" ca="1" si="25"/>
        <v>84.838129792946035</v>
      </c>
      <c r="AF14" s="344">
        <f t="shared" ca="1" si="26"/>
        <v>9.1507920857042393</v>
      </c>
      <c r="AG14" s="366">
        <f t="shared" ca="1" si="27"/>
        <v>5.2103508771929823</v>
      </c>
      <c r="AH14" s="368">
        <f t="shared" ca="1" si="28"/>
        <v>4.9936842105263155</v>
      </c>
      <c r="AI14" s="369">
        <f t="shared" si="29"/>
        <v>0.8666666666666667</v>
      </c>
      <c r="AJ14" s="370">
        <f t="shared" ca="1" si="30"/>
        <v>53.093641570136342</v>
      </c>
      <c r="AK14" s="371">
        <f t="shared" ca="1" si="31"/>
        <v>0.50453186431744168</v>
      </c>
      <c r="AL14" s="345">
        <f t="shared" si="32"/>
        <v>0.1097235</v>
      </c>
      <c r="AM14" s="345">
        <f t="shared" si="33"/>
        <v>4.9399463749999997E-2</v>
      </c>
      <c r="AN14" s="345">
        <f t="shared" ca="1" si="46"/>
        <v>4.0376869471755741E-2</v>
      </c>
      <c r="AO14" s="345">
        <f t="shared" ca="1" si="47"/>
        <v>3.5671539109181714E-2</v>
      </c>
      <c r="AP14" s="345">
        <f t="shared" si="34"/>
        <v>7.8000000000000005E-3</v>
      </c>
      <c r="AQ14" s="345">
        <f t="shared" si="35"/>
        <v>8.0068500000000001E-2</v>
      </c>
      <c r="AR14" s="345">
        <f t="shared" ca="1" si="48"/>
        <v>0.32303987233093745</v>
      </c>
      <c r="AS14" s="372">
        <f t="shared" ca="1" si="36"/>
        <v>35.98335565925187</v>
      </c>
      <c r="AT14" s="372">
        <f t="shared" ca="1" si="37"/>
        <v>98.466999812167501</v>
      </c>
      <c r="AU14" s="372">
        <f t="shared" ca="1" si="38"/>
        <v>80.004437347386101</v>
      </c>
      <c r="AV14" s="345">
        <f t="shared" ca="1" si="39"/>
        <v>9.2758786445362595</v>
      </c>
      <c r="AW14" s="371">
        <f t="shared" ca="1" si="40"/>
        <v>5.1020175438596489</v>
      </c>
      <c r="AX14" s="373">
        <f t="shared" ca="1" si="41"/>
        <v>4.9936842105263155</v>
      </c>
    </row>
    <row r="15" spans="1:50" s="340" customFormat="1" ht="12.75" customHeight="1">
      <c r="A15" s="341">
        <v>25</v>
      </c>
      <c r="B15" s="342">
        <f t="shared" si="0"/>
        <v>9.65</v>
      </c>
      <c r="C15" s="359">
        <f t="shared" si="1"/>
        <v>2.6</v>
      </c>
      <c r="D15" s="360">
        <f t="shared" ca="1" si="2"/>
        <v>60.578489645085348</v>
      </c>
      <c r="E15" s="349">
        <f t="shared" ca="1" si="3"/>
        <v>0.51208380306705026</v>
      </c>
      <c r="F15" s="343">
        <f t="shared" si="4"/>
        <v>0.107115</v>
      </c>
      <c r="G15" s="343">
        <f t="shared" si="5"/>
        <v>0.14123579166666669</v>
      </c>
      <c r="H15" s="343">
        <f t="shared" ca="1" si="6"/>
        <v>0.47064488627049222</v>
      </c>
      <c r="I15" s="343">
        <f t="shared" ca="1" si="7"/>
        <v>0.30627261204926831</v>
      </c>
      <c r="J15" s="343">
        <f t="shared" si="8"/>
        <v>2.3399999999999997E-2</v>
      </c>
      <c r="K15" s="343">
        <f t="shared" si="9"/>
        <v>7.8164999999999998E-2</v>
      </c>
      <c r="L15" s="343">
        <f t="shared" ca="1" si="42"/>
        <v>1.1268332899864273</v>
      </c>
      <c r="M15" s="362">
        <f t="shared" ca="1" si="10"/>
        <v>63.312331859538531</v>
      </c>
      <c r="N15" s="362">
        <f t="shared" ca="1" si="11"/>
        <v>114.55830099889629</v>
      </c>
      <c r="O15" s="362">
        <f t="shared" ca="1" si="12"/>
        <v>93.078619561603233</v>
      </c>
      <c r="P15" s="343">
        <f t="shared" ca="1" si="13"/>
        <v>8.7814407759897168</v>
      </c>
      <c r="Q15" s="361">
        <f t="shared" ca="1" si="14"/>
        <v>5.3186842105263157</v>
      </c>
      <c r="R15" s="363">
        <f t="shared" ca="1" si="15"/>
        <v>4.9936842105263155</v>
      </c>
      <c r="S15" s="364">
        <f t="shared" si="16"/>
        <v>1.7333333333333334</v>
      </c>
      <c r="T15" s="365">
        <f t="shared" ca="1" si="17"/>
        <v>57.266197410303675</v>
      </c>
      <c r="U15" s="366">
        <f t="shared" ca="1" si="18"/>
        <v>0.50096869296347402</v>
      </c>
      <c r="V15" s="344">
        <f t="shared" si="19"/>
        <v>0.107115</v>
      </c>
      <c r="W15" s="344">
        <f t="shared" si="20"/>
        <v>9.4157194444444453E-2</v>
      </c>
      <c r="X15" s="344">
        <f t="shared" ca="1" si="43"/>
        <v>0.18055923498038684</v>
      </c>
      <c r="Y15" s="344">
        <f t="shared" ca="1" si="44"/>
        <v>0.13473886956583808</v>
      </c>
      <c r="Z15" s="344">
        <f t="shared" si="21"/>
        <v>1.5600000000000001E-2</v>
      </c>
      <c r="AA15" s="344">
        <f t="shared" si="22"/>
        <v>7.8164999999999998E-2</v>
      </c>
      <c r="AB15" s="344">
        <f t="shared" ca="1" si="45"/>
        <v>0.61033529899066929</v>
      </c>
      <c r="AC15" s="367">
        <f t="shared" ca="1" si="23"/>
        <v>45.751400165682753</v>
      </c>
      <c r="AD15" s="367">
        <f t="shared" ca="1" si="24"/>
        <v>104.218424417554</v>
      </c>
      <c r="AE15" s="367">
        <f t="shared" ca="1" si="25"/>
        <v>84.677469839262628</v>
      </c>
      <c r="AF15" s="344">
        <f t="shared" ca="1" si="26"/>
        <v>8.927881613739693</v>
      </c>
      <c r="AG15" s="366">
        <f t="shared" ca="1" si="27"/>
        <v>5.2103508771929823</v>
      </c>
      <c r="AH15" s="368">
        <f t="shared" ca="1" si="28"/>
        <v>4.9936842105263155</v>
      </c>
      <c r="AI15" s="369">
        <f t="shared" si="29"/>
        <v>0.8666666666666667</v>
      </c>
      <c r="AJ15" s="370">
        <f t="shared" ca="1" si="30"/>
        <v>54.396098260594528</v>
      </c>
      <c r="AK15" s="371">
        <f t="shared" ca="1" si="31"/>
        <v>0.49134563520906671</v>
      </c>
      <c r="AL15" s="345">
        <f t="shared" si="32"/>
        <v>0.107115</v>
      </c>
      <c r="AM15" s="345">
        <f t="shared" si="33"/>
        <v>4.7078597222222227E-2</v>
      </c>
      <c r="AN15" s="345">
        <f t="shared" ca="1" si="46"/>
        <v>4.1249548335453141E-2</v>
      </c>
      <c r="AO15" s="345">
        <f t="shared" ca="1" si="47"/>
        <v>3.4582266177859151E-2</v>
      </c>
      <c r="AP15" s="345">
        <f t="shared" si="34"/>
        <v>7.8000000000000005E-3</v>
      </c>
      <c r="AQ15" s="345">
        <f t="shared" si="35"/>
        <v>7.8164999999999998E-2</v>
      </c>
      <c r="AR15" s="345">
        <f t="shared" ca="1" si="48"/>
        <v>0.31599041173553449</v>
      </c>
      <c r="AS15" s="372">
        <f t="shared" ca="1" si="36"/>
        <v>35.743673999008173</v>
      </c>
      <c r="AT15" s="372">
        <f t="shared" ca="1" si="37"/>
        <v>98.325875250616008</v>
      </c>
      <c r="AU15" s="372">
        <f t="shared" ca="1" si="38"/>
        <v>79.889773641125515</v>
      </c>
      <c r="AV15" s="345">
        <f t="shared" ca="1" si="39"/>
        <v>9.0527498058525442</v>
      </c>
      <c r="AW15" s="371">
        <f t="shared" ca="1" si="40"/>
        <v>5.1020175438596489</v>
      </c>
      <c r="AX15" s="373">
        <f t="shared" ca="1" si="41"/>
        <v>4.9936842105263155</v>
      </c>
    </row>
    <row r="16" spans="1:50" s="340" customFormat="1" ht="12.75" customHeight="1">
      <c r="A16" s="341">
        <v>25</v>
      </c>
      <c r="B16" s="342">
        <f t="shared" si="0"/>
        <v>9.4150000000000009</v>
      </c>
      <c r="C16" s="359">
        <f t="shared" si="1"/>
        <v>2.6</v>
      </c>
      <c r="D16" s="360">
        <f t="shared" ca="1" si="2"/>
        <v>62.127312407439234</v>
      </c>
      <c r="E16" s="349">
        <f t="shared" ca="1" si="3"/>
        <v>0.49599655587826036</v>
      </c>
      <c r="F16" s="343">
        <f t="shared" si="4"/>
        <v>0.10450650000000002</v>
      </c>
      <c r="G16" s="343">
        <f t="shared" si="5"/>
        <v>0.13444070791666668</v>
      </c>
      <c r="H16" s="343">
        <f t="shared" ca="1" si="6"/>
        <v>0.4814633606855131</v>
      </c>
      <c r="I16" s="343">
        <f t="shared" ca="1" si="7"/>
        <v>0.29349911882432289</v>
      </c>
      <c r="J16" s="343">
        <f t="shared" si="8"/>
        <v>2.3399999999999997E-2</v>
      </c>
      <c r="K16" s="343">
        <f t="shared" si="9"/>
        <v>7.626150000000001E-2</v>
      </c>
      <c r="L16" s="343">
        <f t="shared" ca="1" si="42"/>
        <v>1.1135711874265029</v>
      </c>
      <c r="M16" s="362">
        <f t="shared" ca="1" si="10"/>
        <v>62.861420372501094</v>
      </c>
      <c r="N16" s="362">
        <f t="shared" ca="1" si="11"/>
        <v>114.29280431532865</v>
      </c>
      <c r="O16" s="362">
        <f t="shared" ca="1" si="12"/>
        <v>92.862903506204532</v>
      </c>
      <c r="P16" s="343">
        <f t="shared" ca="1" si="13"/>
        <v>8.5588745958853334</v>
      </c>
      <c r="Q16" s="361">
        <f t="shared" ca="1" si="14"/>
        <v>5.3186842105263157</v>
      </c>
      <c r="R16" s="363">
        <f t="shared" ca="1" si="15"/>
        <v>4.9936842105263155</v>
      </c>
      <c r="S16" s="364">
        <f t="shared" si="16"/>
        <v>1.7333333333333334</v>
      </c>
      <c r="T16" s="365">
        <f t="shared" ca="1" si="17"/>
        <v>58.717542792481503</v>
      </c>
      <c r="U16" s="366">
        <f t="shared" ca="1" si="18"/>
        <v>0.48607721032195939</v>
      </c>
      <c r="V16" s="344">
        <f t="shared" si="19"/>
        <v>0.10450650000000002</v>
      </c>
      <c r="W16" s="344">
        <f t="shared" si="20"/>
        <v>8.9627138611111129E-2</v>
      </c>
      <c r="X16" s="344">
        <f t="shared" ca="1" si="43"/>
        <v>0.18471337237875002</v>
      </c>
      <c r="Y16" s="344">
        <f t="shared" ca="1" si="44"/>
        <v>0.12986616142694879</v>
      </c>
      <c r="Z16" s="344">
        <f t="shared" si="21"/>
        <v>1.5600000000000001E-2</v>
      </c>
      <c r="AA16" s="344">
        <f t="shared" si="22"/>
        <v>7.626150000000001E-2</v>
      </c>
      <c r="AB16" s="344">
        <f t="shared" ca="1" si="45"/>
        <v>0.60057467241680984</v>
      </c>
      <c r="AC16" s="367">
        <f t="shared" ca="1" si="23"/>
        <v>45.419538862171535</v>
      </c>
      <c r="AD16" s="367">
        <f t="shared" ca="1" si="24"/>
        <v>104.02302448204659</v>
      </c>
      <c r="AE16" s="367">
        <f t="shared" ca="1" si="25"/>
        <v>84.518707391662858</v>
      </c>
      <c r="AF16" s="344">
        <f t="shared" ca="1" si="26"/>
        <v>8.7049671317122836</v>
      </c>
      <c r="AG16" s="366">
        <f t="shared" ca="1" si="27"/>
        <v>5.2103508771929823</v>
      </c>
      <c r="AH16" s="368">
        <f t="shared" ca="1" si="28"/>
        <v>4.9936842105263155</v>
      </c>
      <c r="AI16" s="369">
        <f t="shared" si="29"/>
        <v>0.8666666666666667</v>
      </c>
      <c r="AJ16" s="370">
        <f t="shared" ca="1" si="30"/>
        <v>55.764149190149844</v>
      </c>
      <c r="AK16" s="371">
        <f t="shared" ca="1" si="31"/>
        <v>0.47749689091226083</v>
      </c>
      <c r="AL16" s="345">
        <f t="shared" si="32"/>
        <v>0.10450650000000002</v>
      </c>
      <c r="AM16" s="345">
        <f t="shared" si="33"/>
        <v>4.4813569305555565E-2</v>
      </c>
      <c r="AN16" s="345">
        <f t="shared" ca="1" si="46"/>
        <v>4.2165524350813569E-2</v>
      </c>
      <c r="AO16" s="345">
        <f t="shared" ca="1" si="47"/>
        <v>3.3448512558516101E-2</v>
      </c>
      <c r="AP16" s="345">
        <f t="shared" si="34"/>
        <v>7.8000000000000005E-3</v>
      </c>
      <c r="AQ16" s="345">
        <f t="shared" si="35"/>
        <v>7.626150000000001E-2</v>
      </c>
      <c r="AR16" s="345">
        <f t="shared" ca="1" si="48"/>
        <v>0.30899560621488525</v>
      </c>
      <c r="AS16" s="372">
        <f t="shared" ca="1" si="36"/>
        <v>35.505850611306101</v>
      </c>
      <c r="AT16" s="372">
        <f t="shared" ca="1" si="37"/>
        <v>98.185844839937033</v>
      </c>
      <c r="AU16" s="372">
        <f t="shared" ca="1" si="38"/>
        <v>79.775998932448843</v>
      </c>
      <c r="AV16" s="345">
        <f t="shared" ca="1" si="39"/>
        <v>8.8296200277947143</v>
      </c>
      <c r="AW16" s="371">
        <f t="shared" ca="1" si="40"/>
        <v>5.1020175438596489</v>
      </c>
      <c r="AX16" s="373">
        <f t="shared" ca="1" si="41"/>
        <v>4.9936842105263155</v>
      </c>
    </row>
    <row r="17" spans="1:50" s="340" customFormat="1" ht="12.75" customHeight="1">
      <c r="A17" s="341">
        <v>25</v>
      </c>
      <c r="B17" s="342">
        <f t="shared" si="0"/>
        <v>9.1800000000000015</v>
      </c>
      <c r="C17" s="359">
        <f t="shared" si="1"/>
        <v>2.6</v>
      </c>
      <c r="D17" s="360">
        <f t="shared" ca="1" si="2"/>
        <v>63.758026783207271</v>
      </c>
      <c r="E17" s="349">
        <f t="shared" ca="1" si="3"/>
        <v>0.47906944065051077</v>
      </c>
      <c r="F17" s="343">
        <f t="shared" si="4"/>
        <v>0.10189800000000002</v>
      </c>
      <c r="G17" s="343">
        <f t="shared" si="5"/>
        <v>0.12781314000000005</v>
      </c>
      <c r="H17" s="343">
        <f t="shared" ca="1" si="6"/>
        <v>0.49286958644058942</v>
      </c>
      <c r="I17" s="343">
        <f t="shared" ca="1" si="7"/>
        <v>0.28016184396497412</v>
      </c>
      <c r="J17" s="343">
        <f t="shared" si="8"/>
        <v>2.3399999999999997E-2</v>
      </c>
      <c r="K17" s="343">
        <f t="shared" si="9"/>
        <v>7.4358000000000007E-2</v>
      </c>
      <c r="L17" s="343">
        <f t="shared" ca="1" si="42"/>
        <v>1.1005005704055637</v>
      </c>
      <c r="M17" s="362">
        <f t="shared" ca="1" si="10"/>
        <v>62.417019393789168</v>
      </c>
      <c r="N17" s="362">
        <f t="shared" ca="1" si="11"/>
        <v>114.03114101906306</v>
      </c>
      <c r="O17" s="362">
        <f t="shared" ca="1" si="12"/>
        <v>92.650302077988741</v>
      </c>
      <c r="P17" s="343">
        <f t="shared" ca="1" si="13"/>
        <v>8.3362985424127771</v>
      </c>
      <c r="Q17" s="361">
        <f t="shared" ca="1" si="14"/>
        <v>5.3186842105263157</v>
      </c>
      <c r="R17" s="363">
        <f t="shared" ca="1" si="15"/>
        <v>4.9936842105263155</v>
      </c>
      <c r="S17" s="364">
        <f t="shared" si="16"/>
        <v>1.7333333333333334</v>
      </c>
      <c r="T17" s="365">
        <f t="shared" ca="1" si="17"/>
        <v>60.244645367834053</v>
      </c>
      <c r="U17" s="366">
        <f t="shared" ca="1" si="18"/>
        <v>0.47041334973773397</v>
      </c>
      <c r="V17" s="344">
        <f t="shared" si="19"/>
        <v>0.10189800000000002</v>
      </c>
      <c r="W17" s="344">
        <f t="shared" si="20"/>
        <v>8.5208760000000036E-2</v>
      </c>
      <c r="X17" s="344">
        <f t="shared" ca="1" si="43"/>
        <v>0.18908749045810719</v>
      </c>
      <c r="Y17" s="344">
        <f t="shared" ca="1" si="44"/>
        <v>0.1247785623729801</v>
      </c>
      <c r="Z17" s="344">
        <f t="shared" si="21"/>
        <v>1.5600000000000001E-2</v>
      </c>
      <c r="AA17" s="344">
        <f t="shared" si="22"/>
        <v>7.4358000000000007E-2</v>
      </c>
      <c r="AB17" s="344">
        <f t="shared" ca="1" si="45"/>
        <v>0.59093081283108728</v>
      </c>
      <c r="AC17" s="367">
        <f t="shared" ca="1" si="23"/>
        <v>45.091647636256965</v>
      </c>
      <c r="AD17" s="367">
        <f t="shared" ca="1" si="24"/>
        <v>103.8299621282281</v>
      </c>
      <c r="AE17" s="367">
        <f t="shared" ca="1" si="25"/>
        <v>84.361844229185337</v>
      </c>
      <c r="AF17" s="344">
        <f t="shared" ca="1" si="26"/>
        <v>8.4820486358623217</v>
      </c>
      <c r="AG17" s="366">
        <f t="shared" ca="1" si="27"/>
        <v>5.2103508771929823</v>
      </c>
      <c r="AH17" s="368">
        <f t="shared" ca="1" si="28"/>
        <v>4.9936842105263155</v>
      </c>
      <c r="AI17" s="369">
        <f t="shared" si="29"/>
        <v>0.8666666666666667</v>
      </c>
      <c r="AJ17" s="370">
        <f t="shared" ca="1" si="30"/>
        <v>57.202876712797007</v>
      </c>
      <c r="AK17" s="371">
        <f t="shared" ca="1" si="31"/>
        <v>0.46293428358463889</v>
      </c>
      <c r="AL17" s="345">
        <f t="shared" si="32"/>
        <v>0.10189800000000002</v>
      </c>
      <c r="AM17" s="345">
        <f t="shared" si="33"/>
        <v>4.2604380000000018E-2</v>
      </c>
      <c r="AN17" s="345">
        <f t="shared" ca="1" si="46"/>
        <v>4.3128191541889391E-2</v>
      </c>
      <c r="AO17" s="345">
        <f t="shared" ca="1" si="47"/>
        <v>3.2266952933844781E-2</v>
      </c>
      <c r="AP17" s="345">
        <f t="shared" si="34"/>
        <v>7.8000000000000005E-3</v>
      </c>
      <c r="AQ17" s="345">
        <f t="shared" si="35"/>
        <v>7.4358000000000007E-2</v>
      </c>
      <c r="AR17" s="345">
        <f t="shared" ca="1" si="48"/>
        <v>0.30205552447573425</v>
      </c>
      <c r="AS17" s="372">
        <f t="shared" ca="1" si="36"/>
        <v>35.269887832174966</v>
      </c>
      <c r="AT17" s="372">
        <f t="shared" ca="1" si="37"/>
        <v>98.046909955584624</v>
      </c>
      <c r="AU17" s="372">
        <f t="shared" ca="1" si="38"/>
        <v>79.663114338912507</v>
      </c>
      <c r="AV17" s="345">
        <f t="shared" ca="1" si="39"/>
        <v>8.6064893091818835</v>
      </c>
      <c r="AW17" s="371">
        <f t="shared" ca="1" si="40"/>
        <v>5.1020175438596489</v>
      </c>
      <c r="AX17" s="373">
        <f t="shared" ca="1" si="41"/>
        <v>4.9936842105263155</v>
      </c>
    </row>
    <row r="18" spans="1:50" s="340" customFormat="1" ht="12.75" customHeight="1">
      <c r="A18" s="341">
        <v>25</v>
      </c>
      <c r="B18" s="342">
        <f t="shared" si="0"/>
        <v>8.9450000000000021</v>
      </c>
      <c r="C18" s="359">
        <f t="shared" si="1"/>
        <v>2.6</v>
      </c>
      <c r="D18" s="360">
        <f t="shared" ca="1" si="2"/>
        <v>65.477294366215062</v>
      </c>
      <c r="E18" s="349">
        <f t="shared" ca="1" si="3"/>
        <v>0.46123397060505916</v>
      </c>
      <c r="F18" s="343">
        <f t="shared" si="4"/>
        <v>9.9289500000000031E-2</v>
      </c>
      <c r="G18" s="343">
        <f t="shared" si="5"/>
        <v>0.12135308791666671</v>
      </c>
      <c r="H18" s="343">
        <f t="shared" ca="1" si="6"/>
        <v>0.50491152237998904</v>
      </c>
      <c r="I18" s="343">
        <f t="shared" ca="1" si="7"/>
        <v>0.26621307472998706</v>
      </c>
      <c r="J18" s="343">
        <f t="shared" si="8"/>
        <v>2.3399999999999997E-2</v>
      </c>
      <c r="K18" s="343">
        <f t="shared" si="9"/>
        <v>7.2454500000000005E-2</v>
      </c>
      <c r="L18" s="343">
        <f t="shared" ca="1" si="42"/>
        <v>1.0876216850266431</v>
      </c>
      <c r="M18" s="362">
        <f t="shared" ca="1" si="10"/>
        <v>61.979137290905868</v>
      </c>
      <c r="N18" s="362">
        <f t="shared" ca="1" si="11"/>
        <v>113.77331603688538</v>
      </c>
      <c r="O18" s="362">
        <f t="shared" ca="1" si="12"/>
        <v>92.440819279969361</v>
      </c>
      <c r="P18" s="343">
        <f t="shared" ca="1" si="13"/>
        <v>8.1137126028824991</v>
      </c>
      <c r="Q18" s="361">
        <f t="shared" ca="1" si="14"/>
        <v>5.3186842105263157</v>
      </c>
      <c r="R18" s="363">
        <f t="shared" ca="1" si="15"/>
        <v>4.9936842105263155</v>
      </c>
      <c r="S18" s="364">
        <f t="shared" si="16"/>
        <v>1.7333333333333334</v>
      </c>
      <c r="T18" s="365">
        <f t="shared" ca="1" si="17"/>
        <v>61.853591848999194</v>
      </c>
      <c r="U18" s="366">
        <f t="shared" ca="1" si="18"/>
        <v>0.45391498785264045</v>
      </c>
      <c r="V18" s="344">
        <f t="shared" si="19"/>
        <v>9.9289500000000031E-2</v>
      </c>
      <c r="W18" s="344">
        <f t="shared" si="20"/>
        <v>8.0902058611111147E-2</v>
      </c>
      <c r="X18" s="344">
        <f t="shared" ca="1" si="43"/>
        <v>0.19369935716800465</v>
      </c>
      <c r="Y18" s="344">
        <f t="shared" ca="1" si="44"/>
        <v>0.11945845853472044</v>
      </c>
      <c r="Z18" s="344">
        <f t="shared" si="21"/>
        <v>1.5600000000000001E-2</v>
      </c>
      <c r="AA18" s="344">
        <f t="shared" si="22"/>
        <v>7.2454500000000005E-2</v>
      </c>
      <c r="AB18" s="344">
        <f t="shared" ca="1" si="45"/>
        <v>0.58140387431383622</v>
      </c>
      <c r="AC18" s="367">
        <f t="shared" ca="1" si="23"/>
        <v>44.767731726670434</v>
      </c>
      <c r="AD18" s="367">
        <f t="shared" ca="1" si="24"/>
        <v>103.63924044066356</v>
      </c>
      <c r="AE18" s="367">
        <f t="shared" ca="1" si="25"/>
        <v>84.206882858039137</v>
      </c>
      <c r="AF18" s="344">
        <f t="shared" ca="1" si="26"/>
        <v>8.2591261208933453</v>
      </c>
      <c r="AG18" s="366">
        <f t="shared" ca="1" si="27"/>
        <v>5.2103508771929823</v>
      </c>
      <c r="AH18" s="368">
        <f t="shared" ca="1" si="28"/>
        <v>4.9936842105263155</v>
      </c>
      <c r="AI18" s="369">
        <f t="shared" si="29"/>
        <v>0.8666666666666667</v>
      </c>
      <c r="AJ18" s="370">
        <f t="shared" ca="1" si="30"/>
        <v>58.717902164379502</v>
      </c>
      <c r="AK18" s="371">
        <f t="shared" ca="1" si="31"/>
        <v>0.4476010201073457</v>
      </c>
      <c r="AL18" s="345">
        <f t="shared" si="32"/>
        <v>9.9289500000000031E-2</v>
      </c>
      <c r="AM18" s="345">
        <f t="shared" si="33"/>
        <v>4.0451029305555573E-2</v>
      </c>
      <c r="AN18" s="345">
        <f t="shared" ca="1" si="46"/>
        <v>4.4141323138665277E-2</v>
      </c>
      <c r="AO18" s="345">
        <f t="shared" ca="1" si="47"/>
        <v>3.1033915607250058E-2</v>
      </c>
      <c r="AP18" s="345">
        <f t="shared" si="34"/>
        <v>7.8000000000000005E-3</v>
      </c>
      <c r="AQ18" s="345">
        <f t="shared" si="35"/>
        <v>7.2454500000000005E-2</v>
      </c>
      <c r="AR18" s="345">
        <f t="shared" ca="1" si="48"/>
        <v>0.29517026805147095</v>
      </c>
      <c r="AS18" s="372">
        <f t="shared" ca="1" si="36"/>
        <v>35.035789113750013</v>
      </c>
      <c r="AT18" s="372">
        <f t="shared" ca="1" si="37"/>
        <v>97.909072630176013</v>
      </c>
      <c r="AU18" s="372">
        <f t="shared" ca="1" si="38"/>
        <v>79.551121512018</v>
      </c>
      <c r="AV18" s="345">
        <f t="shared" ca="1" si="39"/>
        <v>8.3833576482689693</v>
      </c>
      <c r="AW18" s="371">
        <f t="shared" ca="1" si="40"/>
        <v>5.1020175438596489</v>
      </c>
      <c r="AX18" s="373">
        <f t="shared" ca="1" si="41"/>
        <v>4.9936842105263155</v>
      </c>
    </row>
    <row r="19" spans="1:50" s="340" customFormat="1" ht="12.75" customHeight="1">
      <c r="A19" s="341">
        <v>25</v>
      </c>
      <c r="B19" s="342">
        <f t="shared" si="0"/>
        <v>8.7100000000000026</v>
      </c>
      <c r="C19" s="359">
        <f t="shared" si="1"/>
        <v>2.6</v>
      </c>
      <c r="D19" s="360">
        <f t="shared" ca="1" si="2"/>
        <v>67.292519487578033</v>
      </c>
      <c r="E19" s="349">
        <f t="shared" ca="1" si="3"/>
        <v>0.44241402404239832</v>
      </c>
      <c r="F19" s="343">
        <f t="shared" si="4"/>
        <v>9.6681000000000031E-2</v>
      </c>
      <c r="G19" s="343">
        <f t="shared" si="5"/>
        <v>0.11506055166666673</v>
      </c>
      <c r="H19" s="343">
        <f t="shared" ca="1" si="6"/>
        <v>0.51764252965675273</v>
      </c>
      <c r="I19" s="343">
        <f t="shared" ca="1" si="7"/>
        <v>0.25159977780701781</v>
      </c>
      <c r="J19" s="343">
        <f t="shared" si="8"/>
        <v>2.3399999999999997E-2</v>
      </c>
      <c r="K19" s="343">
        <f t="shared" si="9"/>
        <v>7.0551000000000016E-2</v>
      </c>
      <c r="L19" s="343">
        <f t="shared" ca="1" si="42"/>
        <v>1.0749348591304373</v>
      </c>
      <c r="M19" s="362">
        <f t="shared" ca="1" si="10"/>
        <v>61.547785210434867</v>
      </c>
      <c r="N19" s="362">
        <f t="shared" ca="1" si="11"/>
        <v>113.51933593190405</v>
      </c>
      <c r="O19" s="362">
        <f t="shared" ca="1" si="12"/>
        <v>92.234460444672038</v>
      </c>
      <c r="P19" s="343">
        <f t="shared" ca="1" si="13"/>
        <v>7.8911167603903909</v>
      </c>
      <c r="Q19" s="361">
        <f t="shared" ca="1" si="14"/>
        <v>5.3186842105263157</v>
      </c>
      <c r="R19" s="363">
        <f t="shared" ca="1" si="15"/>
        <v>4.9936842105263155</v>
      </c>
      <c r="S19" s="364">
        <f t="shared" si="16"/>
        <v>1.7333333333333334</v>
      </c>
      <c r="T19" s="365">
        <f t="shared" ca="1" si="17"/>
        <v>63.551138972363788</v>
      </c>
      <c r="U19" s="366">
        <f t="shared" ca="1" si="18"/>
        <v>0.43651316325498607</v>
      </c>
      <c r="V19" s="344">
        <f t="shared" si="19"/>
        <v>9.6681000000000031E-2</v>
      </c>
      <c r="W19" s="344">
        <f t="shared" si="20"/>
        <v>7.6707034444444488E-2</v>
      </c>
      <c r="X19" s="344">
        <f t="shared" ca="1" si="43"/>
        <v>0.19856873162183689</v>
      </c>
      <c r="Y19" s="344">
        <f t="shared" ca="1" si="44"/>
        <v>0.1138863003929121</v>
      </c>
      <c r="Z19" s="344">
        <f t="shared" si="21"/>
        <v>1.5600000000000001E-2</v>
      </c>
      <c r="AA19" s="344">
        <f t="shared" si="22"/>
        <v>7.0551000000000016E-2</v>
      </c>
      <c r="AB19" s="344">
        <f t="shared" ca="1" si="45"/>
        <v>0.57199406645919348</v>
      </c>
      <c r="AC19" s="367">
        <f t="shared" ca="1" si="23"/>
        <v>44.447798259612583</v>
      </c>
      <c r="AD19" s="367">
        <f t="shared" ca="1" si="24"/>
        <v>103.45086361525989</v>
      </c>
      <c r="AE19" s="367">
        <f t="shared" ca="1" si="25"/>
        <v>84.053826687398654</v>
      </c>
      <c r="AF19" s="344">
        <f t="shared" ca="1" si="26"/>
        <v>8.0361995796006322</v>
      </c>
      <c r="AG19" s="366">
        <f t="shared" ca="1" si="27"/>
        <v>5.2103508771929823</v>
      </c>
      <c r="AH19" s="368">
        <f t="shared" ca="1" si="28"/>
        <v>4.9936842105263155</v>
      </c>
      <c r="AI19" s="369">
        <f t="shared" si="29"/>
        <v>0.8666666666666667</v>
      </c>
      <c r="AJ19" s="370">
        <f t="shared" ca="1" si="30"/>
        <v>60.315459258721951</v>
      </c>
      <c r="AK19" s="371">
        <f t="shared" ca="1" si="31"/>
        <v>0.43143412059756764</v>
      </c>
      <c r="AL19" s="345">
        <f t="shared" si="32"/>
        <v>9.6681000000000031E-2</v>
      </c>
      <c r="AM19" s="345">
        <f t="shared" si="33"/>
        <v>3.8353517222222244E-2</v>
      </c>
      <c r="AN19" s="345">
        <f t="shared" ca="1" si="46"/>
        <v>4.5209128062107341E-2</v>
      </c>
      <c r="AO19" s="345">
        <f t="shared" ca="1" si="47"/>
        <v>2.974533405710441E-2</v>
      </c>
      <c r="AP19" s="345">
        <f t="shared" si="34"/>
        <v>7.8000000000000005E-3</v>
      </c>
      <c r="AQ19" s="345">
        <f t="shared" si="35"/>
        <v>7.0551000000000016E-2</v>
      </c>
      <c r="AR19" s="345">
        <f t="shared" ca="1" si="48"/>
        <v>0.28833997934143402</v>
      </c>
      <c r="AS19" s="372">
        <f t="shared" ca="1" si="36"/>
        <v>34.803559297608757</v>
      </c>
      <c r="AT19" s="372">
        <f t="shared" ca="1" si="37"/>
        <v>97.772335714432032</v>
      </c>
      <c r="AU19" s="372">
        <f t="shared" ca="1" si="38"/>
        <v>79.440022767976032</v>
      </c>
      <c r="AV19" s="345">
        <f t="shared" ca="1" si="39"/>
        <v>8.1602250426085075</v>
      </c>
      <c r="AW19" s="371">
        <f t="shared" ca="1" si="40"/>
        <v>5.1020175438596489</v>
      </c>
      <c r="AX19" s="373">
        <f t="shared" ca="1" si="41"/>
        <v>4.9936842105263155</v>
      </c>
    </row>
    <row r="20" spans="1:50" s="340" customFormat="1" ht="12.75" customHeight="1">
      <c r="A20" s="341">
        <v>25</v>
      </c>
      <c r="B20" s="342">
        <f t="shared" si="0"/>
        <v>8.4750000000000032</v>
      </c>
      <c r="C20" s="359">
        <f t="shared" si="1"/>
        <v>2.6</v>
      </c>
      <c r="D20" s="360">
        <f t="shared" ca="1" si="2"/>
        <v>69.211955712518574</v>
      </c>
      <c r="E20" s="349">
        <f t="shared" ca="1" si="3"/>
        <v>0.42252474981066213</v>
      </c>
      <c r="F20" s="343">
        <f t="shared" si="4"/>
        <v>9.4072500000000031E-2</v>
      </c>
      <c r="G20" s="343">
        <f t="shared" si="5"/>
        <v>0.10893553125000009</v>
      </c>
      <c r="H20" s="343">
        <f t="shared" ca="1" si="6"/>
        <v>0.53112215994127177</v>
      </c>
      <c r="I20" s="343">
        <f t="shared" ca="1" si="7"/>
        <v>0.23626283080709132</v>
      </c>
      <c r="J20" s="343">
        <f t="shared" si="8"/>
        <v>2.3399999999999997E-2</v>
      </c>
      <c r="K20" s="343">
        <f t="shared" si="9"/>
        <v>6.8647500000000014E-2</v>
      </c>
      <c r="L20" s="343">
        <f t="shared" ca="1" si="42"/>
        <v>1.0624405219983633</v>
      </c>
      <c r="M20" s="362">
        <f t="shared" ca="1" si="10"/>
        <v>61.122977747944347</v>
      </c>
      <c r="N20" s="362">
        <f t="shared" ca="1" si="11"/>
        <v>113.26920929798963</v>
      </c>
      <c r="O20" s="362">
        <f t="shared" ca="1" si="12"/>
        <v>92.031232554616579</v>
      </c>
      <c r="P20" s="343">
        <f t="shared" ca="1" si="13"/>
        <v>7.6685109928018669</v>
      </c>
      <c r="Q20" s="361">
        <f t="shared" ca="1" si="14"/>
        <v>5.3186842105263157</v>
      </c>
      <c r="R20" s="363">
        <f t="shared" ca="1" si="15"/>
        <v>4.9936842105263155</v>
      </c>
      <c r="S20" s="364">
        <f t="shared" si="16"/>
        <v>1.7333333333333334</v>
      </c>
      <c r="T20" s="365">
        <f t="shared" ca="1" si="17"/>
        <v>65.344808308237432</v>
      </c>
      <c r="U20" s="366">
        <f t="shared" ca="1" si="18"/>
        <v>0.41813110896387862</v>
      </c>
      <c r="V20" s="344">
        <f t="shared" si="19"/>
        <v>9.4072500000000031E-2</v>
      </c>
      <c r="W20" s="344">
        <f t="shared" si="20"/>
        <v>7.2623687500000061E-2</v>
      </c>
      <c r="X20" s="344">
        <f t="shared" ca="1" si="43"/>
        <v>0.20371765463282993</v>
      </c>
      <c r="Y20" s="344">
        <f t="shared" ca="1" si="44"/>
        <v>0.10804032569802532</v>
      </c>
      <c r="Z20" s="344">
        <f t="shared" si="21"/>
        <v>1.5600000000000001E-2</v>
      </c>
      <c r="AA20" s="344">
        <f t="shared" si="22"/>
        <v>6.8647500000000014E-2</v>
      </c>
      <c r="AB20" s="344">
        <f t="shared" ca="1" si="45"/>
        <v>0.5627016678308554</v>
      </c>
      <c r="AC20" s="367">
        <f t="shared" ca="1" si="23"/>
        <v>44.131856706249081</v>
      </c>
      <c r="AD20" s="367">
        <f t="shared" ca="1" si="24"/>
        <v>103.26483722863946</v>
      </c>
      <c r="AE20" s="367">
        <f t="shared" ca="1" si="25"/>
        <v>83.902680248269562</v>
      </c>
      <c r="AF20" s="344">
        <f t="shared" ca="1" si="26"/>
        <v>7.81326900240866</v>
      </c>
      <c r="AG20" s="366">
        <f t="shared" ca="1" si="27"/>
        <v>5.2103508771929823</v>
      </c>
      <c r="AH20" s="368">
        <f t="shared" ca="1" si="28"/>
        <v>4.9936842105263155</v>
      </c>
      <c r="AI20" s="369">
        <f t="shared" si="29"/>
        <v>0.8666666666666667</v>
      </c>
      <c r="AJ20" s="370">
        <f t="shared" ca="1" si="30"/>
        <v>62.002479813650559</v>
      </c>
      <c r="AK20" s="371">
        <f t="shared" ca="1" si="31"/>
        <v>0.41436355236331085</v>
      </c>
      <c r="AL20" s="345">
        <f t="shared" si="32"/>
        <v>9.4072500000000031E-2</v>
      </c>
      <c r="AM20" s="345">
        <f t="shared" si="33"/>
        <v>3.6311843750000031E-2</v>
      </c>
      <c r="AN20" s="345">
        <f t="shared" ca="1" si="46"/>
        <v>4.6336318116833794E-2</v>
      </c>
      <c r="AO20" s="345">
        <f t="shared" ca="1" si="47"/>
        <v>2.8396689750106913E-2</v>
      </c>
      <c r="AP20" s="345">
        <f t="shared" si="34"/>
        <v>7.8000000000000005E-3</v>
      </c>
      <c r="AQ20" s="345">
        <f t="shared" si="35"/>
        <v>6.8647500000000014E-2</v>
      </c>
      <c r="AR20" s="345">
        <f t="shared" ca="1" si="48"/>
        <v>0.28156485161694084</v>
      </c>
      <c r="AS20" s="372">
        <f t="shared" ca="1" si="36"/>
        <v>34.573204954975992</v>
      </c>
      <c r="AT20" s="372">
        <f t="shared" ca="1" si="37"/>
        <v>97.636703077489869</v>
      </c>
      <c r="AU20" s="372">
        <f t="shared" ca="1" si="38"/>
        <v>79.329821250460512</v>
      </c>
      <c r="AV20" s="345">
        <f t="shared" ca="1" si="39"/>
        <v>7.9370914888786812</v>
      </c>
      <c r="AW20" s="371">
        <f t="shared" ca="1" si="40"/>
        <v>5.1020175438596489</v>
      </c>
      <c r="AX20" s="373">
        <f t="shared" ca="1" si="41"/>
        <v>4.9936842105263155</v>
      </c>
    </row>
    <row r="21" spans="1:50" s="340" customFormat="1" ht="12.75" customHeight="1">
      <c r="A21" s="341">
        <v>25</v>
      </c>
      <c r="B21" s="342">
        <f t="shared" si="0"/>
        <v>8.2400000000000038</v>
      </c>
      <c r="C21" s="359">
        <f t="shared" si="1"/>
        <v>2.6</v>
      </c>
      <c r="D21" s="360">
        <f t="shared" ca="1" si="2"/>
        <v>71.244831205424418</v>
      </c>
      <c r="E21" s="349">
        <f t="shared" ca="1" si="3"/>
        <v>0.40147127889773759</v>
      </c>
      <c r="F21" s="343">
        <f t="shared" si="4"/>
        <v>9.1464000000000045E-2</v>
      </c>
      <c r="G21" s="343">
        <f t="shared" si="5"/>
        <v>0.10297802666666676</v>
      </c>
      <c r="H21" s="343">
        <f t="shared" ca="1" si="6"/>
        <v>0.54541708679134593</v>
      </c>
      <c r="I21" s="343">
        <f t="shared" ca="1" si="7"/>
        <v>0.22013611554372972</v>
      </c>
      <c r="J21" s="343">
        <f t="shared" si="8"/>
        <v>2.3399999999999997E-2</v>
      </c>
      <c r="K21" s="343">
        <f t="shared" si="9"/>
        <v>6.6744000000000026E-2</v>
      </c>
      <c r="L21" s="343">
        <f t="shared" ca="1" si="42"/>
        <v>1.0501392290017426</v>
      </c>
      <c r="M21" s="362">
        <f t="shared" ca="1" si="10"/>
        <v>60.704733786059251</v>
      </c>
      <c r="N21" s="362">
        <f t="shared" ca="1" si="11"/>
        <v>113.02294725323168</v>
      </c>
      <c r="O21" s="362">
        <f t="shared" ca="1" si="12"/>
        <v>91.831144643250752</v>
      </c>
      <c r="P21" s="343">
        <f t="shared" ca="1" si="13"/>
        <v>7.4458952714808992</v>
      </c>
      <c r="Q21" s="361">
        <f t="shared" ca="1" si="14"/>
        <v>5.3186842105263157</v>
      </c>
      <c r="R21" s="363">
        <f t="shared" ca="1" si="15"/>
        <v>4.9936842105263155</v>
      </c>
      <c r="S21" s="364">
        <f t="shared" si="16"/>
        <v>1.7333333333333334</v>
      </c>
      <c r="T21" s="365">
        <f t="shared" ca="1" si="17"/>
        <v>67.242997640407751</v>
      </c>
      <c r="U21" s="366">
        <f t="shared" ca="1" si="18"/>
        <v>0.39868311584621907</v>
      </c>
      <c r="V21" s="344">
        <f t="shared" si="19"/>
        <v>9.1464000000000045E-2</v>
      </c>
      <c r="W21" s="344">
        <f t="shared" si="20"/>
        <v>6.8652017777777838E-2</v>
      </c>
      <c r="X21" s="344">
        <f t="shared" ca="1" si="43"/>
        <v>0.20917079227986218</v>
      </c>
      <c r="Y21" s="344">
        <f t="shared" ca="1" si="44"/>
        <v>0.10189623271868874</v>
      </c>
      <c r="Z21" s="344">
        <f t="shared" si="21"/>
        <v>1.5600000000000001E-2</v>
      </c>
      <c r="AA21" s="344">
        <f t="shared" si="22"/>
        <v>6.6744000000000026E-2</v>
      </c>
      <c r="AB21" s="344">
        <f t="shared" ca="1" si="45"/>
        <v>0.5535270427763288</v>
      </c>
      <c r="AC21" s="367">
        <f t="shared" ca="1" si="23"/>
        <v>43.819919454395176</v>
      </c>
      <c r="AD21" s="367">
        <f t="shared" ca="1" si="24"/>
        <v>103.08116857474788</v>
      </c>
      <c r="AE21" s="367">
        <f t="shared" ca="1" si="25"/>
        <v>83.753449466982659</v>
      </c>
      <c r="AF21" s="344">
        <f t="shared" ca="1" si="26"/>
        <v>7.5903343767931135</v>
      </c>
      <c r="AG21" s="366">
        <f t="shared" ca="1" si="27"/>
        <v>5.2103508771929823</v>
      </c>
      <c r="AH21" s="368">
        <f t="shared" ca="1" si="28"/>
        <v>4.9936842105263155</v>
      </c>
      <c r="AI21" s="369">
        <f t="shared" si="29"/>
        <v>0.8666666666666667</v>
      </c>
      <c r="AJ21" s="370">
        <f t="shared" ca="1" si="30"/>
        <v>63.786694293137707</v>
      </c>
      <c r="AK21" s="371">
        <f t="shared" ca="1" si="31"/>
        <v>0.39631121418560833</v>
      </c>
      <c r="AL21" s="345">
        <f t="shared" si="32"/>
        <v>9.1464000000000045E-2</v>
      </c>
      <c r="AM21" s="345">
        <f t="shared" si="33"/>
        <v>3.4326008888888919E-2</v>
      </c>
      <c r="AN21" s="345">
        <f t="shared" ca="1" si="46"/>
        <v>4.7528188384798532E-2</v>
      </c>
      <c r="AO21" s="345">
        <f t="shared" ca="1" si="47"/>
        <v>2.6982944244803356E-2</v>
      </c>
      <c r="AP21" s="345">
        <f t="shared" si="34"/>
        <v>7.8000000000000005E-3</v>
      </c>
      <c r="AQ21" s="345">
        <f t="shared" si="35"/>
        <v>6.6744000000000026E-2</v>
      </c>
      <c r="AR21" s="345">
        <f t="shared" ca="1" si="48"/>
        <v>0.27484514151849088</v>
      </c>
      <c r="AS21" s="372">
        <f t="shared" ca="1" si="36"/>
        <v>34.34473481162869</v>
      </c>
      <c r="AT21" s="372">
        <f t="shared" ca="1" si="37"/>
        <v>97.502179857086972</v>
      </c>
      <c r="AU21" s="372">
        <f t="shared" ca="1" si="38"/>
        <v>79.220521133883167</v>
      </c>
      <c r="AV21" s="345">
        <f t="shared" ca="1" si="39"/>
        <v>7.7139569826685337</v>
      </c>
      <c r="AW21" s="371">
        <f t="shared" ca="1" si="40"/>
        <v>5.1020175438596489</v>
      </c>
      <c r="AX21" s="373">
        <f t="shared" ca="1" si="41"/>
        <v>4.9936842105263155</v>
      </c>
    </row>
    <row r="22" spans="1:50" s="340" customFormat="1" ht="12.75" customHeight="1">
      <c r="A22" s="341">
        <v>25</v>
      </c>
      <c r="B22" s="342">
        <f t="shared" si="0"/>
        <v>8.0050000000000043</v>
      </c>
      <c r="C22" s="359">
        <f t="shared" si="1"/>
        <v>2.6</v>
      </c>
      <c r="D22" s="360">
        <f t="shared" ca="1" si="2"/>
        <v>73.401496982794626</v>
      </c>
      <c r="E22" s="349">
        <f t="shared" ca="1" si="3"/>
        <v>0.37914720085562348</v>
      </c>
      <c r="F22" s="343">
        <f t="shared" si="4"/>
        <v>8.8855500000000059E-2</v>
      </c>
      <c r="G22" s="343">
        <f t="shared" si="5"/>
        <v>9.7188037916666789E-2</v>
      </c>
      <c r="H22" s="343">
        <f t="shared" ca="1" si="6"/>
        <v>0.56060221168671165</v>
      </c>
      <c r="I22" s="343">
        <f t="shared" ca="1" si="7"/>
        <v>0.20314544296686757</v>
      </c>
      <c r="J22" s="343">
        <f t="shared" si="8"/>
        <v>2.3399999999999997E-2</v>
      </c>
      <c r="K22" s="343">
        <f t="shared" si="9"/>
        <v>6.4840500000000037E-2</v>
      </c>
      <c r="L22" s="343">
        <f t="shared" ca="1" si="42"/>
        <v>1.038031692570246</v>
      </c>
      <c r="M22" s="362">
        <f t="shared" ca="1" si="10"/>
        <v>60.293077547388364</v>
      </c>
      <c r="N22" s="362">
        <f t="shared" ca="1" si="11"/>
        <v>112.78056405990228</v>
      </c>
      <c r="O22" s="362">
        <f t="shared" ca="1" si="12"/>
        <v>91.6342082986706</v>
      </c>
      <c r="P22" s="343">
        <f t="shared" ca="1" si="13"/>
        <v>7.2232695596932173</v>
      </c>
      <c r="Q22" s="361">
        <f t="shared" ca="1" si="14"/>
        <v>5.3186842105263157</v>
      </c>
      <c r="R22" s="363">
        <f t="shared" ca="1" si="15"/>
        <v>4.9936842105263155</v>
      </c>
      <c r="S22" s="364">
        <f t="shared" si="16"/>
        <v>1.7333333333333334</v>
      </c>
      <c r="T22" s="365">
        <f t="shared" ca="1" si="17"/>
        <v>69.255112395163437</v>
      </c>
      <c r="U22" s="366">
        <f t="shared" ca="1" si="18"/>
        <v>0.37807319146190821</v>
      </c>
      <c r="V22" s="344">
        <f t="shared" si="19"/>
        <v>8.8855500000000059E-2</v>
      </c>
      <c r="W22" s="344">
        <f t="shared" si="20"/>
        <v>6.4792025277777859E-2</v>
      </c>
      <c r="X22" s="344">
        <f t="shared" ca="1" si="43"/>
        <v>0.21495584427921363</v>
      </c>
      <c r="Y22" s="344">
        <f t="shared" ca="1" si="44"/>
        <v>9.5426792965954577E-2</v>
      </c>
      <c r="Z22" s="344">
        <f t="shared" si="21"/>
        <v>1.5600000000000001E-2</v>
      </c>
      <c r="AA22" s="344">
        <f t="shared" si="22"/>
        <v>6.4840500000000037E-2</v>
      </c>
      <c r="AB22" s="344">
        <f t="shared" ca="1" si="45"/>
        <v>0.54447066252294618</v>
      </c>
      <c r="AC22" s="367">
        <f t="shared" ca="1" si="23"/>
        <v>43.512002525780169</v>
      </c>
      <c r="AD22" s="367">
        <f t="shared" ca="1" si="24"/>
        <v>102.89986708717936</v>
      </c>
      <c r="AE22" s="367">
        <f t="shared" ca="1" si="25"/>
        <v>83.606142008333237</v>
      </c>
      <c r="AF22" s="344">
        <f t="shared" ca="1" si="26"/>
        <v>7.3673956865557253</v>
      </c>
      <c r="AG22" s="366">
        <f t="shared" ca="1" si="27"/>
        <v>5.2103508771929823</v>
      </c>
      <c r="AH22" s="368">
        <f t="shared" ca="1" si="28"/>
        <v>4.9936842105263155</v>
      </c>
      <c r="AI22" s="369">
        <f t="shared" si="29"/>
        <v>0.8666666666666667</v>
      </c>
      <c r="AJ22" s="370">
        <f t="shared" ca="1" si="30"/>
        <v>65.676750241781136</v>
      </c>
      <c r="AK22" s="371">
        <f t="shared" ca="1" si="31"/>
        <v>0.37718973985403115</v>
      </c>
      <c r="AL22" s="345">
        <f t="shared" si="32"/>
        <v>8.8855500000000059E-2</v>
      </c>
      <c r="AM22" s="345">
        <f t="shared" si="33"/>
        <v>3.239601263888893E-2</v>
      </c>
      <c r="AN22" s="345">
        <f t="shared" ca="1" si="46"/>
        <v>4.8790714007232547E-2</v>
      </c>
      <c r="AO22" s="345">
        <f t="shared" ca="1" si="47"/>
        <v>2.5498458078193943E-2</v>
      </c>
      <c r="AP22" s="345">
        <f t="shared" si="34"/>
        <v>7.8000000000000005E-3</v>
      </c>
      <c r="AQ22" s="345">
        <f t="shared" si="35"/>
        <v>6.4840500000000037E-2</v>
      </c>
      <c r="AR22" s="345">
        <f t="shared" ca="1" si="48"/>
        <v>0.26818118472431551</v>
      </c>
      <c r="AS22" s="372">
        <f t="shared" ca="1" si="36"/>
        <v>34.118160280626725</v>
      </c>
      <c r="AT22" s="372">
        <f t="shared" ca="1" si="37"/>
        <v>97.368772773233019</v>
      </c>
      <c r="AU22" s="372">
        <f t="shared" ca="1" si="38"/>
        <v>79.112127878251826</v>
      </c>
      <c r="AV22" s="345">
        <f t="shared" ca="1" si="39"/>
        <v>7.4908215182086506</v>
      </c>
      <c r="AW22" s="371">
        <f t="shared" ca="1" si="40"/>
        <v>5.1020175438596489</v>
      </c>
      <c r="AX22" s="373">
        <f t="shared" ca="1" si="41"/>
        <v>4.9936842105263155</v>
      </c>
    </row>
    <row r="23" spans="1:50" s="340" customFormat="1" ht="12.75" customHeight="1">
      <c r="A23" s="341">
        <v>25</v>
      </c>
      <c r="B23" s="342">
        <f t="shared" si="0"/>
        <v>7.7700000000000049</v>
      </c>
      <c r="C23" s="359">
        <f t="shared" si="1"/>
        <v>2.6</v>
      </c>
      <c r="D23" s="360">
        <f t="shared" ca="1" si="2"/>
        <v>75.693603083393853</v>
      </c>
      <c r="E23" s="349">
        <f t="shared" ca="1" si="3"/>
        <v>0.35543275339727604</v>
      </c>
      <c r="F23" s="343">
        <f t="shared" si="4"/>
        <v>8.6247000000000046E-2</v>
      </c>
      <c r="G23" s="343">
        <f t="shared" si="5"/>
        <v>9.1565565000000113E-2</v>
      </c>
      <c r="H23" s="343">
        <f t="shared" ca="1" si="6"/>
        <v>0.57676198446637361</v>
      </c>
      <c r="I23" s="343">
        <f t="shared" ca="1" si="7"/>
        <v>0.18520727181402574</v>
      </c>
      <c r="J23" s="343">
        <f t="shared" si="8"/>
        <v>2.3399999999999997E-2</v>
      </c>
      <c r="K23" s="343">
        <f t="shared" si="9"/>
        <v>6.2937000000000048E-2</v>
      </c>
      <c r="L23" s="343">
        <f t="shared" ca="1" si="42"/>
        <v>1.0261188212803996</v>
      </c>
      <c r="M23" s="362">
        <f t="shared" ca="1" si="10"/>
        <v>59.888039923533583</v>
      </c>
      <c r="N23" s="362">
        <f t="shared" ca="1" si="11"/>
        <v>112.54207790697657</v>
      </c>
      <c r="O23" s="362">
        <f t="shared" ca="1" si="12"/>
        <v>91.440438299418474</v>
      </c>
      <c r="P23" s="343">
        <f t="shared" ca="1" si="13"/>
        <v>7.0006338105908474</v>
      </c>
      <c r="Q23" s="361">
        <f t="shared" ca="1" si="14"/>
        <v>5.3186842105263157</v>
      </c>
      <c r="R23" s="363">
        <f t="shared" ca="1" si="15"/>
        <v>4.9936842105263155</v>
      </c>
      <c r="S23" s="364">
        <f t="shared" si="16"/>
        <v>1.7333333333333334</v>
      </c>
      <c r="T23" s="365">
        <f t="shared" ca="1" si="17"/>
        <v>71.39172146117518</v>
      </c>
      <c r="U23" s="366">
        <f t="shared" ca="1" si="18"/>
        <v>0.35619347004715912</v>
      </c>
      <c r="V23" s="344">
        <f t="shared" si="19"/>
        <v>8.6247000000000046E-2</v>
      </c>
      <c r="W23" s="344">
        <f t="shared" si="20"/>
        <v>6.1043710000000077E-2</v>
      </c>
      <c r="X23" s="344">
        <f t="shared" ca="1" si="43"/>
        <v>0.22110403205524029</v>
      </c>
      <c r="Y23" s="344">
        <f t="shared" ca="1" si="44"/>
        <v>8.8601389707817835E-2</v>
      </c>
      <c r="Z23" s="344">
        <f t="shared" si="21"/>
        <v>1.5600000000000001E-2</v>
      </c>
      <c r="AA23" s="344">
        <f t="shared" si="22"/>
        <v>6.2937000000000048E-2</v>
      </c>
      <c r="AB23" s="344">
        <f t="shared" ca="1" si="45"/>
        <v>0.53553313176305828</v>
      </c>
      <c r="AC23" s="367">
        <f t="shared" ca="1" si="23"/>
        <v>43.208126479943985</v>
      </c>
      <c r="AD23" s="367">
        <f t="shared" ca="1" si="24"/>
        <v>102.72094487139101</v>
      </c>
      <c r="AE23" s="367">
        <f t="shared" ca="1" si="25"/>
        <v>83.460767708005207</v>
      </c>
      <c r="AF23" s="344">
        <f t="shared" ca="1" si="26"/>
        <v>7.1444529109104193</v>
      </c>
      <c r="AG23" s="366">
        <f t="shared" ca="1" si="27"/>
        <v>5.2103508771929823</v>
      </c>
      <c r="AH23" s="368">
        <f t="shared" ca="1" si="28"/>
        <v>4.9936842105263155</v>
      </c>
      <c r="AI23" s="369">
        <f t="shared" si="29"/>
        <v>0.8666666666666667</v>
      </c>
      <c r="AJ23" s="370">
        <f t="shared" ca="1" si="30"/>
        <v>67.68235244012638</v>
      </c>
      <c r="AK23" s="371">
        <f t="shared" ca="1" si="31"/>
        <v>0.35690108228263046</v>
      </c>
      <c r="AL23" s="345">
        <f t="shared" si="32"/>
        <v>8.6247000000000046E-2</v>
      </c>
      <c r="AM23" s="345">
        <f t="shared" si="33"/>
        <v>3.0521855000000039E-2</v>
      </c>
      <c r="AN23" s="345">
        <f t="shared" ca="1" si="46"/>
        <v>5.0130667461816707E-2</v>
      </c>
      <c r="AO23" s="345">
        <f t="shared" ca="1" si="47"/>
        <v>2.3936893216077337E-2</v>
      </c>
      <c r="AP23" s="345">
        <f t="shared" si="34"/>
        <v>7.8000000000000005E-3</v>
      </c>
      <c r="AQ23" s="345">
        <f t="shared" si="35"/>
        <v>6.2937000000000048E-2</v>
      </c>
      <c r="AR23" s="345">
        <f t="shared" ca="1" si="48"/>
        <v>0.26157341567789416</v>
      </c>
      <c r="AS23" s="372">
        <f t="shared" ca="1" si="36"/>
        <v>33.893496133048401</v>
      </c>
      <c r="AT23" s="372">
        <f t="shared" ca="1" si="37"/>
        <v>97.236490523138897</v>
      </c>
      <c r="AU23" s="372">
        <f t="shared" ca="1" si="38"/>
        <v>79.004648550050362</v>
      </c>
      <c r="AV23" s="345">
        <f t="shared" ca="1" si="39"/>
        <v>7.2676850880321178</v>
      </c>
      <c r="AW23" s="371">
        <f t="shared" ca="1" si="40"/>
        <v>5.1020175438596489</v>
      </c>
      <c r="AX23" s="373">
        <f t="shared" ca="1" si="41"/>
        <v>4.9936842105263155</v>
      </c>
    </row>
    <row r="24" spans="1:50" s="340" customFormat="1" ht="12.75" customHeight="1">
      <c r="A24" s="341">
        <v>25</v>
      </c>
      <c r="B24" s="342">
        <f t="shared" si="0"/>
        <v>7.5350000000000046</v>
      </c>
      <c r="C24" s="359">
        <f t="shared" si="1"/>
        <v>2.6</v>
      </c>
      <c r="D24" s="360">
        <f t="shared" ca="1" si="2"/>
        <v>78.134308989277372</v>
      </c>
      <c r="E24" s="349">
        <f t="shared" ca="1" si="3"/>
        <v>0.33019266011312565</v>
      </c>
      <c r="F24" s="343">
        <f t="shared" si="4"/>
        <v>8.3638500000000046E-2</v>
      </c>
      <c r="G24" s="343">
        <f t="shared" si="5"/>
        <v>8.6110607916666762E-2</v>
      </c>
      <c r="H24" s="343">
        <f t="shared" ca="1" si="6"/>
        <v>0.59399198866223624</v>
      </c>
      <c r="I24" s="343">
        <f t="shared" ca="1" si="7"/>
        <v>0.16622717286353056</v>
      </c>
      <c r="J24" s="343">
        <f t="shared" si="8"/>
        <v>2.3399999999999997E-2</v>
      </c>
      <c r="K24" s="343">
        <f t="shared" si="9"/>
        <v>6.1033500000000039E-2</v>
      </c>
      <c r="L24" s="343">
        <f t="shared" ca="1" si="42"/>
        <v>1.0144017694424337</v>
      </c>
      <c r="M24" s="362">
        <f t="shared" ca="1" si="10"/>
        <v>59.489660161042742</v>
      </c>
      <c r="N24" s="362">
        <f t="shared" ca="1" si="11"/>
        <v>112.30751190282197</v>
      </c>
      <c r="O24" s="362">
        <f t="shared" ca="1" si="12"/>
        <v>91.249853421042843</v>
      </c>
      <c r="P24" s="343">
        <f t="shared" ca="1" si="13"/>
        <v>6.7779879646552983</v>
      </c>
      <c r="Q24" s="361">
        <f t="shared" ca="1" si="14"/>
        <v>5.3186842105263157</v>
      </c>
      <c r="R24" s="363">
        <f t="shared" ca="1" si="15"/>
        <v>4.9936842105263155</v>
      </c>
      <c r="S24" s="364">
        <f t="shared" si="16"/>
        <v>1.7333333333333334</v>
      </c>
      <c r="T24" s="365">
        <f t="shared" ca="1" si="17"/>
        <v>73.664742850439808</v>
      </c>
      <c r="U24" s="366">
        <f t="shared" ca="1" si="18"/>
        <v>0.33292231803588368</v>
      </c>
      <c r="V24" s="344">
        <f t="shared" si="19"/>
        <v>8.3638500000000046E-2</v>
      </c>
      <c r="W24" s="344">
        <f t="shared" si="20"/>
        <v>5.7407071944444513E-2</v>
      </c>
      <c r="X24" s="344">
        <f t="shared" ca="1" si="43"/>
        <v>0.22765068548769071</v>
      </c>
      <c r="Y24" s="344">
        <f t="shared" ca="1" si="44"/>
        <v>8.1385464886017583E-2</v>
      </c>
      <c r="Z24" s="344">
        <f t="shared" si="21"/>
        <v>1.5600000000000001E-2</v>
      </c>
      <c r="AA24" s="344">
        <f t="shared" si="22"/>
        <v>6.1033500000000039E-2</v>
      </c>
      <c r="AB24" s="344">
        <f t="shared" ca="1" si="45"/>
        <v>0.52671522231815293</v>
      </c>
      <c r="AC24" s="367">
        <f t="shared" ca="1" si="23"/>
        <v>42.908317558817203</v>
      </c>
      <c r="AD24" s="367">
        <f t="shared" ca="1" si="24"/>
        <v>102.54441737863156</v>
      </c>
      <c r="AE24" s="367">
        <f t="shared" ca="1" si="25"/>
        <v>83.317339120138143</v>
      </c>
      <c r="AF24" s="344">
        <f t="shared" ca="1" si="26"/>
        <v>6.9215060233261116</v>
      </c>
      <c r="AG24" s="366">
        <f t="shared" ca="1" si="27"/>
        <v>5.2103508771929823</v>
      </c>
      <c r="AH24" s="368">
        <f t="shared" ca="1" si="28"/>
        <v>4.9936842105263155</v>
      </c>
      <c r="AI24" s="369">
        <f t="shared" si="29"/>
        <v>0.8666666666666667</v>
      </c>
      <c r="AJ24" s="370">
        <f t="shared" ca="1" si="30"/>
        <v>69.814429575153525</v>
      </c>
      <c r="AK24" s="371">
        <f t="shared" ca="1" si="31"/>
        <v>0.33533482977818607</v>
      </c>
      <c r="AL24" s="345">
        <f t="shared" si="32"/>
        <v>8.3638500000000046E-2</v>
      </c>
      <c r="AM24" s="345">
        <f t="shared" si="33"/>
        <v>2.8703535972222256E-2</v>
      </c>
      <c r="AN24" s="345">
        <f t="shared" ca="1" si="46"/>
        <v>5.1555761672289896E-2</v>
      </c>
      <c r="AO24" s="345">
        <f t="shared" ca="1" si="47"/>
        <v>2.2291094895937707E-2</v>
      </c>
      <c r="AP24" s="345">
        <f t="shared" si="34"/>
        <v>7.8000000000000005E-3</v>
      </c>
      <c r="AQ24" s="345">
        <f t="shared" si="35"/>
        <v>6.1033500000000039E-2</v>
      </c>
      <c r="AR24" s="345">
        <f t="shared" ca="1" si="48"/>
        <v>0.25502239254044995</v>
      </c>
      <c r="AS24" s="372">
        <f t="shared" ca="1" si="36"/>
        <v>33.670761346375301</v>
      </c>
      <c r="AT24" s="372">
        <f t="shared" ca="1" si="37"/>
        <v>97.105344280745783</v>
      </c>
      <c r="AU24" s="372">
        <f t="shared" ca="1" si="38"/>
        <v>78.898092228105938</v>
      </c>
      <c r="AV24" s="345">
        <f t="shared" ca="1" si="39"/>
        <v>7.0445476825456392</v>
      </c>
      <c r="AW24" s="371">
        <f t="shared" ca="1" si="40"/>
        <v>5.1020175438596489</v>
      </c>
      <c r="AX24" s="373">
        <f t="shared" ca="1" si="41"/>
        <v>4.9936842105263155</v>
      </c>
    </row>
    <row r="25" spans="1:50" s="340" customFormat="1" ht="12.75" customHeight="1">
      <c r="A25" s="341">
        <v>25</v>
      </c>
      <c r="B25" s="342">
        <f t="shared" si="0"/>
        <v>7.3000000000000043</v>
      </c>
      <c r="C25" s="359">
        <f t="shared" si="1"/>
        <v>2.6</v>
      </c>
      <c r="D25" s="360">
        <f t="shared" ca="1" si="2"/>
        <v>80.738536329156602</v>
      </c>
      <c r="E25" s="349">
        <f t="shared" ca="1" si="3"/>
        <v>0.30327353382301958</v>
      </c>
      <c r="F25" s="343">
        <f t="shared" si="4"/>
        <v>8.1030000000000046E-2</v>
      </c>
      <c r="G25" s="343">
        <f t="shared" si="5"/>
        <v>8.0823166666666765E-2</v>
      </c>
      <c r="H25" s="343">
        <f t="shared" ca="1" si="6"/>
        <v>0.61240085638956265</v>
      </c>
      <c r="I25" s="343">
        <f t="shared" ca="1" si="7"/>
        <v>0.14609797729366591</v>
      </c>
      <c r="J25" s="343">
        <f t="shared" si="8"/>
        <v>2.3399999999999997E-2</v>
      </c>
      <c r="K25" s="343">
        <f t="shared" si="9"/>
        <v>5.9130000000000037E-2</v>
      </c>
      <c r="L25" s="343">
        <f t="shared" ca="1" si="42"/>
        <v>1.0028820003498955</v>
      </c>
      <c r="M25" s="362">
        <f t="shared" ca="1" si="10"/>
        <v>59.097988011896447</v>
      </c>
      <c r="N25" s="362">
        <f t="shared" ca="1" si="11"/>
        <v>112.07689534140462</v>
      </c>
      <c r="O25" s="362">
        <f t="shared" ca="1" si="12"/>
        <v>91.062477464891259</v>
      </c>
      <c r="P25" s="343">
        <f t="shared" ca="1" si="13"/>
        <v>6.555331946436298</v>
      </c>
      <c r="Q25" s="361">
        <f t="shared" ca="1" si="14"/>
        <v>5.3186842105263157</v>
      </c>
      <c r="R25" s="363">
        <f t="shared" ca="1" si="15"/>
        <v>4.9936842105263155</v>
      </c>
      <c r="S25" s="364">
        <f t="shared" si="16"/>
        <v>1.7333333333333334</v>
      </c>
      <c r="T25" s="365">
        <f t="shared" ca="1" si="17"/>
        <v>76.087666088474393</v>
      </c>
      <c r="U25" s="366">
        <f t="shared" ca="1" si="18"/>
        <v>0.30812206485243648</v>
      </c>
      <c r="V25" s="344">
        <f t="shared" si="19"/>
        <v>8.1030000000000046E-2</v>
      </c>
      <c r="W25" s="344">
        <f t="shared" si="20"/>
        <v>5.3882111111111179E-2</v>
      </c>
      <c r="X25" s="344">
        <f t="shared" ca="1" si="43"/>
        <v>0.23463595271403526</v>
      </c>
      <c r="Y25" s="344">
        <f t="shared" ca="1" si="44"/>
        <v>7.373985216503888E-2</v>
      </c>
      <c r="Z25" s="344">
        <f t="shared" si="21"/>
        <v>1.5600000000000001E-2</v>
      </c>
      <c r="AA25" s="344">
        <f t="shared" si="22"/>
        <v>5.9130000000000037E-2</v>
      </c>
      <c r="AB25" s="344">
        <f t="shared" ca="1" si="45"/>
        <v>0.51801791599018543</v>
      </c>
      <c r="AC25" s="367">
        <f t="shared" ca="1" si="23"/>
        <v>42.612609143666305</v>
      </c>
      <c r="AD25" s="367">
        <f t="shared" ca="1" si="24"/>
        <v>102.37030426379071</v>
      </c>
      <c r="AE25" s="367">
        <f t="shared" ca="1" si="25"/>
        <v>83.175872214329956</v>
      </c>
      <c r="AF25" s="344">
        <f t="shared" ca="1" si="26"/>
        <v>6.6985549900537196</v>
      </c>
      <c r="AG25" s="366">
        <f t="shared" ca="1" si="27"/>
        <v>5.2103508771929823</v>
      </c>
      <c r="AH25" s="368">
        <f t="shared" ca="1" si="28"/>
        <v>4.9936842105263155</v>
      </c>
      <c r="AI25" s="369">
        <f t="shared" si="29"/>
        <v>0.8666666666666667</v>
      </c>
      <c r="AJ25" s="370">
        <f t="shared" ca="1" si="30"/>
        <v>72.085333469108377</v>
      </c>
      <c r="AK25" s="371">
        <f t="shared" ca="1" si="31"/>
        <v>0.31236619341872773</v>
      </c>
      <c r="AL25" s="345">
        <f t="shared" si="32"/>
        <v>8.1030000000000046E-2</v>
      </c>
      <c r="AM25" s="345">
        <f t="shared" si="33"/>
        <v>2.694105555555559E-2</v>
      </c>
      <c r="AN25" s="345">
        <f t="shared" ca="1" si="46"/>
        <v>5.3074825949096578E-2</v>
      </c>
      <c r="AO25" s="345">
        <f t="shared" ca="1" si="47"/>
        <v>2.0552947406271737E-2</v>
      </c>
      <c r="AP25" s="345">
        <f t="shared" si="34"/>
        <v>7.8000000000000005E-3</v>
      </c>
      <c r="AQ25" s="345">
        <f t="shared" si="35"/>
        <v>5.9130000000000037E-2</v>
      </c>
      <c r="AR25" s="345">
        <f t="shared" ca="1" si="48"/>
        <v>0.24852882891092398</v>
      </c>
      <c r="AS25" s="372">
        <f t="shared" ca="1" si="36"/>
        <v>33.449980182971416</v>
      </c>
      <c r="AT25" s="372">
        <f t="shared" ca="1" si="37"/>
        <v>96.975348331733571</v>
      </c>
      <c r="AU25" s="372">
        <f t="shared" ca="1" si="38"/>
        <v>78.792470519533524</v>
      </c>
      <c r="AV25" s="345">
        <f t="shared" ca="1" si="39"/>
        <v>6.8214092894843636</v>
      </c>
      <c r="AW25" s="371">
        <f t="shared" ca="1" si="40"/>
        <v>5.1020175438596489</v>
      </c>
      <c r="AX25" s="373">
        <f t="shared" ca="1" si="41"/>
        <v>4.9936842105263155</v>
      </c>
    </row>
    <row r="26" spans="1:50" s="340" customFormat="1" ht="12.75" customHeight="1">
      <c r="A26" s="341">
        <v>25</v>
      </c>
      <c r="B26" s="342">
        <f t="shared" si="0"/>
        <v>7.0650000000000039</v>
      </c>
      <c r="C26" s="359">
        <f t="shared" si="1"/>
        <v>2.6</v>
      </c>
      <c r="D26" s="360">
        <f t="shared" ca="1" si="2"/>
        <v>83.523274123362313</v>
      </c>
      <c r="E26" s="349">
        <f t="shared" ca="1" si="3"/>
        <v>0.27450074020901699</v>
      </c>
      <c r="F26" s="343">
        <f t="shared" si="4"/>
        <v>7.8421500000000033E-2</v>
      </c>
      <c r="G26" s="343">
        <f t="shared" si="5"/>
        <v>7.5703241250000095E-2</v>
      </c>
      <c r="H26" s="343">
        <f t="shared" ca="1" si="6"/>
        <v>0.63211259628772387</v>
      </c>
      <c r="I26" s="343">
        <f t="shared" ca="1" si="7"/>
        <v>0.12469752989830829</v>
      </c>
      <c r="J26" s="343">
        <f t="shared" si="8"/>
        <v>2.3399999999999997E-2</v>
      </c>
      <c r="K26" s="343">
        <f t="shared" si="9"/>
        <v>5.7226500000000034E-2</v>
      </c>
      <c r="L26" s="343">
        <f t="shared" ca="1" si="42"/>
        <v>0.9915613674360324</v>
      </c>
      <c r="M26" s="362">
        <f t="shared" ca="1" si="10"/>
        <v>58.713086492825099</v>
      </c>
      <c r="N26" s="362">
        <f t="shared" ca="1" si="11"/>
        <v>111.85026532697542</v>
      </c>
      <c r="O26" s="362">
        <f t="shared" ca="1" si="12"/>
        <v>90.878340578167524</v>
      </c>
      <c r="P26" s="343">
        <f t="shared" ca="1" si="13"/>
        <v>6.3326656603672129</v>
      </c>
      <c r="Q26" s="361">
        <f t="shared" ca="1" si="14"/>
        <v>5.3186842105263157</v>
      </c>
      <c r="R26" s="363">
        <f t="shared" ca="1" si="15"/>
        <v>4.9936842105263155</v>
      </c>
      <c r="S26" s="364">
        <f t="shared" si="16"/>
        <v>1.7333333333333334</v>
      </c>
      <c r="T26" s="365">
        <f t="shared" ca="1" si="17"/>
        <v>78.675820101399637</v>
      </c>
      <c r="U26" s="366">
        <f t="shared" ca="1" si="18"/>
        <v>0.28163626954055759</v>
      </c>
      <c r="V26" s="344">
        <f t="shared" si="19"/>
        <v>7.8421500000000033E-2</v>
      </c>
      <c r="W26" s="344">
        <f t="shared" si="20"/>
        <v>5.0468827500000063E-2</v>
      </c>
      <c r="X26" s="344">
        <f t="shared" ca="1" si="43"/>
        <v>0.24210566457345128</v>
      </c>
      <c r="Y26" s="344">
        <f t="shared" ca="1" si="44"/>
        <v>6.5619967344231422E-2</v>
      </c>
      <c r="Z26" s="344">
        <f t="shared" si="21"/>
        <v>1.5600000000000001E-2</v>
      </c>
      <c r="AA26" s="344">
        <f t="shared" si="22"/>
        <v>5.7226500000000034E-2</v>
      </c>
      <c r="AB26" s="344">
        <f t="shared" ca="1" si="45"/>
        <v>0.50944245941768285</v>
      </c>
      <c r="AC26" s="367">
        <f t="shared" ca="1" si="23"/>
        <v>42.321043620201216</v>
      </c>
      <c r="AD26" s="367">
        <f t="shared" ca="1" si="24"/>
        <v>102.19863048357448</v>
      </c>
      <c r="AE26" s="367">
        <f t="shared" ca="1" si="25"/>
        <v>83.03638726790426</v>
      </c>
      <c r="AF26" s="344">
        <f t="shared" ca="1" si="26"/>
        <v>6.4755997682404995</v>
      </c>
      <c r="AG26" s="366">
        <f t="shared" ca="1" si="27"/>
        <v>5.2103508771929823</v>
      </c>
      <c r="AH26" s="368">
        <f t="shared" ca="1" si="28"/>
        <v>4.9936842105263155</v>
      </c>
      <c r="AI26" s="369">
        <f t="shared" si="29"/>
        <v>0.8666666666666667</v>
      </c>
      <c r="AJ26" s="370">
        <f t="shared" ca="1" si="30"/>
        <v>74.509078537041518</v>
      </c>
      <c r="AK26" s="371">
        <f t="shared" ca="1" si="31"/>
        <v>0.28785358806552119</v>
      </c>
      <c r="AL26" s="345">
        <f t="shared" si="32"/>
        <v>7.8421500000000033E-2</v>
      </c>
      <c r="AM26" s="345">
        <f t="shared" si="33"/>
        <v>2.5234413750000032E-2</v>
      </c>
      <c r="AN26" s="345">
        <f t="shared" ca="1" si="46"/>
        <v>5.4698024026245587E-2</v>
      </c>
      <c r="AO26" s="345">
        <f t="shared" ca="1" si="47"/>
        <v>1.8713196593068551E-2</v>
      </c>
      <c r="AP26" s="345">
        <f t="shared" si="34"/>
        <v>7.8000000000000005E-3</v>
      </c>
      <c r="AQ26" s="345">
        <f t="shared" si="35"/>
        <v>5.7226500000000034E-2</v>
      </c>
      <c r="AR26" s="345">
        <f t="shared" ca="1" si="48"/>
        <v>0.24209363436931425</v>
      </c>
      <c r="AS26" s="372">
        <f t="shared" ca="1" si="36"/>
        <v>33.231183568556688</v>
      </c>
      <c r="AT26" s="372">
        <f t="shared" ca="1" si="37"/>
        <v>96.846520885166171</v>
      </c>
      <c r="AU26" s="372">
        <f t="shared" ca="1" si="38"/>
        <v>78.687798219197518</v>
      </c>
      <c r="AV26" s="345">
        <f t="shared" ca="1" si="39"/>
        <v>6.5982698932150514</v>
      </c>
      <c r="AW26" s="371">
        <f t="shared" ca="1" si="40"/>
        <v>5.1020175438596489</v>
      </c>
      <c r="AX26" s="373">
        <f t="shared" ca="1" si="41"/>
        <v>4.9936842105263155</v>
      </c>
    </row>
    <row r="27" spans="1:50" s="340" customFormat="1" ht="12.75" customHeight="1">
      <c r="A27" s="341">
        <v>25</v>
      </c>
      <c r="B27" s="342">
        <f t="shared" si="0"/>
        <v>6.8300000000000036</v>
      </c>
      <c r="C27" s="359">
        <f t="shared" si="1"/>
        <v>2.6</v>
      </c>
      <c r="D27" s="360">
        <f t="shared" ca="1" si="2"/>
        <v>86.507949777956483</v>
      </c>
      <c r="E27" s="349">
        <f t="shared" ca="1" si="3"/>
        <v>0.24367458611111573</v>
      </c>
      <c r="F27" s="343">
        <f t="shared" si="4"/>
        <v>7.5813000000000033E-2</v>
      </c>
      <c r="G27" s="343">
        <f t="shared" si="5"/>
        <v>7.075083166666675E-2</v>
      </c>
      <c r="H27" s="343">
        <f t="shared" ca="1" si="6"/>
        <v>0.65326944328684833</v>
      </c>
      <c r="I27" s="343">
        <f t="shared" ca="1" si="7"/>
        <v>0.10188594412392941</v>
      </c>
      <c r="J27" s="343">
        <f t="shared" si="8"/>
        <v>2.3399999999999997E-2</v>
      </c>
      <c r="K27" s="343">
        <f t="shared" si="9"/>
        <v>5.5323000000000025E-2</v>
      </c>
      <c r="L27" s="343">
        <f t="shared" ca="1" si="42"/>
        <v>0.98044221907744444</v>
      </c>
      <c r="M27" s="362">
        <f t="shared" ca="1" si="10"/>
        <v>58.335035448633114</v>
      </c>
      <c r="N27" s="362">
        <f t="shared" ca="1" si="11"/>
        <v>111.62766887215517</v>
      </c>
      <c r="O27" s="362">
        <f t="shared" ca="1" si="12"/>
        <v>90.697480958626087</v>
      </c>
      <c r="P27" s="343">
        <f t="shared" ca="1" si="13"/>
        <v>6.1099889853611584</v>
      </c>
      <c r="Q27" s="361">
        <f t="shared" ca="1" si="14"/>
        <v>5.3186842105263157</v>
      </c>
      <c r="R27" s="363">
        <f t="shared" ca="1" si="15"/>
        <v>4.9936842105263155</v>
      </c>
      <c r="S27" s="364">
        <f t="shared" si="16"/>
        <v>1.7333333333333334</v>
      </c>
      <c r="T27" s="365">
        <f t="shared" ca="1" si="17"/>
        <v>81.446697844425088</v>
      </c>
      <c r="U27" s="366">
        <f t="shared" ca="1" si="18"/>
        <v>0.25328640853331569</v>
      </c>
      <c r="V27" s="344">
        <f t="shared" si="19"/>
        <v>7.5813000000000033E-2</v>
      </c>
      <c r="W27" s="344">
        <f t="shared" si="20"/>
        <v>4.7167221111111164E-2</v>
      </c>
      <c r="X27" s="344">
        <f t="shared" ca="1" si="43"/>
        <v>0.25011239499757643</v>
      </c>
      <c r="Y27" s="344">
        <f t="shared" ca="1" si="44"/>
        <v>5.6974818624425896E-2</v>
      </c>
      <c r="Z27" s="344">
        <f t="shared" si="21"/>
        <v>1.5600000000000001E-2</v>
      </c>
      <c r="AA27" s="344">
        <f t="shared" si="22"/>
        <v>5.5323000000000025E-2</v>
      </c>
      <c r="AB27" s="344">
        <f t="shared" ca="1" si="45"/>
        <v>0.50099043473311355</v>
      </c>
      <c r="AC27" s="367">
        <f t="shared" ca="1" si="23"/>
        <v>42.033674780925864</v>
      </c>
      <c r="AD27" s="367">
        <f t="shared" ca="1" si="24"/>
        <v>102.02942771100915</v>
      </c>
      <c r="AE27" s="367">
        <f t="shared" ca="1" si="25"/>
        <v>82.898910015194929</v>
      </c>
      <c r="AF27" s="344">
        <f t="shared" ca="1" si="26"/>
        <v>6.2526403035012255</v>
      </c>
      <c r="AG27" s="366">
        <f t="shared" ca="1" si="27"/>
        <v>5.2103508771929823</v>
      </c>
      <c r="AH27" s="368">
        <f t="shared" ca="1" si="28"/>
        <v>4.9936842105263155</v>
      </c>
      <c r="AI27" s="369">
        <f t="shared" si="29"/>
        <v>0.8666666666666667</v>
      </c>
      <c r="AJ27" s="370">
        <f t="shared" ca="1" si="30"/>
        <v>77.101631280716845</v>
      </c>
      <c r="AK27" s="371">
        <f t="shared" ca="1" si="31"/>
        <v>0.26163570794521873</v>
      </c>
      <c r="AL27" s="345">
        <f t="shared" si="32"/>
        <v>7.5813000000000033E-2</v>
      </c>
      <c r="AM27" s="345">
        <f t="shared" si="33"/>
        <v>2.3583610555555582E-2</v>
      </c>
      <c r="AN27" s="345">
        <f t="shared" ca="1" si="46"/>
        <v>5.6437126585160292E-2</v>
      </c>
      <c r="AO27" s="345">
        <f t="shared" ca="1" si="47"/>
        <v>1.6761229464765784E-2</v>
      </c>
      <c r="AP27" s="345">
        <f t="shared" si="34"/>
        <v>7.8000000000000005E-3</v>
      </c>
      <c r="AQ27" s="345">
        <f t="shared" si="35"/>
        <v>5.5323000000000025E-2</v>
      </c>
      <c r="AR27" s="345">
        <f t="shared" ca="1" si="48"/>
        <v>0.23571796660548172</v>
      </c>
      <c r="AS27" s="372">
        <f t="shared" ca="1" si="36"/>
        <v>33.014410864586381</v>
      </c>
      <c r="AT27" s="372">
        <f t="shared" ca="1" si="37"/>
        <v>96.718885117068467</v>
      </c>
      <c r="AU27" s="372">
        <f t="shared" ca="1" si="38"/>
        <v>78.584094157618125</v>
      </c>
      <c r="AV27" s="345">
        <f t="shared" ca="1" si="39"/>
        <v>6.3751294738401194</v>
      </c>
      <c r="AW27" s="371">
        <f t="shared" ca="1" si="40"/>
        <v>5.1020175438596489</v>
      </c>
      <c r="AX27" s="373">
        <f t="shared" ca="1" si="41"/>
        <v>4.9936842105263155</v>
      </c>
    </row>
    <row r="28" spans="1:50" s="340" customFormat="1" ht="12.75" customHeight="1">
      <c r="A28" s="341">
        <v>25</v>
      </c>
      <c r="B28" s="342">
        <f t="shared" si="0"/>
        <v>6.5950000000000033</v>
      </c>
      <c r="C28" s="359">
        <f t="shared" si="1"/>
        <v>2.6</v>
      </c>
      <c r="D28" s="360">
        <f t="shared" ca="1" si="2"/>
        <v>89.714882973063084</v>
      </c>
      <c r="E28" s="349">
        <f t="shared" ca="1" si="3"/>
        <v>0.21056565645579942</v>
      </c>
      <c r="F28" s="343">
        <f t="shared" si="4"/>
        <v>7.3204500000000033E-2</v>
      </c>
      <c r="G28" s="343">
        <f t="shared" si="5"/>
        <v>6.5965937916666731E-2</v>
      </c>
      <c r="H28" s="343">
        <f t="shared" ca="1" si="6"/>
        <v>0.67603537327422092</v>
      </c>
      <c r="I28" s="343">
        <f t="shared" ca="1" si="7"/>
        <v>7.7502223689708369E-2</v>
      </c>
      <c r="J28" s="343">
        <f t="shared" si="8"/>
        <v>2.3399999999999997E-2</v>
      </c>
      <c r="K28" s="343">
        <f t="shared" si="9"/>
        <v>5.3419500000000023E-2</v>
      </c>
      <c r="L28" s="343">
        <f t="shared" ca="1" si="42"/>
        <v>0.96952753488059618</v>
      </c>
      <c r="M28" s="362">
        <f t="shared" ca="1" si="10"/>
        <v>57.96393618594027</v>
      </c>
      <c r="N28" s="362">
        <f t="shared" ca="1" si="11"/>
        <v>111.40916562628163</v>
      </c>
      <c r="O28" s="362">
        <f t="shared" ca="1" si="12"/>
        <v>90.519947071353826</v>
      </c>
      <c r="P28" s="343">
        <f t="shared" ca="1" si="13"/>
        <v>5.8873017677838106</v>
      </c>
      <c r="Q28" s="361">
        <f t="shared" ca="1" si="14"/>
        <v>5.3186842105263157</v>
      </c>
      <c r="R28" s="363">
        <f t="shared" ca="1" si="15"/>
        <v>4.9936842105263155</v>
      </c>
      <c r="S28" s="364">
        <f t="shared" si="16"/>
        <v>1.7333333333333334</v>
      </c>
      <c r="T28" s="365">
        <f t="shared" ca="1" si="17"/>
        <v>84.420352209336244</v>
      </c>
      <c r="U28" s="366">
        <f t="shared" ca="1" si="18"/>
        <v>0.22286783628698301</v>
      </c>
      <c r="V28" s="344">
        <f t="shared" si="19"/>
        <v>7.3204500000000033E-2</v>
      </c>
      <c r="W28" s="344">
        <f t="shared" si="20"/>
        <v>4.397729194444449E-2</v>
      </c>
      <c r="X28" s="344">
        <f t="shared" ca="1" si="43"/>
        <v>0.25871677189826336</v>
      </c>
      <c r="Y28" s="344">
        <f t="shared" ca="1" si="44"/>
        <v>4.7745787339497386E-2</v>
      </c>
      <c r="Z28" s="344">
        <f t="shared" si="21"/>
        <v>1.5600000000000001E-2</v>
      </c>
      <c r="AA28" s="344">
        <f t="shared" si="22"/>
        <v>5.3419500000000023E-2</v>
      </c>
      <c r="AB28" s="344">
        <f t="shared" ca="1" si="45"/>
        <v>0.49266385118220535</v>
      </c>
      <c r="AC28" s="367">
        <f t="shared" ca="1" si="23"/>
        <v>41.750570940194983</v>
      </c>
      <c r="AD28" s="367">
        <f t="shared" ca="1" si="24"/>
        <v>101.86273616958681</v>
      </c>
      <c r="AE28" s="367">
        <f t="shared" ca="1" si="25"/>
        <v>82.763473137789276</v>
      </c>
      <c r="AF28" s="344">
        <f t="shared" ca="1" si="26"/>
        <v>6.0296765267688084</v>
      </c>
      <c r="AG28" s="366">
        <f t="shared" ca="1" si="27"/>
        <v>5.2103508771929823</v>
      </c>
      <c r="AH28" s="368">
        <f t="shared" ca="1" si="28"/>
        <v>4.9936842105263155</v>
      </c>
      <c r="AI28" s="369">
        <f t="shared" si="29"/>
        <v>0.8666666666666667</v>
      </c>
      <c r="AJ28" s="370">
        <f t="shared" ca="1" si="30"/>
        <v>79.881262458087605</v>
      </c>
      <c r="AK28" s="371">
        <f t="shared" ca="1" si="31"/>
        <v>0.2335279691413979</v>
      </c>
      <c r="AL28" s="345">
        <f t="shared" si="32"/>
        <v>7.3204500000000033E-2</v>
      </c>
      <c r="AM28" s="345">
        <f t="shared" si="33"/>
        <v>2.1988645972222245E-2</v>
      </c>
      <c r="AN28" s="345">
        <f t="shared" ca="1" si="46"/>
        <v>5.830585501606747E-2</v>
      </c>
      <c r="AO28" s="345">
        <f t="shared" ca="1" si="47"/>
        <v>1.4684797887871793E-2</v>
      </c>
      <c r="AP28" s="345">
        <f t="shared" si="34"/>
        <v>7.8000000000000005E-3</v>
      </c>
      <c r="AQ28" s="345">
        <f t="shared" si="35"/>
        <v>5.3419500000000023E-2</v>
      </c>
      <c r="AR28" s="345">
        <f t="shared" ca="1" si="48"/>
        <v>0.22940329887616157</v>
      </c>
      <c r="AS28" s="372">
        <f t="shared" ca="1" si="36"/>
        <v>32.799712161789493</v>
      </c>
      <c r="AT28" s="372">
        <f t="shared" ca="1" si="37"/>
        <v>96.592470520861653</v>
      </c>
      <c r="AU28" s="372">
        <f t="shared" ca="1" si="38"/>
        <v>78.481382298200089</v>
      </c>
      <c r="AV28" s="345">
        <f t="shared" ca="1" si="39"/>
        <v>6.1519880060382377</v>
      </c>
      <c r="AW28" s="371">
        <f t="shared" ca="1" si="40"/>
        <v>5.1020175438596489</v>
      </c>
      <c r="AX28" s="373">
        <f t="shared" ca="1" si="41"/>
        <v>4.9936842105263155</v>
      </c>
    </row>
    <row r="29" spans="1:50" s="340" customFormat="1" ht="12.75" customHeight="1">
      <c r="A29" s="341">
        <v>25</v>
      </c>
      <c r="B29" s="342">
        <f t="shared" si="0"/>
        <v>6.360000000000003</v>
      </c>
      <c r="C29" s="359">
        <f t="shared" si="1"/>
        <v>2.6</v>
      </c>
      <c r="D29" s="360">
        <f t="shared" ca="1" si="2"/>
        <v>93.1698449005562</v>
      </c>
      <c r="E29" s="349">
        <f t="shared" ca="1" si="3"/>
        <v>0.17490906929611971</v>
      </c>
      <c r="F29" s="343">
        <f t="shared" si="4"/>
        <v>7.0596000000000034E-2</v>
      </c>
      <c r="G29" s="343">
        <f t="shared" si="5"/>
        <v>6.1348560000000059E-2</v>
      </c>
      <c r="H29" s="343">
        <f t="shared" ca="1" si="6"/>
        <v>0.70060047279239801</v>
      </c>
      <c r="I29" s="343">
        <f t="shared" ca="1" si="7"/>
        <v>5.1360071458991664E-2</v>
      </c>
      <c r="J29" s="343">
        <f t="shared" si="8"/>
        <v>2.3399999999999997E-2</v>
      </c>
      <c r="K29" s="343">
        <f t="shared" si="9"/>
        <v>5.151600000000002E-2</v>
      </c>
      <c r="L29" s="343">
        <f t="shared" ca="1" si="42"/>
        <v>0.95882110425138978</v>
      </c>
      <c r="M29" s="362">
        <f t="shared" ca="1" si="10"/>
        <v>57.599917544547253</v>
      </c>
      <c r="N29" s="362">
        <f t="shared" ca="1" si="11"/>
        <v>111.19483145022943</v>
      </c>
      <c r="O29" s="362">
        <f t="shared" ca="1" si="12"/>
        <v>90.345800553311406</v>
      </c>
      <c r="P29" s="343">
        <f t="shared" ca="1" si="13"/>
        <v>5.6646038122460061</v>
      </c>
      <c r="Q29" s="361">
        <f t="shared" ca="1" si="14"/>
        <v>5.3186842105263157</v>
      </c>
      <c r="R29" s="363">
        <f t="shared" ca="1" si="15"/>
        <v>4.9936842105263155</v>
      </c>
      <c r="S29" s="364">
        <f t="shared" si="16"/>
        <v>1.7333333333333334</v>
      </c>
      <c r="T29" s="365">
        <f t="shared" ca="1" si="17"/>
        <v>87.619882168193811</v>
      </c>
      <c r="U29" s="366">
        <f t="shared" ca="1" si="18"/>
        <v>0.19014482543517505</v>
      </c>
      <c r="V29" s="344">
        <f t="shared" si="19"/>
        <v>7.0596000000000034E-2</v>
      </c>
      <c r="W29" s="344">
        <f t="shared" si="20"/>
        <v>4.0899040000000039E-2</v>
      </c>
      <c r="X29" s="344">
        <f t="shared" ca="1" si="43"/>
        <v>0.26798911136448422</v>
      </c>
      <c r="Y29" s="344">
        <f t="shared" ca="1" si="44"/>
        <v>3.7865113422141668E-2</v>
      </c>
      <c r="Z29" s="344">
        <f t="shared" si="21"/>
        <v>1.5600000000000001E-2</v>
      </c>
      <c r="AA29" s="344">
        <f t="shared" si="22"/>
        <v>5.151600000000002E-2</v>
      </c>
      <c r="AB29" s="344">
        <f t="shared" ca="1" si="45"/>
        <v>0.48446526478662599</v>
      </c>
      <c r="AC29" s="367">
        <f t="shared" ca="1" si="23"/>
        <v>41.471819002745285</v>
      </c>
      <c r="AD29" s="367">
        <f t="shared" ca="1" si="24"/>
        <v>101.69860702881643</v>
      </c>
      <c r="AE29" s="367">
        <f t="shared" ca="1" si="25"/>
        <v>82.630118210913338</v>
      </c>
      <c r="AF29" s="344">
        <f t="shared" ca="1" si="26"/>
        <v>5.8067083501809389</v>
      </c>
      <c r="AG29" s="366">
        <f t="shared" ca="1" si="27"/>
        <v>5.2103508771929823</v>
      </c>
      <c r="AH29" s="368">
        <f t="shared" ca="1" si="28"/>
        <v>4.9936842105263155</v>
      </c>
      <c r="AI29" s="369">
        <f t="shared" si="29"/>
        <v>0.8666666666666667</v>
      </c>
      <c r="AJ29" s="370">
        <f t="shared" ca="1" si="30"/>
        <v>82.868978353281861</v>
      </c>
      <c r="AK29" s="371">
        <f t="shared" ca="1" si="31"/>
        <v>0.20331815310118692</v>
      </c>
      <c r="AL29" s="345">
        <f t="shared" si="32"/>
        <v>7.0596000000000034E-2</v>
      </c>
      <c r="AM29" s="345">
        <f t="shared" si="33"/>
        <v>2.044952000000002E-2</v>
      </c>
      <c r="AN29" s="345">
        <f t="shared" ca="1" si="46"/>
        <v>6.0320319323067681E-2</v>
      </c>
      <c r="AO29" s="345">
        <f t="shared" ca="1" si="47"/>
        <v>1.246966858521068E-2</v>
      </c>
      <c r="AP29" s="345">
        <f t="shared" si="34"/>
        <v>7.8000000000000005E-3</v>
      </c>
      <c r="AQ29" s="345">
        <f t="shared" si="35"/>
        <v>5.151600000000002E-2</v>
      </c>
      <c r="AR29" s="345">
        <f t="shared" ca="1" si="48"/>
        <v>0.22315150790827842</v>
      </c>
      <c r="AS29" s="372">
        <f t="shared" ca="1" si="36"/>
        <v>32.58715126888147</v>
      </c>
      <c r="AT29" s="372">
        <f t="shared" ca="1" si="37"/>
        <v>96.467314667117407</v>
      </c>
      <c r="AU29" s="372">
        <f t="shared" ca="1" si="38"/>
        <v>78.379693167032897</v>
      </c>
      <c r="AV29" s="345">
        <f t="shared" ca="1" si="39"/>
        <v>5.9288454575535043</v>
      </c>
      <c r="AW29" s="371">
        <f t="shared" ca="1" si="40"/>
        <v>5.1020175438596489</v>
      </c>
      <c r="AX29" s="373">
        <f t="shared" ca="1" si="41"/>
        <v>4.9936842105263155</v>
      </c>
    </row>
    <row r="30" spans="1:50" s="340" customFormat="1" ht="12.75" customHeight="1">
      <c r="A30" s="341">
        <v>25</v>
      </c>
      <c r="B30" s="342">
        <f t="shared" si="0"/>
        <v>6.1250000000000027</v>
      </c>
      <c r="C30" s="359">
        <f t="shared" si="1"/>
        <v>2.6</v>
      </c>
      <c r="D30" s="360">
        <f t="shared" ca="1" si="2"/>
        <v>93.5</v>
      </c>
      <c r="E30" s="349">
        <f t="shared" ca="1" si="3"/>
        <v>0.1316077652425621</v>
      </c>
      <c r="F30" s="343">
        <f t="shared" si="4"/>
        <v>6.798750000000002E-2</v>
      </c>
      <c r="G30" s="343">
        <f t="shared" si="5"/>
        <v>5.6898697916666727E-2</v>
      </c>
      <c r="H30" s="343">
        <f t="shared" ca="1" si="6"/>
        <v>0.70163833716715662</v>
      </c>
      <c r="I30" s="343">
        <f t="shared" ca="1" si="7"/>
        <v>4.8776996701460032E-2</v>
      </c>
      <c r="J30" s="343">
        <f t="shared" si="8"/>
        <v>2.3399999999999997E-2</v>
      </c>
      <c r="K30" s="343">
        <f t="shared" si="9"/>
        <v>4.9612500000000025E-2</v>
      </c>
      <c r="L30" s="343">
        <f t="shared" ca="1" si="42"/>
        <v>0.94831403178528351</v>
      </c>
      <c r="M30" s="362">
        <f t="shared" ca="1" si="10"/>
        <v>57.242677080699636</v>
      </c>
      <c r="N30" s="362">
        <f t="shared" ca="1" si="11"/>
        <v>110.98448826511594</v>
      </c>
      <c r="O30" s="362">
        <f t="shared" ca="1" si="12"/>
        <v>90.174896715406703</v>
      </c>
      <c r="P30" s="343">
        <f t="shared" ca="1" si="13"/>
        <v>5.4418955774121631</v>
      </c>
      <c r="Q30" s="361">
        <f t="shared" ca="1" si="14"/>
        <v>5.3186842105263157</v>
      </c>
      <c r="R30" s="363">
        <f t="shared" ca="1" si="15"/>
        <v>4.9936842105263155</v>
      </c>
      <c r="S30" s="364">
        <f t="shared" si="16"/>
        <v>1.7333333333333334</v>
      </c>
      <c r="T30" s="365">
        <f t="shared" ca="1" si="17"/>
        <v>91.072034101857838</v>
      </c>
      <c r="U30" s="366">
        <f t="shared" ca="1" si="18"/>
        <v>0.15484443203040843</v>
      </c>
      <c r="V30" s="344">
        <f t="shared" si="19"/>
        <v>6.798750000000002E-2</v>
      </c>
      <c r="W30" s="344">
        <f t="shared" si="20"/>
        <v>3.793246527777782E-2</v>
      </c>
      <c r="X30" s="344">
        <f t="shared" ca="1" si="43"/>
        <v>0.27801147347508276</v>
      </c>
      <c r="Y30" s="344">
        <f t="shared" ca="1" si="44"/>
        <v>2.7253997112898141E-2</v>
      </c>
      <c r="Z30" s="344">
        <f t="shared" si="21"/>
        <v>1.5600000000000001E-2</v>
      </c>
      <c r="AA30" s="344">
        <f t="shared" si="22"/>
        <v>4.9612500000000025E-2</v>
      </c>
      <c r="AB30" s="344">
        <f t="shared" ca="1" si="45"/>
        <v>0.47639793586575879</v>
      </c>
      <c r="AC30" s="367">
        <f t="shared" ca="1" si="23"/>
        <v>41.1975298194358</v>
      </c>
      <c r="AD30" s="367">
        <f t="shared" ca="1" si="24"/>
        <v>101.5371055576838</v>
      </c>
      <c r="AE30" s="367">
        <f t="shared" ca="1" si="25"/>
        <v>82.498898265618095</v>
      </c>
      <c r="AF30" s="344">
        <f t="shared" ca="1" si="26"/>
        <v>5.5837356616653295</v>
      </c>
      <c r="AG30" s="366">
        <f t="shared" ca="1" si="27"/>
        <v>5.2103508771929823</v>
      </c>
      <c r="AH30" s="368">
        <f t="shared" ca="1" si="28"/>
        <v>4.9936842105263155</v>
      </c>
      <c r="AI30" s="369">
        <f t="shared" si="29"/>
        <v>0.8666666666666667</v>
      </c>
      <c r="AJ30" s="370">
        <f t="shared" ca="1" si="30"/>
        <v>86.089052683235508</v>
      </c>
      <c r="AK30" s="371">
        <f t="shared" ca="1" si="31"/>
        <v>0.17076103364460782</v>
      </c>
      <c r="AL30" s="345">
        <f t="shared" si="32"/>
        <v>6.798750000000002E-2</v>
      </c>
      <c r="AM30" s="345">
        <f t="shared" si="33"/>
        <v>1.896623263888891E-2</v>
      </c>
      <c r="AN30" s="345">
        <f t="shared" ca="1" si="46"/>
        <v>6.2499581883500743E-2</v>
      </c>
      <c r="AO30" s="345">
        <f t="shared" ca="1" si="47"/>
        <v>1.0099174794038528E-2</v>
      </c>
      <c r="AP30" s="345">
        <f t="shared" si="34"/>
        <v>7.8000000000000005E-3</v>
      </c>
      <c r="AQ30" s="345">
        <f t="shared" si="35"/>
        <v>4.9612500000000025E-2</v>
      </c>
      <c r="AR30" s="345">
        <f t="shared" ca="1" si="48"/>
        <v>0.21696498931642824</v>
      </c>
      <c r="AS30" s="372">
        <f t="shared" ca="1" si="36"/>
        <v>32.376809636758558</v>
      </c>
      <c r="AT30" s="372">
        <f t="shared" ca="1" si="37"/>
        <v>96.343465514123437</v>
      </c>
      <c r="AU30" s="372">
        <f t="shared" ca="1" si="38"/>
        <v>78.279065730225298</v>
      </c>
      <c r="AV30" s="345">
        <f t="shared" ca="1" si="39"/>
        <v>5.7057017872117308</v>
      </c>
      <c r="AW30" s="371">
        <f t="shared" ca="1" si="40"/>
        <v>5.1020175438596489</v>
      </c>
      <c r="AX30" s="373">
        <f t="shared" ca="1" si="41"/>
        <v>4.9936842105263155</v>
      </c>
    </row>
    <row r="31" spans="1:50" s="340" customFormat="1" ht="12.75" customHeight="1">
      <c r="A31" s="341">
        <v>25</v>
      </c>
      <c r="B31" s="342">
        <f t="shared" si="0"/>
        <v>5.8900000000000023</v>
      </c>
      <c r="C31" s="359">
        <f t="shared" si="1"/>
        <v>2.6</v>
      </c>
      <c r="D31" s="360">
        <f t="shared" ca="1" si="2"/>
        <v>93.5</v>
      </c>
      <c r="E31" s="349">
        <f t="shared" ca="1" si="3"/>
        <v>8.7686126218042157E-2</v>
      </c>
      <c r="F31" s="343">
        <f t="shared" si="4"/>
        <v>6.537900000000002E-2</v>
      </c>
      <c r="G31" s="343">
        <f t="shared" si="5"/>
        <v>5.2616351666666714E-2</v>
      </c>
      <c r="H31" s="343">
        <f t="shared" ca="1" si="6"/>
        <v>0.70025492846424364</v>
      </c>
      <c r="I31" s="343">
        <f t="shared" ca="1" si="7"/>
        <v>4.8680823903931331E-2</v>
      </c>
      <c r="J31" s="343">
        <f t="shared" si="8"/>
        <v>2.3399999999999997E-2</v>
      </c>
      <c r="K31" s="343">
        <f t="shared" si="9"/>
        <v>4.7709000000000022E-2</v>
      </c>
      <c r="L31" s="343">
        <f t="shared" ca="1" si="42"/>
        <v>0.93804010403484173</v>
      </c>
      <c r="M31" s="362">
        <f t="shared" ca="1" si="10"/>
        <v>56.893363537184619</v>
      </c>
      <c r="N31" s="362">
        <f t="shared" ca="1" si="11"/>
        <v>110.7788124506943</v>
      </c>
      <c r="O31" s="362">
        <f t="shared" ca="1" si="12"/>
        <v>90.007785116189126</v>
      </c>
      <c r="P31" s="343">
        <f t="shared" ca="1" si="13"/>
        <v>5.2191753211816829</v>
      </c>
      <c r="Q31" s="361">
        <f t="shared" ca="1" si="14"/>
        <v>5.2191753211816829</v>
      </c>
      <c r="R31" s="363">
        <f t="shared" ca="1" si="15"/>
        <v>4.8941753211816827</v>
      </c>
      <c r="S31" s="364">
        <f t="shared" si="16"/>
        <v>1.7333333333333334</v>
      </c>
      <c r="T31" s="365">
        <f t="shared" ca="1" si="17"/>
        <v>93.5</v>
      </c>
      <c r="U31" s="366">
        <f t="shared" ca="1" si="18"/>
        <v>0.11503958872296127</v>
      </c>
      <c r="V31" s="344">
        <f t="shared" si="19"/>
        <v>6.537900000000002E-2</v>
      </c>
      <c r="W31" s="344">
        <f t="shared" si="20"/>
        <v>3.5077567777777804E-2</v>
      </c>
      <c r="X31" s="344">
        <f t="shared" ca="1" si="43"/>
        <v>0.28489180613034953</v>
      </c>
      <c r="Y31" s="344">
        <f t="shared" ca="1" si="44"/>
        <v>1.9805312725639259E-2</v>
      </c>
      <c r="Z31" s="344">
        <f t="shared" si="21"/>
        <v>1.5600000000000001E-2</v>
      </c>
      <c r="AA31" s="344">
        <f t="shared" si="22"/>
        <v>4.7709000000000022E-2</v>
      </c>
      <c r="AB31" s="344">
        <f t="shared" ca="1" si="45"/>
        <v>0.46846268663376661</v>
      </c>
      <c r="AC31" s="367">
        <f t="shared" ca="1" si="23"/>
        <v>40.927731345548068</v>
      </c>
      <c r="AD31" s="367">
        <f t="shared" ca="1" si="24"/>
        <v>101.3782482162587</v>
      </c>
      <c r="AE31" s="367">
        <f t="shared" ca="1" si="25"/>
        <v>82.3698266757102</v>
      </c>
      <c r="AF31" s="344">
        <f t="shared" ca="1" si="26"/>
        <v>5.3607584329586677</v>
      </c>
      <c r="AG31" s="366">
        <f t="shared" ca="1" si="27"/>
        <v>5.2103508771929823</v>
      </c>
      <c r="AH31" s="368">
        <f t="shared" ca="1" si="28"/>
        <v>4.9936842105263155</v>
      </c>
      <c r="AI31" s="369">
        <f t="shared" si="29"/>
        <v>0.8666666666666667</v>
      </c>
      <c r="AJ31" s="370">
        <f t="shared" ca="1" si="30"/>
        <v>89.569687650337343</v>
      </c>
      <c r="AK31" s="371">
        <f t="shared" ca="1" si="31"/>
        <v>0.13557169954403028</v>
      </c>
      <c r="AL31" s="345">
        <f t="shared" si="32"/>
        <v>6.537900000000002E-2</v>
      </c>
      <c r="AM31" s="345">
        <f t="shared" si="33"/>
        <v>1.7538783888888902E-2</v>
      </c>
      <c r="AN31" s="345">
        <f t="shared" ca="1" si="46"/>
        <v>6.4866391540851179E-2</v>
      </c>
      <c r="AO31" s="345">
        <f t="shared" ca="1" si="47"/>
        <v>7.5536349686494047E-3</v>
      </c>
      <c r="AP31" s="345">
        <f t="shared" si="34"/>
        <v>7.8000000000000005E-3</v>
      </c>
      <c r="AQ31" s="345">
        <f t="shared" si="35"/>
        <v>4.7709000000000022E-2</v>
      </c>
      <c r="AR31" s="345">
        <f t="shared" ca="1" si="48"/>
        <v>0.21084681039838954</v>
      </c>
      <c r="AS31" s="372">
        <f t="shared" ca="1" si="36"/>
        <v>32.168791553545248</v>
      </c>
      <c r="AT31" s="372">
        <f t="shared" ca="1" si="37"/>
        <v>96.220984466727444</v>
      </c>
      <c r="AU31" s="372">
        <f t="shared" ca="1" si="38"/>
        <v>78.17954987921604</v>
      </c>
      <c r="AV31" s="345">
        <f t="shared" ca="1" si="39"/>
        <v>5.4825569422942975</v>
      </c>
      <c r="AW31" s="371">
        <f t="shared" ca="1" si="40"/>
        <v>5.1020175438596489</v>
      </c>
      <c r="AX31" s="373">
        <f t="shared" ca="1" si="41"/>
        <v>4.9936842105263155</v>
      </c>
    </row>
    <row r="32" spans="1:50" s="340" customFormat="1" ht="12.75" customHeight="1">
      <c r="A32" s="341">
        <v>25</v>
      </c>
      <c r="B32" s="342">
        <f t="shared" si="0"/>
        <v>5.655000000000002</v>
      </c>
      <c r="C32" s="359">
        <f t="shared" si="1"/>
        <v>2.6</v>
      </c>
      <c r="D32" s="360">
        <f t="shared" ca="1" si="2"/>
        <v>93.5</v>
      </c>
      <c r="E32" s="349">
        <f t="shared" ca="1" si="3"/>
        <v>4.3763952321552779E-2</v>
      </c>
      <c r="F32" s="343">
        <f t="shared" si="4"/>
        <v>6.2770500000000021E-2</v>
      </c>
      <c r="G32" s="343">
        <f t="shared" si="5"/>
        <v>4.850152125000004E-2</v>
      </c>
      <c r="H32" s="343">
        <f t="shared" ca="1" si="6"/>
        <v>0.69893483385625088</v>
      </c>
      <c r="I32" s="343">
        <f t="shared" ca="1" si="7"/>
        <v>4.8589052621022741E-2</v>
      </c>
      <c r="J32" s="343">
        <f t="shared" si="8"/>
        <v>2.3399999999999997E-2</v>
      </c>
      <c r="K32" s="343">
        <f t="shared" si="9"/>
        <v>4.5805500000000013E-2</v>
      </c>
      <c r="L32" s="343">
        <f t="shared" ca="1" si="42"/>
        <v>0.92800140772727369</v>
      </c>
      <c r="M32" s="362">
        <f t="shared" ca="1" si="10"/>
        <v>56.552047862727306</v>
      </c>
      <c r="N32" s="362">
        <f t="shared" ca="1" si="11"/>
        <v>110.57784578157384</v>
      </c>
      <c r="O32" s="362">
        <f t="shared" ca="1" si="12"/>
        <v>89.844499697528747</v>
      </c>
      <c r="P32" s="343">
        <f t="shared" ca="1" si="13"/>
        <v>4.9964429359588358</v>
      </c>
      <c r="Q32" s="361">
        <f t="shared" ca="1" si="14"/>
        <v>4.9964429359588358</v>
      </c>
      <c r="R32" s="363">
        <f t="shared" ca="1" si="15"/>
        <v>4.6714429359588356</v>
      </c>
      <c r="S32" s="364">
        <f t="shared" si="16"/>
        <v>1.7333333333333334</v>
      </c>
      <c r="T32" s="365">
        <f t="shared" ca="1" si="17"/>
        <v>93.5</v>
      </c>
      <c r="U32" s="366">
        <f t="shared" ca="1" si="18"/>
        <v>7.110640208898833E-2</v>
      </c>
      <c r="V32" s="344">
        <f t="shared" si="19"/>
        <v>6.2770500000000021E-2</v>
      </c>
      <c r="W32" s="344">
        <f t="shared" si="20"/>
        <v>3.2334347500000027E-2</v>
      </c>
      <c r="X32" s="344">
        <f t="shared" ca="1" si="43"/>
        <v>0.28438888516542626</v>
      </c>
      <c r="Y32" s="344">
        <f t="shared" ca="1" si="44"/>
        <v>1.977035030561785E-2</v>
      </c>
      <c r="Z32" s="344">
        <f t="shared" si="21"/>
        <v>1.5600000000000001E-2</v>
      </c>
      <c r="AA32" s="344">
        <f t="shared" si="22"/>
        <v>4.5805500000000013E-2</v>
      </c>
      <c r="AB32" s="344">
        <f t="shared" ca="1" si="45"/>
        <v>0.46066958297104416</v>
      </c>
      <c r="AC32" s="367">
        <f t="shared" ca="1" si="23"/>
        <v>40.662765821015498</v>
      </c>
      <c r="AD32" s="367">
        <f t="shared" ca="1" si="24"/>
        <v>101.22223651541393</v>
      </c>
      <c r="AE32" s="367">
        <f t="shared" ca="1" si="25"/>
        <v>82.24306716877382</v>
      </c>
      <c r="AF32" s="344">
        <f t="shared" ca="1" si="26"/>
        <v>5.1377763180499922</v>
      </c>
      <c r="AG32" s="366">
        <f t="shared" ca="1" si="27"/>
        <v>5.1377763180499922</v>
      </c>
      <c r="AH32" s="368">
        <f t="shared" ca="1" si="28"/>
        <v>4.9211096513833255</v>
      </c>
      <c r="AI32" s="369">
        <f t="shared" si="29"/>
        <v>0.8666666666666667</v>
      </c>
      <c r="AJ32" s="370">
        <f t="shared" ca="1" si="30"/>
        <v>93.343842271363371</v>
      </c>
      <c r="AK32" s="371">
        <f t="shared" ca="1" si="31"/>
        <v>9.7417187586666884E-2</v>
      </c>
      <c r="AL32" s="345">
        <f t="shared" si="32"/>
        <v>6.2770500000000021E-2</v>
      </c>
      <c r="AM32" s="345">
        <f t="shared" si="33"/>
        <v>1.6167173750000013E-2</v>
      </c>
      <c r="AN32" s="345">
        <f t="shared" ca="1" si="46"/>
        <v>6.7448151304311796E-2</v>
      </c>
      <c r="AO32" s="345">
        <f t="shared" ca="1" si="47"/>
        <v>4.809589177626747E-3</v>
      </c>
      <c r="AP32" s="345">
        <f t="shared" si="34"/>
        <v>7.8000000000000005E-3</v>
      </c>
      <c r="AQ32" s="345">
        <f t="shared" si="35"/>
        <v>4.5805500000000013E-2</v>
      </c>
      <c r="AR32" s="345">
        <f t="shared" ca="1" si="48"/>
        <v>0.20480091423193858</v>
      </c>
      <c r="AS32" s="372">
        <f t="shared" ca="1" si="36"/>
        <v>31.963231083885912</v>
      </c>
      <c r="AT32" s="372">
        <f t="shared" ca="1" si="37"/>
        <v>96.099950462192027</v>
      </c>
      <c r="AU32" s="372">
        <f t="shared" ca="1" si="38"/>
        <v>78.081209750531016</v>
      </c>
      <c r="AV32" s="345">
        <f t="shared" ca="1" si="39"/>
        <v>5.2594108550302741</v>
      </c>
      <c r="AW32" s="371">
        <f t="shared" ca="1" si="40"/>
        <v>5.1020175438596489</v>
      </c>
      <c r="AX32" s="373">
        <f t="shared" ca="1" si="41"/>
        <v>4.9936842105263155</v>
      </c>
    </row>
    <row r="33" spans="1:50" s="340" customFormat="1" ht="12.75" customHeight="1">
      <c r="A33" s="341">
        <v>25</v>
      </c>
      <c r="B33" s="342">
        <f t="shared" si="0"/>
        <v>5.4200000000000017</v>
      </c>
      <c r="C33" s="359">
        <f t="shared" si="1"/>
        <v>2.6</v>
      </c>
      <c r="D33" s="360">
        <f t="shared" ca="1" si="2"/>
        <v>93.5</v>
      </c>
      <c r="E33" s="349">
        <f t="shared" ca="1" si="3"/>
        <v>0</v>
      </c>
      <c r="F33" s="343">
        <f t="shared" si="4"/>
        <v>6.0162000000000014E-2</v>
      </c>
      <c r="G33" s="343">
        <f t="shared" si="5"/>
        <v>4.4554206666666693E-2</v>
      </c>
      <c r="H33" s="343">
        <f t="shared" ca="1" si="6"/>
        <v>0.69767783753695167</v>
      </c>
      <c r="I33" s="343">
        <f t="shared" ca="1" si="7"/>
        <v>4.8501667850162376E-2</v>
      </c>
      <c r="J33" s="343">
        <f t="shared" si="8"/>
        <v>2.3399999999999997E-2</v>
      </c>
      <c r="K33" s="343">
        <f t="shared" si="9"/>
        <v>4.390200000000001E-2</v>
      </c>
      <c r="L33" s="343">
        <f t="shared" ca="1" si="42"/>
        <v>0.91819771205378076</v>
      </c>
      <c r="M33" s="362">
        <f t="shared" ca="1" si="10"/>
        <v>56.218722209828542</v>
      </c>
      <c r="N33" s="362">
        <f t="shared" ca="1" si="11"/>
        <v>110.38158363714705</v>
      </c>
      <c r="O33" s="362">
        <f t="shared" ca="1" si="12"/>
        <v>89.685036705181972</v>
      </c>
      <c r="P33" s="343">
        <f t="shared" ca="1" si="13"/>
        <v>4.7736984336445749</v>
      </c>
      <c r="Q33" s="361">
        <f t="shared" ca="1" si="14"/>
        <v>4.7736984336445749</v>
      </c>
      <c r="R33" s="363">
        <f t="shared" ca="1" si="15"/>
        <v>4.4486984336445747</v>
      </c>
      <c r="S33" s="364">
        <f t="shared" si="16"/>
        <v>1.7333333333333334</v>
      </c>
      <c r="T33" s="365">
        <f t="shared" ca="1" si="17"/>
        <v>93.5</v>
      </c>
      <c r="U33" s="366">
        <f t="shared" ca="1" si="18"/>
        <v>2.717298255187325E-2</v>
      </c>
      <c r="V33" s="344">
        <f t="shared" si="19"/>
        <v>6.0162000000000014E-2</v>
      </c>
      <c r="W33" s="344">
        <f t="shared" si="20"/>
        <v>2.9702804444444463E-2</v>
      </c>
      <c r="X33" s="344">
        <f t="shared" ca="1" si="43"/>
        <v>0.28392520199170412</v>
      </c>
      <c r="Y33" s="344">
        <f t="shared" ca="1" si="44"/>
        <v>1.9738115646482087E-2</v>
      </c>
      <c r="Z33" s="344">
        <f t="shared" si="21"/>
        <v>1.5600000000000001E-2</v>
      </c>
      <c r="AA33" s="344">
        <f t="shared" si="22"/>
        <v>4.390200000000001E-2</v>
      </c>
      <c r="AB33" s="344">
        <f t="shared" ca="1" si="45"/>
        <v>0.45303012208263066</v>
      </c>
      <c r="AC33" s="367">
        <f t="shared" ca="1" si="23"/>
        <v>40.403024150809443</v>
      </c>
      <c r="AD33" s="367">
        <f t="shared" ca="1" si="24"/>
        <v>101.0693006199966</v>
      </c>
      <c r="AE33" s="367">
        <f t="shared" ca="1" si="25"/>
        <v>82.118806753747236</v>
      </c>
      <c r="AF33" s="344">
        <f t="shared" ca="1" si="26"/>
        <v>4.9147889217270828</v>
      </c>
      <c r="AG33" s="366">
        <f t="shared" ca="1" si="27"/>
        <v>4.9147889217270828</v>
      </c>
      <c r="AH33" s="368">
        <f t="shared" ca="1" si="28"/>
        <v>4.698122255060416</v>
      </c>
      <c r="AI33" s="369">
        <f t="shared" si="29"/>
        <v>0.8666666666666667</v>
      </c>
      <c r="AJ33" s="370">
        <f t="shared" ca="1" si="30"/>
        <v>93.5</v>
      </c>
      <c r="AK33" s="371">
        <f t="shared" ca="1" si="31"/>
        <v>5.3639685028143855E-2</v>
      </c>
      <c r="AL33" s="345">
        <f t="shared" si="32"/>
        <v>6.0162000000000014E-2</v>
      </c>
      <c r="AM33" s="345">
        <f t="shared" si="33"/>
        <v>1.4851402222222232E-2</v>
      </c>
      <c r="AN33" s="345">
        <f t="shared" ca="1" si="46"/>
        <v>6.7427503301019126E-2</v>
      </c>
      <c r="AO33" s="345">
        <f t="shared" ca="1" si="47"/>
        <v>4.6874734915146946E-3</v>
      </c>
      <c r="AP33" s="345">
        <f t="shared" si="34"/>
        <v>7.8000000000000005E-3</v>
      </c>
      <c r="AQ33" s="345">
        <f t="shared" si="35"/>
        <v>4.390200000000001E-2</v>
      </c>
      <c r="AR33" s="345">
        <f t="shared" ca="1" si="48"/>
        <v>0.19883037901475609</v>
      </c>
      <c r="AS33" s="372">
        <f t="shared" ca="1" si="36"/>
        <v>31.760232886501708</v>
      </c>
      <c r="AT33" s="372">
        <f t="shared" ca="1" si="37"/>
        <v>95.980425123572203</v>
      </c>
      <c r="AU33" s="372">
        <f t="shared" ca="1" si="38"/>
        <v>77.98409541290242</v>
      </c>
      <c r="AV33" s="345">
        <f t="shared" ca="1" si="39"/>
        <v>5.0362634725137001</v>
      </c>
      <c r="AW33" s="371">
        <f t="shared" ca="1" si="40"/>
        <v>5.0362634725137001</v>
      </c>
      <c r="AX33" s="373">
        <f t="shared" ca="1" si="41"/>
        <v>4.9279301391803667</v>
      </c>
    </row>
    <row r="34" spans="1:50" s="340" customFormat="1" ht="12.75" customHeight="1">
      <c r="A34" s="341">
        <v>25</v>
      </c>
      <c r="B34" s="342">
        <f t="shared" si="0"/>
        <v>5.1850000000000014</v>
      </c>
      <c r="C34" s="359">
        <f t="shared" si="1"/>
        <v>2.6</v>
      </c>
      <c r="D34" s="360">
        <f t="shared" ca="1" si="2"/>
        <v>93.5</v>
      </c>
      <c r="E34" s="349">
        <f t="shared" ca="1" si="3"/>
        <v>0</v>
      </c>
      <c r="F34" s="343">
        <f t="shared" si="4"/>
        <v>5.7553500000000007E-2</v>
      </c>
      <c r="G34" s="343">
        <f t="shared" si="5"/>
        <v>4.0774407916666686E-2</v>
      </c>
      <c r="H34" s="343">
        <f t="shared" ca="1" si="6"/>
        <v>0.69646443951603365</v>
      </c>
      <c r="I34" s="343">
        <f t="shared" ca="1" si="7"/>
        <v>4.8417313977050423E-2</v>
      </c>
      <c r="J34" s="343">
        <f t="shared" si="8"/>
        <v>2.3399999999999997E-2</v>
      </c>
      <c r="K34" s="343">
        <f t="shared" si="9"/>
        <v>4.1998500000000008E-2</v>
      </c>
      <c r="L34" s="343">
        <f t="shared" ca="1" si="42"/>
        <v>0.90860816140975076</v>
      </c>
      <c r="M34" s="362">
        <f t="shared" ca="1" si="10"/>
        <v>55.892677487931522</v>
      </c>
      <c r="N34" s="362">
        <f t="shared" ca="1" si="11"/>
        <v>110.18960850489408</v>
      </c>
      <c r="O34" s="362">
        <f t="shared" ca="1" si="12"/>
        <v>89.529056910226444</v>
      </c>
      <c r="P34" s="343">
        <f t="shared" ca="1" si="13"/>
        <v>4.5509428895945829</v>
      </c>
      <c r="Q34" s="361">
        <f t="shared" ca="1" si="14"/>
        <v>4.5509428895945829</v>
      </c>
      <c r="R34" s="363">
        <f t="shared" ca="1" si="15"/>
        <v>4.2259428895945828</v>
      </c>
      <c r="S34" s="364">
        <f t="shared" si="16"/>
        <v>1.7333333333333334</v>
      </c>
      <c r="T34" s="365">
        <f t="shared" ca="1" si="17"/>
        <v>93.5</v>
      </c>
      <c r="U34" s="366">
        <f t="shared" ca="1" si="18"/>
        <v>0</v>
      </c>
      <c r="V34" s="344">
        <f t="shared" si="19"/>
        <v>5.7553500000000007E-2</v>
      </c>
      <c r="W34" s="344">
        <f t="shared" si="20"/>
        <v>2.7182938611111124E-2</v>
      </c>
      <c r="X34" s="344">
        <f t="shared" ca="1" si="43"/>
        <v>0.28349825666537082</v>
      </c>
      <c r="Y34" s="344">
        <f t="shared" ca="1" si="44"/>
        <v>1.9708434955346618E-2</v>
      </c>
      <c r="Z34" s="344">
        <f t="shared" si="21"/>
        <v>1.5600000000000001E-2</v>
      </c>
      <c r="AA34" s="344">
        <f t="shared" si="22"/>
        <v>4.1998500000000008E-2</v>
      </c>
      <c r="AB34" s="344">
        <f t="shared" ca="1" si="45"/>
        <v>0.44554163023182858</v>
      </c>
      <c r="AC34" s="367">
        <f t="shared" ca="1" si="23"/>
        <v>40.148415427882171</v>
      </c>
      <c r="AD34" s="367">
        <f t="shared" ca="1" si="24"/>
        <v>100.91938700393702</v>
      </c>
      <c r="AE34" s="367">
        <f t="shared" ca="1" si="25"/>
        <v>81.997001940698837</v>
      </c>
      <c r="AF34" s="344">
        <f t="shared" ca="1" si="26"/>
        <v>4.6917963358986583</v>
      </c>
      <c r="AG34" s="366">
        <f t="shared" ca="1" si="27"/>
        <v>4.6917963358986583</v>
      </c>
      <c r="AH34" s="368">
        <f t="shared" ca="1" si="28"/>
        <v>4.4751296692319915</v>
      </c>
      <c r="AI34" s="369">
        <f t="shared" si="29"/>
        <v>0.8666666666666667</v>
      </c>
      <c r="AJ34" s="370">
        <f t="shared" ca="1" si="30"/>
        <v>93.5</v>
      </c>
      <c r="AK34" s="371">
        <f t="shared" ca="1" si="31"/>
        <v>9.6991437071037093E-3</v>
      </c>
      <c r="AL34" s="345">
        <f t="shared" si="32"/>
        <v>5.7553500000000007E-2</v>
      </c>
      <c r="AM34" s="345">
        <f t="shared" si="33"/>
        <v>1.3591469305555562E-2</v>
      </c>
      <c r="AN34" s="345">
        <f t="shared" ca="1" si="46"/>
        <v>6.7323983064949536E-2</v>
      </c>
      <c r="AO34" s="345">
        <f t="shared" ca="1" si="47"/>
        <v>4.6802768975633333E-3</v>
      </c>
      <c r="AP34" s="345">
        <f t="shared" si="34"/>
        <v>7.8000000000000005E-3</v>
      </c>
      <c r="AQ34" s="345">
        <f t="shared" si="35"/>
        <v>4.1998500000000008E-2</v>
      </c>
      <c r="AR34" s="345">
        <f t="shared" ca="1" si="48"/>
        <v>0.19294772926806847</v>
      </c>
      <c r="AS34" s="372">
        <f t="shared" ca="1" si="36"/>
        <v>31.560222795114328</v>
      </c>
      <c r="AT34" s="372">
        <f t="shared" ca="1" si="37"/>
        <v>95.86265918176332</v>
      </c>
      <c r="AU34" s="372">
        <f t="shared" ca="1" si="38"/>
        <v>77.888410585182697</v>
      </c>
      <c r="AV34" s="345">
        <f t="shared" ca="1" si="39"/>
        <v>4.813114579481657</v>
      </c>
      <c r="AW34" s="371">
        <f t="shared" ca="1" si="40"/>
        <v>4.813114579481657</v>
      </c>
      <c r="AX34" s="373">
        <f t="shared" ca="1" si="41"/>
        <v>4.7047812461483236</v>
      </c>
    </row>
    <row r="35" spans="1:50" s="340" customFormat="1" ht="12.75" customHeight="1">
      <c r="A35" s="341">
        <v>25</v>
      </c>
      <c r="B35" s="342">
        <f t="shared" si="0"/>
        <v>4.9500000000000011</v>
      </c>
      <c r="C35" s="359">
        <f t="shared" si="1"/>
        <v>2.6</v>
      </c>
      <c r="D35" s="360">
        <f t="shared" ca="1" si="2"/>
        <v>93.5</v>
      </c>
      <c r="E35" s="349">
        <f t="shared" ca="1" si="3"/>
        <v>0</v>
      </c>
      <c r="F35" s="343">
        <f t="shared" si="4"/>
        <v>5.4945000000000008E-2</v>
      </c>
      <c r="G35" s="343">
        <f t="shared" si="5"/>
        <v>3.7162125000000011E-2</v>
      </c>
      <c r="H35" s="343">
        <f t="shared" ca="1" si="6"/>
        <v>0.69527555528117901</v>
      </c>
      <c r="I35" s="343">
        <f t="shared" ca="1" si="7"/>
        <v>4.8334664270884065E-2</v>
      </c>
      <c r="J35" s="343">
        <f t="shared" si="8"/>
        <v>2.3399999999999997E-2</v>
      </c>
      <c r="K35" s="343">
        <f t="shared" si="9"/>
        <v>4.0095000000000013E-2</v>
      </c>
      <c r="L35" s="343">
        <f t="shared" ca="1" si="42"/>
        <v>0.899212344552063</v>
      </c>
      <c r="M35" s="362">
        <f t="shared" ca="1" si="10"/>
        <v>55.573219714770147</v>
      </c>
      <c r="N35" s="362">
        <f t="shared" ca="1" si="11"/>
        <v>110.00151176805666</v>
      </c>
      <c r="O35" s="362">
        <f t="shared" ca="1" si="12"/>
        <v>89.376228311546043</v>
      </c>
      <c r="P35" s="343">
        <f t="shared" ca="1" si="13"/>
        <v>4.3281773562524002</v>
      </c>
      <c r="Q35" s="361">
        <f t="shared" ca="1" si="14"/>
        <v>4.3281773562524002</v>
      </c>
      <c r="R35" s="363">
        <f t="shared" ca="1" si="15"/>
        <v>4.0031773562524</v>
      </c>
      <c r="S35" s="364">
        <f t="shared" si="16"/>
        <v>1.7333333333333334</v>
      </c>
      <c r="T35" s="365">
        <f t="shared" ca="1" si="17"/>
        <v>93.5</v>
      </c>
      <c r="U35" s="366">
        <f t="shared" ca="1" si="18"/>
        <v>0</v>
      </c>
      <c r="V35" s="344">
        <f t="shared" si="19"/>
        <v>5.4945000000000008E-2</v>
      </c>
      <c r="W35" s="344">
        <f t="shared" si="20"/>
        <v>2.4774750000000009E-2</v>
      </c>
      <c r="X35" s="344">
        <f t="shared" ca="1" si="43"/>
        <v>0.28308418042668237</v>
      </c>
      <c r="Y35" s="344">
        <f t="shared" ca="1" si="44"/>
        <v>1.9679648906667745E-2</v>
      </c>
      <c r="Z35" s="344">
        <f t="shared" si="21"/>
        <v>1.5600000000000001E-2</v>
      </c>
      <c r="AA35" s="344">
        <f t="shared" si="22"/>
        <v>4.0095000000000013E-2</v>
      </c>
      <c r="AB35" s="344">
        <f t="shared" ca="1" si="45"/>
        <v>0.43817857933335014</v>
      </c>
      <c r="AC35" s="367">
        <f t="shared" ca="1" si="23"/>
        <v>39.898071697333904</v>
      </c>
      <c r="AD35" s="367">
        <f t="shared" ca="1" si="24"/>
        <v>100.77198461539021</v>
      </c>
      <c r="AE35" s="367">
        <f t="shared" ca="1" si="25"/>
        <v>81.87723750000454</v>
      </c>
      <c r="AF35" s="344">
        <f t="shared" ca="1" si="26"/>
        <v>4.468799438083324</v>
      </c>
      <c r="AG35" s="366">
        <f t="shared" ca="1" si="27"/>
        <v>4.468799438083324</v>
      </c>
      <c r="AH35" s="368">
        <f t="shared" ca="1" si="28"/>
        <v>4.2521327714166572</v>
      </c>
      <c r="AI35" s="369">
        <f t="shared" si="29"/>
        <v>0.8666666666666667</v>
      </c>
      <c r="AJ35" s="370">
        <f t="shared" ca="1" si="30"/>
        <v>93.5</v>
      </c>
      <c r="AK35" s="371">
        <f t="shared" ca="1" si="31"/>
        <v>0</v>
      </c>
      <c r="AL35" s="345">
        <f t="shared" si="32"/>
        <v>5.4945000000000008E-2</v>
      </c>
      <c r="AM35" s="345">
        <f t="shared" si="33"/>
        <v>1.2387375000000004E-2</v>
      </c>
      <c r="AN35" s="345">
        <f t="shared" ca="1" si="46"/>
        <v>6.7241678756258527E-2</v>
      </c>
      <c r="AO35" s="345">
        <f t="shared" ca="1" si="47"/>
        <v>4.6745552076543316E-3</v>
      </c>
      <c r="AP35" s="345">
        <f t="shared" si="34"/>
        <v>7.8000000000000005E-3</v>
      </c>
      <c r="AQ35" s="345">
        <f t="shared" si="35"/>
        <v>4.0095000000000013E-2</v>
      </c>
      <c r="AR35" s="345">
        <f t="shared" ca="1" si="48"/>
        <v>0.18714360896391288</v>
      </c>
      <c r="AS35" s="372">
        <f t="shared" ca="1" si="36"/>
        <v>31.362882704773039</v>
      </c>
      <c r="AT35" s="372">
        <f t="shared" ca="1" si="37"/>
        <v>95.746465336570367</v>
      </c>
      <c r="AU35" s="372">
        <f t="shared" ca="1" si="38"/>
        <v>77.794003085963425</v>
      </c>
      <c r="AV35" s="345">
        <f t="shared" ca="1" si="39"/>
        <v>4.5899643367391665</v>
      </c>
      <c r="AW35" s="371">
        <f t="shared" ca="1" si="40"/>
        <v>4.5899643367391665</v>
      </c>
      <c r="AX35" s="373">
        <f t="shared" ca="1" si="41"/>
        <v>4.4816310034058331</v>
      </c>
    </row>
    <row r="36" spans="1:50" s="340" customFormat="1" ht="12.75" customHeight="1">
      <c r="A36" s="341">
        <v>25</v>
      </c>
      <c r="B36" s="342">
        <f t="shared" si="0"/>
        <v>4.7150000000000007</v>
      </c>
      <c r="C36" s="359">
        <f t="shared" si="1"/>
        <v>2.6</v>
      </c>
      <c r="D36" s="360">
        <f t="shared" ca="1" si="2"/>
        <v>93.5</v>
      </c>
      <c r="E36" s="349">
        <f t="shared" ca="1" si="3"/>
        <v>0</v>
      </c>
      <c r="F36" s="343">
        <f t="shared" si="4"/>
        <v>5.2336500000000008E-2</v>
      </c>
      <c r="G36" s="343">
        <f t="shared" si="5"/>
        <v>3.3717357916666676E-2</v>
      </c>
      <c r="H36" s="343">
        <f t="shared" ca="1" si="6"/>
        <v>0.69411118483238798</v>
      </c>
      <c r="I36" s="343">
        <f t="shared" ca="1" si="7"/>
        <v>4.8253718731663293E-2</v>
      </c>
      <c r="J36" s="343">
        <f t="shared" si="8"/>
        <v>2.3399999999999997E-2</v>
      </c>
      <c r="K36" s="343">
        <f t="shared" si="9"/>
        <v>3.8191500000000003E-2</v>
      </c>
      <c r="L36" s="343">
        <f t="shared" ca="1" si="42"/>
        <v>0.89001026148071793</v>
      </c>
      <c r="M36" s="362">
        <f t="shared" ca="1" si="10"/>
        <v>55.26034889034441</v>
      </c>
      <c r="N36" s="362">
        <f t="shared" ca="1" si="11"/>
        <v>109.81729342663479</v>
      </c>
      <c r="O36" s="362">
        <f t="shared" ca="1" si="12"/>
        <v>89.226550909140769</v>
      </c>
      <c r="P36" s="343">
        <f t="shared" ca="1" si="13"/>
        <v>4.1054018336180249</v>
      </c>
      <c r="Q36" s="361">
        <f t="shared" ca="1" si="14"/>
        <v>4.1054018336180249</v>
      </c>
      <c r="R36" s="363">
        <f t="shared" ca="1" si="15"/>
        <v>3.7804018336180247</v>
      </c>
      <c r="S36" s="364">
        <f t="shared" si="16"/>
        <v>1.7333333333333334</v>
      </c>
      <c r="T36" s="365">
        <f t="shared" ca="1" si="17"/>
        <v>93.5</v>
      </c>
      <c r="U36" s="366">
        <f t="shared" ca="1" si="18"/>
        <v>0</v>
      </c>
      <c r="V36" s="344">
        <f t="shared" si="19"/>
        <v>5.2336500000000008E-2</v>
      </c>
      <c r="W36" s="344">
        <f t="shared" si="20"/>
        <v>2.2478238611111118E-2</v>
      </c>
      <c r="X36" s="344">
        <f t="shared" ca="1" si="43"/>
        <v>0.28267678650356709</v>
      </c>
      <c r="Y36" s="344">
        <f t="shared" ca="1" si="44"/>
        <v>1.9651327403991274E-2</v>
      </c>
      <c r="Z36" s="344">
        <f t="shared" si="21"/>
        <v>1.5600000000000001E-2</v>
      </c>
      <c r="AA36" s="344">
        <f t="shared" si="22"/>
        <v>3.8191500000000003E-2</v>
      </c>
      <c r="AB36" s="344">
        <f t="shared" ca="1" si="45"/>
        <v>0.43093435251866946</v>
      </c>
      <c r="AC36" s="367">
        <f t="shared" ca="1" si="23"/>
        <v>39.651767985634763</v>
      </c>
      <c r="AD36" s="367">
        <f t="shared" ca="1" si="24"/>
        <v>100.62696098994175</v>
      </c>
      <c r="AE36" s="367">
        <f t="shared" ca="1" si="25"/>
        <v>81.75940580432767</v>
      </c>
      <c r="AF36" s="344">
        <f t="shared" ca="1" si="26"/>
        <v>4.2457984557335218</v>
      </c>
      <c r="AG36" s="366">
        <f t="shared" ca="1" si="27"/>
        <v>4.2457984557335218</v>
      </c>
      <c r="AH36" s="368">
        <f t="shared" ca="1" si="28"/>
        <v>4.029131789066855</v>
      </c>
      <c r="AI36" s="369">
        <f t="shared" si="29"/>
        <v>0.8666666666666667</v>
      </c>
      <c r="AJ36" s="370">
        <f t="shared" ca="1" si="30"/>
        <v>93.5</v>
      </c>
      <c r="AK36" s="371">
        <f t="shared" ca="1" si="31"/>
        <v>0</v>
      </c>
      <c r="AL36" s="345">
        <f t="shared" si="32"/>
        <v>5.2336500000000008E-2</v>
      </c>
      <c r="AM36" s="345">
        <f t="shared" si="33"/>
        <v>1.1239119305555559E-2</v>
      </c>
      <c r="AN36" s="345">
        <f t="shared" ca="1" si="46"/>
        <v>6.7160884871171528E-2</v>
      </c>
      <c r="AO36" s="345">
        <f t="shared" ca="1" si="47"/>
        <v>4.6689385204557706E-3</v>
      </c>
      <c r="AP36" s="345">
        <f t="shared" si="34"/>
        <v>7.8000000000000005E-3</v>
      </c>
      <c r="AQ36" s="345">
        <f t="shared" si="35"/>
        <v>3.8191500000000003E-2</v>
      </c>
      <c r="AR36" s="345">
        <f t="shared" ca="1" si="48"/>
        <v>0.18139694269718287</v>
      </c>
      <c r="AS36" s="372">
        <f t="shared" ca="1" si="36"/>
        <v>31.167496051704219</v>
      </c>
      <c r="AT36" s="372">
        <f t="shared" ca="1" si="37"/>
        <v>95.631421675243445</v>
      </c>
      <c r="AU36" s="372">
        <f t="shared" ca="1" si="38"/>
        <v>77.700530111135294</v>
      </c>
      <c r="AV36" s="345">
        <f t="shared" ca="1" si="39"/>
        <v>4.3668131065159015</v>
      </c>
      <c r="AW36" s="371">
        <f t="shared" ca="1" si="40"/>
        <v>4.3668131065159015</v>
      </c>
      <c r="AX36" s="373">
        <f t="shared" ca="1" si="41"/>
        <v>4.2584797731825681</v>
      </c>
    </row>
    <row r="37" spans="1:50" s="340" customFormat="1" ht="12.75" customHeight="1">
      <c r="A37" s="341">
        <v>25</v>
      </c>
      <c r="B37" s="342">
        <f t="shared" si="0"/>
        <v>4.4800000000000004</v>
      </c>
      <c r="C37" s="359">
        <f t="shared" si="1"/>
        <v>2.6</v>
      </c>
      <c r="D37" s="360">
        <f t="shared" ca="1" si="2"/>
        <v>93.5</v>
      </c>
      <c r="E37" s="349">
        <f t="shared" ca="1" si="3"/>
        <v>0</v>
      </c>
      <c r="F37" s="343">
        <f t="shared" si="4"/>
        <v>4.9728000000000001E-2</v>
      </c>
      <c r="G37" s="343">
        <f t="shared" si="5"/>
        <v>3.0440106666666675E-2</v>
      </c>
      <c r="H37" s="343">
        <f t="shared" ca="1" si="6"/>
        <v>0.69297132816966034</v>
      </c>
      <c r="I37" s="343">
        <f t="shared" ca="1" si="7"/>
        <v>4.8174477359388117E-2</v>
      </c>
      <c r="J37" s="343">
        <f t="shared" si="8"/>
        <v>2.3399999999999997E-2</v>
      </c>
      <c r="K37" s="343">
        <f t="shared" si="9"/>
        <v>3.6288000000000001E-2</v>
      </c>
      <c r="L37" s="343">
        <f t="shared" ca="1" si="42"/>
        <v>0.881001912195715</v>
      </c>
      <c r="M37" s="362">
        <f t="shared" ca="1" si="10"/>
        <v>54.954065014654311</v>
      </c>
      <c r="N37" s="362">
        <f t="shared" ca="1" si="11"/>
        <v>109.63695348062846</v>
      </c>
      <c r="O37" s="362">
        <f t="shared" ca="1" si="12"/>
        <v>89.080024703010622</v>
      </c>
      <c r="P37" s="343">
        <f t="shared" ca="1" si="13"/>
        <v>3.8826163216914567</v>
      </c>
      <c r="Q37" s="361">
        <f t="shared" ca="1" si="14"/>
        <v>3.8826163216914567</v>
      </c>
      <c r="R37" s="363">
        <f t="shared" ca="1" si="15"/>
        <v>3.5576163216914565</v>
      </c>
      <c r="S37" s="364">
        <f t="shared" si="16"/>
        <v>1.7333333333333334</v>
      </c>
      <c r="T37" s="365">
        <f t="shared" ca="1" si="17"/>
        <v>93.5</v>
      </c>
      <c r="U37" s="366">
        <f t="shared" ca="1" si="18"/>
        <v>0</v>
      </c>
      <c r="V37" s="344">
        <f t="shared" si="19"/>
        <v>4.9728000000000001E-2</v>
      </c>
      <c r="W37" s="344">
        <f t="shared" si="20"/>
        <v>2.0293404444444451E-2</v>
      </c>
      <c r="X37" s="344">
        <f t="shared" ca="1" si="43"/>
        <v>0.28227607489602485</v>
      </c>
      <c r="Y37" s="344">
        <f t="shared" ca="1" si="44"/>
        <v>1.9623470447317218E-2</v>
      </c>
      <c r="Z37" s="344">
        <f t="shared" si="21"/>
        <v>1.5600000000000001E-2</v>
      </c>
      <c r="AA37" s="344">
        <f t="shared" si="22"/>
        <v>3.6288000000000001E-2</v>
      </c>
      <c r="AB37" s="344">
        <f t="shared" ca="1" si="45"/>
        <v>0.42380894978778649</v>
      </c>
      <c r="AC37" s="367">
        <f t="shared" ca="1" si="23"/>
        <v>39.409504292784739</v>
      </c>
      <c r="AD37" s="367">
        <f t="shared" ca="1" si="24"/>
        <v>100.48431612759165</v>
      </c>
      <c r="AE37" s="367">
        <f t="shared" ca="1" si="25"/>
        <v>81.643506853668214</v>
      </c>
      <c r="AF37" s="344">
        <f t="shared" ca="1" si="26"/>
        <v>4.022793388849248</v>
      </c>
      <c r="AG37" s="366">
        <f t="shared" ca="1" si="27"/>
        <v>4.022793388849248</v>
      </c>
      <c r="AH37" s="368">
        <f t="shared" ca="1" si="28"/>
        <v>3.8061267221825812</v>
      </c>
      <c r="AI37" s="369">
        <f t="shared" si="29"/>
        <v>0.8666666666666667</v>
      </c>
      <c r="AJ37" s="370">
        <f t="shared" ca="1" si="30"/>
        <v>93.5</v>
      </c>
      <c r="AK37" s="371">
        <f t="shared" ca="1" si="31"/>
        <v>0</v>
      </c>
      <c r="AL37" s="345">
        <f t="shared" si="32"/>
        <v>4.9728000000000001E-2</v>
      </c>
      <c r="AM37" s="345">
        <f t="shared" si="33"/>
        <v>1.0146702222222225E-2</v>
      </c>
      <c r="AN37" s="345">
        <f t="shared" ca="1" si="46"/>
        <v>6.7080888020454199E-2</v>
      </c>
      <c r="AO37" s="345">
        <f t="shared" ca="1" si="47"/>
        <v>4.6633772420636562E-3</v>
      </c>
      <c r="AP37" s="345">
        <f t="shared" si="34"/>
        <v>7.8000000000000005E-3</v>
      </c>
      <c r="AQ37" s="345">
        <f t="shared" si="35"/>
        <v>3.6288000000000001E-2</v>
      </c>
      <c r="AR37" s="345">
        <f t="shared" ca="1" si="48"/>
        <v>0.17570696748474007</v>
      </c>
      <c r="AS37" s="372">
        <f t="shared" ca="1" si="36"/>
        <v>30.974036894481163</v>
      </c>
      <c r="AT37" s="372">
        <f t="shared" ca="1" si="37"/>
        <v>95.517512923470505</v>
      </c>
      <c r="AU37" s="372">
        <f t="shared" ca="1" si="38"/>
        <v>77.607979250319787</v>
      </c>
      <c r="AV37" s="345">
        <f t="shared" ca="1" si="39"/>
        <v>4.1436609019254957</v>
      </c>
      <c r="AW37" s="371">
        <f t="shared" ca="1" si="40"/>
        <v>4.1436609019254957</v>
      </c>
      <c r="AX37" s="373">
        <f t="shared" ca="1" si="41"/>
        <v>4.0353275685921624</v>
      </c>
    </row>
    <row r="38" spans="1:50" s="340" customFormat="1" ht="12.75" customHeight="1">
      <c r="A38" s="341">
        <v>25</v>
      </c>
      <c r="B38" s="342">
        <f t="shared" si="0"/>
        <v>4.2450000000000001</v>
      </c>
      <c r="C38" s="359">
        <f t="shared" si="1"/>
        <v>2.6</v>
      </c>
      <c r="D38" s="360">
        <f t="shared" ca="1" si="2"/>
        <v>93.5</v>
      </c>
      <c r="E38" s="349">
        <f t="shared" ca="1" si="3"/>
        <v>0</v>
      </c>
      <c r="F38" s="343">
        <f t="shared" si="4"/>
        <v>4.7119499999999995E-2</v>
      </c>
      <c r="G38" s="343">
        <f t="shared" si="5"/>
        <v>2.7330371250000002E-2</v>
      </c>
      <c r="H38" s="343">
        <f t="shared" ca="1" si="6"/>
        <v>0.6918559852929963</v>
      </c>
      <c r="I38" s="343">
        <f t="shared" ca="1" si="7"/>
        <v>4.8096940154058521E-2</v>
      </c>
      <c r="J38" s="343">
        <f t="shared" si="8"/>
        <v>2.3399999999999997E-2</v>
      </c>
      <c r="K38" s="343">
        <f t="shared" si="9"/>
        <v>3.4384499999999998E-2</v>
      </c>
      <c r="L38" s="343">
        <f t="shared" ca="1" si="42"/>
        <v>0.87218729669705486</v>
      </c>
      <c r="M38" s="362">
        <f t="shared" ca="1" si="10"/>
        <v>54.654368087699865</v>
      </c>
      <c r="N38" s="362">
        <f t="shared" ca="1" si="11"/>
        <v>109.46049193003768</v>
      </c>
      <c r="O38" s="362">
        <f t="shared" ca="1" si="12"/>
        <v>88.936649693155616</v>
      </c>
      <c r="P38" s="343">
        <f t="shared" ca="1" si="13"/>
        <v>3.6598208204726963</v>
      </c>
      <c r="Q38" s="361">
        <f t="shared" ca="1" si="14"/>
        <v>3.6598208204726963</v>
      </c>
      <c r="R38" s="363">
        <f t="shared" ca="1" si="15"/>
        <v>3.3348208204726961</v>
      </c>
      <c r="S38" s="364">
        <f t="shared" si="16"/>
        <v>1.7333333333333334</v>
      </c>
      <c r="T38" s="365">
        <f t="shared" ca="1" si="17"/>
        <v>93.5</v>
      </c>
      <c r="U38" s="366">
        <f t="shared" ca="1" si="18"/>
        <v>0</v>
      </c>
      <c r="V38" s="344">
        <f t="shared" si="19"/>
        <v>4.7119499999999995E-2</v>
      </c>
      <c r="W38" s="344">
        <f t="shared" si="20"/>
        <v>1.8220247500000002E-2</v>
      </c>
      <c r="X38" s="344">
        <f t="shared" ca="1" si="43"/>
        <v>0.28188204560405572</v>
      </c>
      <c r="Y38" s="344">
        <f t="shared" ca="1" si="44"/>
        <v>1.9596078036645568E-2</v>
      </c>
      <c r="Z38" s="344">
        <f t="shared" si="21"/>
        <v>1.5600000000000001E-2</v>
      </c>
      <c r="AA38" s="344">
        <f t="shared" si="22"/>
        <v>3.4384499999999998E-2</v>
      </c>
      <c r="AB38" s="344">
        <f t="shared" ca="1" si="45"/>
        <v>0.41680237114070129</v>
      </c>
      <c r="AC38" s="367">
        <f t="shared" ca="1" si="23"/>
        <v>39.17128061878384</v>
      </c>
      <c r="AD38" s="367">
        <f t="shared" ca="1" si="24"/>
        <v>100.34405002833992</v>
      </c>
      <c r="AE38" s="367">
        <f t="shared" ca="1" si="25"/>
        <v>81.529540648026185</v>
      </c>
      <c r="AF38" s="344">
        <f t="shared" ca="1" si="26"/>
        <v>3.7997842374305049</v>
      </c>
      <c r="AG38" s="366">
        <f t="shared" ca="1" si="27"/>
        <v>3.7997842374305049</v>
      </c>
      <c r="AH38" s="368">
        <f t="shared" ca="1" si="28"/>
        <v>3.5831175707638381</v>
      </c>
      <c r="AI38" s="369">
        <f t="shared" si="29"/>
        <v>0.8666666666666667</v>
      </c>
      <c r="AJ38" s="370">
        <f t="shared" ca="1" si="30"/>
        <v>93.5</v>
      </c>
      <c r="AK38" s="371">
        <f t="shared" ca="1" si="31"/>
        <v>0</v>
      </c>
      <c r="AL38" s="345">
        <f t="shared" si="32"/>
        <v>4.7119499999999995E-2</v>
      </c>
      <c r="AM38" s="345">
        <f t="shared" si="33"/>
        <v>9.1101237500000008E-3</v>
      </c>
      <c r="AN38" s="345">
        <f t="shared" ca="1" si="46"/>
        <v>6.7001688204106513E-2</v>
      </c>
      <c r="AO38" s="345">
        <f t="shared" ca="1" si="47"/>
        <v>4.6578713724779886E-3</v>
      </c>
      <c r="AP38" s="345">
        <f t="shared" si="34"/>
        <v>7.8000000000000005E-3</v>
      </c>
      <c r="AQ38" s="345">
        <f t="shared" si="35"/>
        <v>3.4384499999999998E-2</v>
      </c>
      <c r="AR38" s="345">
        <f t="shared" ca="1" si="48"/>
        <v>0.17007368332658451</v>
      </c>
      <c r="AS38" s="372">
        <f t="shared" ca="1" si="36"/>
        <v>30.782505233103873</v>
      </c>
      <c r="AT38" s="372">
        <f t="shared" ca="1" si="37"/>
        <v>95.404739081251563</v>
      </c>
      <c r="AU38" s="372">
        <f t="shared" ca="1" si="38"/>
        <v>77.51635050351689</v>
      </c>
      <c r="AV38" s="345">
        <f t="shared" ca="1" si="39"/>
        <v>3.9205077229679506</v>
      </c>
      <c r="AW38" s="371">
        <f t="shared" ca="1" si="40"/>
        <v>3.9205077229679506</v>
      </c>
      <c r="AX38" s="373">
        <f t="shared" ca="1" si="41"/>
        <v>3.8121743896346172</v>
      </c>
    </row>
    <row r="39" spans="1:50" s="340" customFormat="1" ht="12.75" customHeight="1">
      <c r="A39" s="341">
        <v>25</v>
      </c>
      <c r="B39" s="342">
        <f t="shared" si="0"/>
        <v>4.01</v>
      </c>
      <c r="C39" s="359">
        <f t="shared" si="1"/>
        <v>2.6</v>
      </c>
      <c r="D39" s="360">
        <f t="shared" ca="1" si="2"/>
        <v>93.5</v>
      </c>
      <c r="E39" s="349">
        <f t="shared" ca="1" si="3"/>
        <v>0</v>
      </c>
      <c r="F39" s="343">
        <f t="shared" si="4"/>
        <v>4.4510999999999995E-2</v>
      </c>
      <c r="G39" s="343">
        <f t="shared" si="5"/>
        <v>2.4388151666666667E-2</v>
      </c>
      <c r="H39" s="343">
        <f t="shared" ca="1" si="6"/>
        <v>0.69076515620239554</v>
      </c>
      <c r="I39" s="343">
        <f t="shared" ca="1" si="7"/>
        <v>4.8021107115674526E-2</v>
      </c>
      <c r="J39" s="343">
        <f t="shared" si="8"/>
        <v>2.3399999999999997E-2</v>
      </c>
      <c r="K39" s="343">
        <f t="shared" si="9"/>
        <v>3.2480999999999996E-2</v>
      </c>
      <c r="L39" s="343">
        <f t="shared" ca="1" si="42"/>
        <v>0.86356641498473663</v>
      </c>
      <c r="M39" s="362">
        <f t="shared" ca="1" si="10"/>
        <v>54.361258109481042</v>
      </c>
      <c r="N39" s="362">
        <f t="shared" ca="1" si="11"/>
        <v>109.28790877486244</v>
      </c>
      <c r="O39" s="362">
        <f t="shared" ca="1" si="12"/>
        <v>88.796425879575736</v>
      </c>
      <c r="P39" s="343">
        <f t="shared" ca="1" si="13"/>
        <v>3.4370153299617447</v>
      </c>
      <c r="Q39" s="361">
        <f t="shared" ca="1" si="14"/>
        <v>3.4370153299617447</v>
      </c>
      <c r="R39" s="363">
        <f t="shared" ca="1" si="15"/>
        <v>3.1120153299617446</v>
      </c>
      <c r="S39" s="364">
        <f t="shared" si="16"/>
        <v>1.7333333333333334</v>
      </c>
      <c r="T39" s="365">
        <f t="shared" ca="1" si="17"/>
        <v>93.5</v>
      </c>
      <c r="U39" s="366">
        <f t="shared" ca="1" si="18"/>
        <v>0</v>
      </c>
      <c r="V39" s="344">
        <f t="shared" si="19"/>
        <v>4.4510999999999995E-2</v>
      </c>
      <c r="W39" s="344">
        <f t="shared" si="20"/>
        <v>1.6258767777777777E-2</v>
      </c>
      <c r="X39" s="344">
        <f t="shared" ca="1" si="43"/>
        <v>0.28149469862765975</v>
      </c>
      <c r="Y39" s="344">
        <f t="shared" ca="1" si="44"/>
        <v>1.9569150171976329E-2</v>
      </c>
      <c r="Z39" s="344">
        <f t="shared" si="21"/>
        <v>1.5600000000000001E-2</v>
      </c>
      <c r="AA39" s="344">
        <f t="shared" si="22"/>
        <v>3.2480999999999996E-2</v>
      </c>
      <c r="AB39" s="344">
        <f t="shared" ca="1" si="45"/>
        <v>0.40991461657741385</v>
      </c>
      <c r="AC39" s="367">
        <f t="shared" ca="1" si="23"/>
        <v>38.937096963632072</v>
      </c>
      <c r="AD39" s="367">
        <f t="shared" ca="1" si="24"/>
        <v>100.20616269218657</v>
      </c>
      <c r="AE39" s="367">
        <f t="shared" ca="1" si="25"/>
        <v>81.417507187401583</v>
      </c>
      <c r="AF39" s="344">
        <f t="shared" ca="1" si="26"/>
        <v>3.5767710014772911</v>
      </c>
      <c r="AG39" s="366">
        <f t="shared" ca="1" si="27"/>
        <v>3.5767710014772911</v>
      </c>
      <c r="AH39" s="368">
        <f t="shared" ca="1" si="28"/>
        <v>3.3601043348106243</v>
      </c>
      <c r="AI39" s="369">
        <f t="shared" si="29"/>
        <v>0.8666666666666667</v>
      </c>
      <c r="AJ39" s="370">
        <f t="shared" ca="1" si="30"/>
        <v>93.5</v>
      </c>
      <c r="AK39" s="371">
        <f t="shared" ca="1" si="31"/>
        <v>0</v>
      </c>
      <c r="AL39" s="345">
        <f t="shared" si="32"/>
        <v>4.4510999999999995E-2</v>
      </c>
      <c r="AM39" s="345">
        <f t="shared" si="33"/>
        <v>8.1293838888888883E-3</v>
      </c>
      <c r="AN39" s="345">
        <f t="shared" ca="1" si="46"/>
        <v>6.6923285422128498E-2</v>
      </c>
      <c r="AO39" s="345">
        <f t="shared" ca="1" si="47"/>
        <v>4.6524209116987694E-3</v>
      </c>
      <c r="AP39" s="345">
        <f t="shared" si="34"/>
        <v>7.8000000000000005E-3</v>
      </c>
      <c r="AQ39" s="345">
        <f t="shared" si="35"/>
        <v>3.2480999999999996E-2</v>
      </c>
      <c r="AR39" s="345">
        <f t="shared" ca="1" si="48"/>
        <v>0.16449709022271614</v>
      </c>
      <c r="AS39" s="372">
        <f t="shared" ca="1" si="36"/>
        <v>30.592901067572349</v>
      </c>
      <c r="AT39" s="372">
        <f t="shared" ca="1" si="37"/>
        <v>95.293100148586603</v>
      </c>
      <c r="AU39" s="372">
        <f t="shared" ca="1" si="38"/>
        <v>77.425643870726617</v>
      </c>
      <c r="AV39" s="345">
        <f t="shared" ca="1" si="39"/>
        <v>3.6973535696432651</v>
      </c>
      <c r="AW39" s="371">
        <f t="shared" ca="1" si="40"/>
        <v>3.6973535696432651</v>
      </c>
      <c r="AX39" s="373">
        <f t="shared" ca="1" si="41"/>
        <v>3.5890202363099317</v>
      </c>
    </row>
    <row r="40" spans="1:50" s="340" customFormat="1" ht="12.75" customHeight="1">
      <c r="A40" s="341">
        <v>25</v>
      </c>
      <c r="B40" s="342">
        <f t="shared" si="0"/>
        <v>3.7749999999999995</v>
      </c>
      <c r="C40" s="359">
        <f t="shared" si="1"/>
        <v>2.6</v>
      </c>
      <c r="D40" s="360">
        <f t="shared" ca="1" si="2"/>
        <v>93.5</v>
      </c>
      <c r="E40" s="349">
        <f t="shared" ca="1" si="3"/>
        <v>0</v>
      </c>
      <c r="F40" s="343">
        <f t="shared" si="4"/>
        <v>4.1902499999999995E-2</v>
      </c>
      <c r="G40" s="343">
        <f t="shared" si="5"/>
        <v>2.1613447916666664E-2</v>
      </c>
      <c r="H40" s="343">
        <f t="shared" ca="1" si="6"/>
        <v>0.68969884089785849</v>
      </c>
      <c r="I40" s="343">
        <f t="shared" ca="1" si="7"/>
        <v>4.7946978244236112E-2</v>
      </c>
      <c r="J40" s="343">
        <f t="shared" si="8"/>
        <v>2.3399999999999997E-2</v>
      </c>
      <c r="K40" s="343">
        <f t="shared" si="9"/>
        <v>3.0577499999999997E-2</v>
      </c>
      <c r="L40" s="343">
        <f t="shared" ca="1" si="42"/>
        <v>0.85513926705876131</v>
      </c>
      <c r="M40" s="362">
        <f t="shared" ca="1" si="10"/>
        <v>54.074735079997886</v>
      </c>
      <c r="N40" s="362">
        <f t="shared" ca="1" si="11"/>
        <v>109.11920401510275</v>
      </c>
      <c r="O40" s="362">
        <f t="shared" ca="1" si="12"/>
        <v>88.659353262270997</v>
      </c>
      <c r="P40" s="343">
        <f t="shared" ca="1" si="13"/>
        <v>3.2141998501586002</v>
      </c>
      <c r="Q40" s="361">
        <f t="shared" ca="1" si="14"/>
        <v>3.2141998501586002</v>
      </c>
      <c r="R40" s="363">
        <f t="shared" ca="1" si="15"/>
        <v>2.8891998501586</v>
      </c>
      <c r="S40" s="364">
        <f t="shared" si="16"/>
        <v>1.7333333333333334</v>
      </c>
      <c r="T40" s="365">
        <f t="shared" ca="1" si="17"/>
        <v>93.5</v>
      </c>
      <c r="U40" s="366">
        <f t="shared" ca="1" si="18"/>
        <v>0</v>
      </c>
      <c r="V40" s="344">
        <f t="shared" si="19"/>
        <v>4.1902499999999995E-2</v>
      </c>
      <c r="W40" s="344">
        <f t="shared" si="20"/>
        <v>1.4408965277777776E-2</v>
      </c>
      <c r="X40" s="344">
        <f t="shared" ca="1" si="43"/>
        <v>0.28111403396683687</v>
      </c>
      <c r="Y40" s="344">
        <f t="shared" ca="1" si="44"/>
        <v>1.9542686853309496E-2</v>
      </c>
      <c r="Z40" s="344">
        <f t="shared" si="21"/>
        <v>1.5600000000000001E-2</v>
      </c>
      <c r="AA40" s="344">
        <f t="shared" si="22"/>
        <v>3.0577499999999997E-2</v>
      </c>
      <c r="AB40" s="344">
        <f t="shared" ca="1" si="45"/>
        <v>0.40314568609792412</v>
      </c>
      <c r="AC40" s="367">
        <f t="shared" ca="1" si="23"/>
        <v>38.706953327329416</v>
      </c>
      <c r="AD40" s="367">
        <f t="shared" ca="1" si="24"/>
        <v>100.07065411913156</v>
      </c>
      <c r="AE40" s="367">
        <f t="shared" ca="1" si="25"/>
        <v>81.307406471794394</v>
      </c>
      <c r="AF40" s="344">
        <f t="shared" ca="1" si="26"/>
        <v>3.3537536809896071</v>
      </c>
      <c r="AG40" s="366">
        <f t="shared" ca="1" si="27"/>
        <v>3.3537536809896071</v>
      </c>
      <c r="AH40" s="368">
        <f t="shared" ca="1" si="28"/>
        <v>3.1370870143229403</v>
      </c>
      <c r="AI40" s="369">
        <f t="shared" si="29"/>
        <v>0.8666666666666667</v>
      </c>
      <c r="AJ40" s="370">
        <f t="shared" ca="1" si="30"/>
        <v>93.5</v>
      </c>
      <c r="AK40" s="371">
        <f t="shared" ca="1" si="31"/>
        <v>0</v>
      </c>
      <c r="AL40" s="345">
        <f t="shared" si="32"/>
        <v>4.1902499999999995E-2</v>
      </c>
      <c r="AM40" s="345">
        <f t="shared" si="33"/>
        <v>7.2044826388888879E-3</v>
      </c>
      <c r="AN40" s="345">
        <f t="shared" ca="1" si="46"/>
        <v>6.6845679674520139E-2</v>
      </c>
      <c r="AO40" s="345">
        <f t="shared" ca="1" si="47"/>
        <v>4.6470258597259952E-3</v>
      </c>
      <c r="AP40" s="345">
        <f t="shared" si="34"/>
        <v>7.8000000000000005E-3</v>
      </c>
      <c r="AQ40" s="345">
        <f t="shared" si="35"/>
        <v>3.0577499999999997E-2</v>
      </c>
      <c r="AR40" s="345">
        <f t="shared" ca="1" si="48"/>
        <v>0.15897718817313503</v>
      </c>
      <c r="AS40" s="372">
        <f t="shared" ca="1" si="36"/>
        <v>30.405224397886592</v>
      </c>
      <c r="AT40" s="372">
        <f t="shared" ca="1" si="37"/>
        <v>95.182596125475627</v>
      </c>
      <c r="AU40" s="372">
        <f t="shared" ca="1" si="38"/>
        <v>77.33585935194894</v>
      </c>
      <c r="AV40" s="345">
        <f t="shared" ca="1" si="39"/>
        <v>3.4741984419514402</v>
      </c>
      <c r="AW40" s="371">
        <f t="shared" ca="1" si="40"/>
        <v>3.4741984419514402</v>
      </c>
      <c r="AX40" s="373">
        <f t="shared" ca="1" si="41"/>
        <v>3.3658651086181068</v>
      </c>
    </row>
    <row r="41" spans="1:50" s="340" customFormat="1" ht="12.75" customHeight="1">
      <c r="A41" s="341">
        <v>25</v>
      </c>
      <c r="B41" s="342">
        <f t="shared" si="0"/>
        <v>3.5399999999999996</v>
      </c>
      <c r="C41" s="359">
        <f t="shared" si="1"/>
        <v>2.6</v>
      </c>
      <c r="D41" s="360">
        <f t="shared" ca="1" si="2"/>
        <v>93.5</v>
      </c>
      <c r="E41" s="349">
        <f t="shared" ca="1" si="3"/>
        <v>0</v>
      </c>
      <c r="F41" s="343">
        <f t="shared" si="4"/>
        <v>3.9293999999999996E-2</v>
      </c>
      <c r="G41" s="343">
        <f t="shared" si="5"/>
        <v>1.9006259999999997E-2</v>
      </c>
      <c r="H41" s="343">
        <f t="shared" ca="1" si="6"/>
        <v>0.68865703937938494</v>
      </c>
      <c r="I41" s="343">
        <f t="shared" ca="1" si="7"/>
        <v>4.7874553539743306E-2</v>
      </c>
      <c r="J41" s="343">
        <f t="shared" si="8"/>
        <v>2.3399999999999997E-2</v>
      </c>
      <c r="K41" s="343">
        <f t="shared" si="9"/>
        <v>2.8673999999999995E-2</v>
      </c>
      <c r="L41" s="343">
        <f t="shared" ca="1" si="42"/>
        <v>0.84690585291912823</v>
      </c>
      <c r="M41" s="362">
        <f t="shared" ca="1" si="10"/>
        <v>53.794798999250361</v>
      </c>
      <c r="N41" s="362">
        <f t="shared" ca="1" si="11"/>
        <v>108.95437765075862</v>
      </c>
      <c r="O41" s="362">
        <f t="shared" ca="1" si="12"/>
        <v>88.525431841241371</v>
      </c>
      <c r="P41" s="343">
        <f t="shared" ca="1" si="13"/>
        <v>2.991374381063264</v>
      </c>
      <c r="Q41" s="361">
        <f t="shared" ca="1" si="14"/>
        <v>2.991374381063264</v>
      </c>
      <c r="R41" s="363">
        <f t="shared" ca="1" si="15"/>
        <v>2.6663743810632639</v>
      </c>
      <c r="S41" s="364">
        <f t="shared" si="16"/>
        <v>1.7333333333333334</v>
      </c>
      <c r="T41" s="365">
        <f t="shared" ca="1" si="17"/>
        <v>93.5</v>
      </c>
      <c r="U41" s="366">
        <f t="shared" ca="1" si="18"/>
        <v>0</v>
      </c>
      <c r="V41" s="344">
        <f t="shared" si="19"/>
        <v>3.9293999999999996E-2</v>
      </c>
      <c r="W41" s="344">
        <f t="shared" si="20"/>
        <v>1.2670839999999999E-2</v>
      </c>
      <c r="X41" s="344">
        <f t="shared" ca="1" si="43"/>
        <v>0.28074005162158716</v>
      </c>
      <c r="Y41" s="344">
        <f t="shared" ca="1" si="44"/>
        <v>1.9516688080645082E-2</v>
      </c>
      <c r="Z41" s="344">
        <f t="shared" si="21"/>
        <v>1.5600000000000001E-2</v>
      </c>
      <c r="AA41" s="344">
        <f t="shared" si="22"/>
        <v>2.8673999999999995E-2</v>
      </c>
      <c r="AB41" s="344">
        <f t="shared" ca="1" si="45"/>
        <v>0.39649557970223226</v>
      </c>
      <c r="AC41" s="367">
        <f t="shared" ca="1" si="23"/>
        <v>38.480849709875898</v>
      </c>
      <c r="AD41" s="367">
        <f t="shared" ca="1" si="24"/>
        <v>99.937524309174933</v>
      </c>
      <c r="AE41" s="367">
        <f t="shared" ca="1" si="25"/>
        <v>81.199238501204633</v>
      </c>
      <c r="AF41" s="344">
        <f t="shared" ca="1" si="26"/>
        <v>3.1307322759674534</v>
      </c>
      <c r="AG41" s="366">
        <f t="shared" ca="1" si="27"/>
        <v>3.1307322759674534</v>
      </c>
      <c r="AH41" s="368">
        <f t="shared" ca="1" si="28"/>
        <v>2.9140656093007866</v>
      </c>
      <c r="AI41" s="369">
        <f t="shared" si="29"/>
        <v>0.8666666666666667</v>
      </c>
      <c r="AJ41" s="370">
        <f t="shared" ca="1" si="30"/>
        <v>93.5</v>
      </c>
      <c r="AK41" s="371">
        <f t="shared" ca="1" si="31"/>
        <v>0</v>
      </c>
      <c r="AL41" s="345">
        <f t="shared" si="32"/>
        <v>3.9293999999999996E-2</v>
      </c>
      <c r="AM41" s="345">
        <f t="shared" si="33"/>
        <v>6.3354199999999996E-3</v>
      </c>
      <c r="AN41" s="345">
        <f t="shared" ca="1" si="46"/>
        <v>6.6768870961281437E-2</v>
      </c>
      <c r="AO41" s="345">
        <f t="shared" ca="1" si="47"/>
        <v>4.6416862165596677E-3</v>
      </c>
      <c r="AP41" s="345">
        <f t="shared" si="34"/>
        <v>7.8000000000000005E-3</v>
      </c>
      <c r="AQ41" s="345">
        <f t="shared" si="35"/>
        <v>2.8673999999999995E-2</v>
      </c>
      <c r="AR41" s="345">
        <f t="shared" ca="1" si="48"/>
        <v>0.1535139771778411</v>
      </c>
      <c r="AS41" s="372">
        <f t="shared" ca="1" si="36"/>
        <v>30.219475224046597</v>
      </c>
      <c r="AT41" s="372">
        <f t="shared" ca="1" si="37"/>
        <v>95.073227011918632</v>
      </c>
      <c r="AU41" s="372">
        <f t="shared" ca="1" si="38"/>
        <v>77.246996947183888</v>
      </c>
      <c r="AV41" s="345">
        <f t="shared" ca="1" si="39"/>
        <v>3.251042339892475</v>
      </c>
      <c r="AW41" s="371">
        <f t="shared" ca="1" si="40"/>
        <v>3.251042339892475</v>
      </c>
      <c r="AX41" s="373">
        <f t="shared" ca="1" si="41"/>
        <v>3.1427090065591416</v>
      </c>
    </row>
    <row r="42" spans="1:50" s="340" customFormat="1" ht="12.75" customHeight="1">
      <c r="A42" s="341">
        <v>25</v>
      </c>
      <c r="B42" s="342">
        <f t="shared" si="0"/>
        <v>3.3049999999999997</v>
      </c>
      <c r="C42" s="359">
        <f t="shared" si="1"/>
        <v>2.6</v>
      </c>
      <c r="D42" s="360">
        <f t="shared" ca="1" si="2"/>
        <v>93.5</v>
      </c>
      <c r="E42" s="349">
        <f t="shared" ca="1" si="3"/>
        <v>0</v>
      </c>
      <c r="F42" s="343">
        <f t="shared" si="4"/>
        <v>3.6685499999999996E-2</v>
      </c>
      <c r="G42" s="343">
        <f t="shared" si="5"/>
        <v>1.6566587916666663E-2</v>
      </c>
      <c r="H42" s="343">
        <f t="shared" ca="1" si="6"/>
        <v>0.68763975164697488</v>
      </c>
      <c r="I42" s="343">
        <f t="shared" ca="1" si="7"/>
        <v>4.7803833002196081E-2</v>
      </c>
      <c r="J42" s="343">
        <f t="shared" si="8"/>
        <v>2.3399999999999997E-2</v>
      </c>
      <c r="K42" s="343">
        <f t="shared" si="9"/>
        <v>2.6770499999999999E-2</v>
      </c>
      <c r="L42" s="343">
        <f t="shared" ca="1" si="42"/>
        <v>0.83886617256583762</v>
      </c>
      <c r="M42" s="362">
        <f t="shared" ca="1" si="10"/>
        <v>53.521449867238481</v>
      </c>
      <c r="N42" s="362">
        <f t="shared" ca="1" si="11"/>
        <v>108.79342968183002</v>
      </c>
      <c r="O42" s="362">
        <f t="shared" ca="1" si="12"/>
        <v>88.394661616486886</v>
      </c>
      <c r="P42" s="343">
        <f t="shared" ca="1" si="13"/>
        <v>2.7685389226757362</v>
      </c>
      <c r="Q42" s="361">
        <f t="shared" ca="1" si="14"/>
        <v>2.7685389226757362</v>
      </c>
      <c r="R42" s="363">
        <f t="shared" ca="1" si="15"/>
        <v>2.443538922675736</v>
      </c>
      <c r="S42" s="364">
        <f t="shared" si="16"/>
        <v>1.7333333333333334</v>
      </c>
      <c r="T42" s="365">
        <f t="shared" ca="1" si="17"/>
        <v>93.5</v>
      </c>
      <c r="U42" s="366">
        <f t="shared" ca="1" si="18"/>
        <v>0</v>
      </c>
      <c r="V42" s="344">
        <f t="shared" si="19"/>
        <v>3.6685499999999996E-2</v>
      </c>
      <c r="W42" s="344">
        <f t="shared" si="20"/>
        <v>1.1044391944444442E-2</v>
      </c>
      <c r="X42" s="344">
        <f t="shared" ca="1" si="43"/>
        <v>0.2803727515919105</v>
      </c>
      <c r="Y42" s="344">
        <f t="shared" ca="1" si="44"/>
        <v>1.9491153853983069E-2</v>
      </c>
      <c r="Z42" s="344">
        <f t="shared" si="21"/>
        <v>1.5600000000000001E-2</v>
      </c>
      <c r="AA42" s="344">
        <f t="shared" si="22"/>
        <v>2.6770499999999999E-2</v>
      </c>
      <c r="AB42" s="344">
        <f t="shared" ca="1" si="45"/>
        <v>0.389964297390338</v>
      </c>
      <c r="AC42" s="367">
        <f t="shared" ca="1" si="23"/>
        <v>38.25878611127149</v>
      </c>
      <c r="AD42" s="367">
        <f t="shared" ca="1" si="24"/>
        <v>99.806773262316653</v>
      </c>
      <c r="AE42" s="367">
        <f t="shared" ca="1" si="25"/>
        <v>81.093003275632284</v>
      </c>
      <c r="AF42" s="344">
        <f t="shared" ca="1" si="26"/>
        <v>2.9077067864108299</v>
      </c>
      <c r="AG42" s="366">
        <f t="shared" ca="1" si="27"/>
        <v>2.9077067864108299</v>
      </c>
      <c r="AH42" s="368">
        <f t="shared" ca="1" si="28"/>
        <v>2.6910401197441631</v>
      </c>
      <c r="AI42" s="369">
        <f t="shared" si="29"/>
        <v>0.8666666666666667</v>
      </c>
      <c r="AJ42" s="370">
        <f t="shared" ca="1" si="30"/>
        <v>93.5</v>
      </c>
      <c r="AK42" s="371">
        <f t="shared" ca="1" si="31"/>
        <v>0</v>
      </c>
      <c r="AL42" s="345">
        <f t="shared" si="32"/>
        <v>3.6685499999999996E-2</v>
      </c>
      <c r="AM42" s="345">
        <f t="shared" si="33"/>
        <v>5.5221959722222208E-3</v>
      </c>
      <c r="AN42" s="345">
        <f t="shared" ca="1" si="46"/>
        <v>6.6692859282412406E-2</v>
      </c>
      <c r="AO42" s="345">
        <f t="shared" ca="1" si="47"/>
        <v>4.6364019821997886E-3</v>
      </c>
      <c r="AP42" s="345">
        <f t="shared" si="34"/>
        <v>7.8000000000000005E-3</v>
      </c>
      <c r="AQ42" s="345">
        <f t="shared" si="35"/>
        <v>2.6770499999999999E-2</v>
      </c>
      <c r="AR42" s="345">
        <f t="shared" ca="1" si="48"/>
        <v>0.14810745723683441</v>
      </c>
      <c r="AS42" s="372">
        <f t="shared" ca="1" si="36"/>
        <v>30.035653546052369</v>
      </c>
      <c r="AT42" s="372">
        <f t="shared" ca="1" si="37"/>
        <v>94.964992807915635</v>
      </c>
      <c r="AU42" s="372">
        <f t="shared" ca="1" si="38"/>
        <v>77.15905665643146</v>
      </c>
      <c r="AV42" s="345">
        <f t="shared" ca="1" si="39"/>
        <v>3.0278852634663704</v>
      </c>
      <c r="AW42" s="371">
        <f t="shared" ca="1" si="40"/>
        <v>3.0278852634663704</v>
      </c>
      <c r="AX42" s="373">
        <f t="shared" ca="1" si="41"/>
        <v>2.919551930133037</v>
      </c>
    </row>
    <row r="43" spans="1:50" s="340" customFormat="1" ht="12.75" customHeight="1">
      <c r="A43" s="341">
        <v>25</v>
      </c>
      <c r="B43" s="342">
        <f t="shared" si="0"/>
        <v>3.07</v>
      </c>
      <c r="C43" s="359">
        <f t="shared" si="1"/>
        <v>2.6</v>
      </c>
      <c r="D43" s="360">
        <f t="shared" ca="1" si="2"/>
        <v>93.5</v>
      </c>
      <c r="E43" s="349">
        <f t="shared" ca="1" si="3"/>
        <v>0</v>
      </c>
      <c r="F43" s="343">
        <f t="shared" si="4"/>
        <v>3.4076999999999996E-2</v>
      </c>
      <c r="G43" s="343">
        <f t="shared" si="5"/>
        <v>1.4294431666666666E-2</v>
      </c>
      <c r="H43" s="343">
        <f t="shared" ca="1" si="6"/>
        <v>0.68664697770062832</v>
      </c>
      <c r="I43" s="343">
        <f t="shared" ca="1" si="7"/>
        <v>4.7734816631594443E-2</v>
      </c>
      <c r="J43" s="343">
        <f t="shared" si="8"/>
        <v>2.3399999999999997E-2</v>
      </c>
      <c r="K43" s="343">
        <f t="shared" si="9"/>
        <v>2.4866999999999997E-2</v>
      </c>
      <c r="L43" s="343">
        <f t="shared" ca="1" si="42"/>
        <v>0.83102022599888936</v>
      </c>
      <c r="M43" s="362">
        <f t="shared" ca="1" si="10"/>
        <v>53.254687683962239</v>
      </c>
      <c r="N43" s="362">
        <f t="shared" ca="1" si="11"/>
        <v>108.63636010831696</v>
      </c>
      <c r="O43" s="362">
        <f t="shared" ca="1" si="12"/>
        <v>88.267042588007541</v>
      </c>
      <c r="P43" s="343">
        <f t="shared" ca="1" si="13"/>
        <v>2.5456934749960158</v>
      </c>
      <c r="Q43" s="361">
        <f t="shared" ca="1" si="14"/>
        <v>2.5456934749960158</v>
      </c>
      <c r="R43" s="363">
        <f t="shared" ca="1" si="15"/>
        <v>2.2206934749960157</v>
      </c>
      <c r="S43" s="364">
        <f t="shared" si="16"/>
        <v>1.7333333333333334</v>
      </c>
      <c r="T43" s="365">
        <f t="shared" ca="1" si="17"/>
        <v>93.5</v>
      </c>
      <c r="U43" s="366">
        <f t="shared" ca="1" si="18"/>
        <v>0</v>
      </c>
      <c r="V43" s="344">
        <f t="shared" si="19"/>
        <v>3.4076999999999996E-2</v>
      </c>
      <c r="W43" s="344">
        <f t="shared" si="20"/>
        <v>9.5296211111111119E-3</v>
      </c>
      <c r="X43" s="344">
        <f t="shared" ca="1" si="43"/>
        <v>0.28001213387780705</v>
      </c>
      <c r="Y43" s="344">
        <f t="shared" ca="1" si="44"/>
        <v>1.9466084173323465E-2</v>
      </c>
      <c r="Z43" s="344">
        <f t="shared" si="21"/>
        <v>1.5600000000000001E-2</v>
      </c>
      <c r="AA43" s="344">
        <f t="shared" si="22"/>
        <v>2.4866999999999997E-2</v>
      </c>
      <c r="AB43" s="344">
        <f t="shared" ca="1" si="45"/>
        <v>0.38355183916224156</v>
      </c>
      <c r="AC43" s="367">
        <f t="shared" ca="1" si="23"/>
        <v>38.040762531516215</v>
      </c>
      <c r="AD43" s="367">
        <f t="shared" ca="1" si="24"/>
        <v>99.678400978556752</v>
      </c>
      <c r="AE43" s="367">
        <f t="shared" ca="1" si="25"/>
        <v>80.988700795077364</v>
      </c>
      <c r="AF43" s="344">
        <f t="shared" ca="1" si="26"/>
        <v>2.6846772123197362</v>
      </c>
      <c r="AG43" s="366">
        <f t="shared" ca="1" si="27"/>
        <v>2.6846772123197362</v>
      </c>
      <c r="AH43" s="368">
        <f t="shared" ca="1" si="28"/>
        <v>2.4680105456530694</v>
      </c>
      <c r="AI43" s="369">
        <f t="shared" si="29"/>
        <v>0.8666666666666667</v>
      </c>
      <c r="AJ43" s="370">
        <f t="shared" ca="1" si="30"/>
        <v>93.5</v>
      </c>
      <c r="AK43" s="371">
        <f t="shared" ca="1" si="31"/>
        <v>0</v>
      </c>
      <c r="AL43" s="345">
        <f t="shared" si="32"/>
        <v>3.4076999999999996E-2</v>
      </c>
      <c r="AM43" s="345">
        <f t="shared" si="33"/>
        <v>4.764810555555556E-3</v>
      </c>
      <c r="AN43" s="345">
        <f t="shared" ca="1" si="46"/>
        <v>6.6617644637913018E-2</v>
      </c>
      <c r="AO43" s="345">
        <f t="shared" ca="1" si="47"/>
        <v>4.6311731566463562E-3</v>
      </c>
      <c r="AP43" s="345">
        <f t="shared" si="34"/>
        <v>7.8000000000000005E-3</v>
      </c>
      <c r="AQ43" s="345">
        <f t="shared" si="35"/>
        <v>2.4866999999999997E-2</v>
      </c>
      <c r="AR43" s="345">
        <f t="shared" ca="1" si="48"/>
        <v>0.14275762835011491</v>
      </c>
      <c r="AS43" s="372">
        <f t="shared" ca="1" si="36"/>
        <v>29.853759363903908</v>
      </c>
      <c r="AT43" s="372">
        <f t="shared" ca="1" si="37"/>
        <v>94.857893513466621</v>
      </c>
      <c r="AU43" s="372">
        <f t="shared" ca="1" si="38"/>
        <v>77.072038479691628</v>
      </c>
      <c r="AV43" s="345">
        <f t="shared" ca="1" si="39"/>
        <v>2.8047272126731251</v>
      </c>
      <c r="AW43" s="371">
        <f t="shared" ca="1" si="40"/>
        <v>2.8047272126731251</v>
      </c>
      <c r="AX43" s="373">
        <f t="shared" ca="1" si="41"/>
        <v>2.6963938793397917</v>
      </c>
    </row>
    <row r="44" spans="1:50" s="340" customFormat="1" ht="12.75" customHeight="1">
      <c r="A44" s="341">
        <v>25</v>
      </c>
      <c r="B44" s="342">
        <f t="shared" si="0"/>
        <v>2.835</v>
      </c>
      <c r="C44" s="359">
        <f t="shared" si="1"/>
        <v>2.6</v>
      </c>
      <c r="D44" s="360">
        <f t="shared" ca="1" si="2"/>
        <v>93.5</v>
      </c>
      <c r="E44" s="349">
        <f t="shared" ca="1" si="3"/>
        <v>0</v>
      </c>
      <c r="F44" s="343">
        <f t="shared" si="4"/>
        <v>3.1468499999999996E-2</v>
      </c>
      <c r="G44" s="343">
        <f t="shared" si="5"/>
        <v>1.218979125E-2</v>
      </c>
      <c r="H44" s="343">
        <f t="shared" ca="1" si="6"/>
        <v>0.68567871754034526</v>
      </c>
      <c r="I44" s="343">
        <f t="shared" ca="1" si="7"/>
        <v>4.7667504427938399E-2</v>
      </c>
      <c r="J44" s="343">
        <f t="shared" si="8"/>
        <v>2.3399999999999997E-2</v>
      </c>
      <c r="K44" s="343">
        <f t="shared" si="9"/>
        <v>2.2963499999999998E-2</v>
      </c>
      <c r="L44" s="343">
        <f t="shared" ca="1" si="42"/>
        <v>0.82336801321828368</v>
      </c>
      <c r="M44" s="362">
        <f t="shared" ca="1" si="10"/>
        <v>52.994512449421649</v>
      </c>
      <c r="N44" s="362">
        <f t="shared" ca="1" si="11"/>
        <v>108.48316893021946</v>
      </c>
      <c r="O44" s="362">
        <f t="shared" ca="1" si="12"/>
        <v>88.142574755803324</v>
      </c>
      <c r="P44" s="343">
        <f t="shared" ca="1" si="13"/>
        <v>2.3228380380241034</v>
      </c>
      <c r="Q44" s="361">
        <f t="shared" ca="1" si="14"/>
        <v>2.3228380380241034</v>
      </c>
      <c r="R44" s="363">
        <f t="shared" ca="1" si="15"/>
        <v>1.9978380380241034</v>
      </c>
      <c r="S44" s="364">
        <f t="shared" si="16"/>
        <v>1.7333333333333334</v>
      </c>
      <c r="T44" s="365">
        <f t="shared" ca="1" si="17"/>
        <v>93.5</v>
      </c>
      <c r="U44" s="366">
        <f t="shared" ca="1" si="18"/>
        <v>0</v>
      </c>
      <c r="V44" s="344">
        <f t="shared" si="19"/>
        <v>3.1468499999999996E-2</v>
      </c>
      <c r="W44" s="344">
        <f t="shared" si="20"/>
        <v>8.1265274999999994E-3</v>
      </c>
      <c r="X44" s="344">
        <f t="shared" ca="1" si="43"/>
        <v>0.2796581984792767</v>
      </c>
      <c r="Y44" s="344">
        <f t="shared" ca="1" si="44"/>
        <v>1.9441479038666273E-2</v>
      </c>
      <c r="Z44" s="344">
        <f t="shared" si="21"/>
        <v>1.5600000000000001E-2</v>
      </c>
      <c r="AA44" s="344">
        <f t="shared" si="22"/>
        <v>2.2963499999999998E-2</v>
      </c>
      <c r="AB44" s="344">
        <f t="shared" ca="1" si="45"/>
        <v>0.37725820501794294</v>
      </c>
      <c r="AC44" s="367">
        <f t="shared" ca="1" si="23"/>
        <v>37.826778970610064</v>
      </c>
      <c r="AD44" s="367">
        <f t="shared" ca="1" si="24"/>
        <v>99.5524074578952</v>
      </c>
      <c r="AE44" s="367">
        <f t="shared" ca="1" si="25"/>
        <v>80.886331059539856</v>
      </c>
      <c r="AF44" s="344">
        <f t="shared" ca="1" si="26"/>
        <v>2.4616435536941723</v>
      </c>
      <c r="AG44" s="366">
        <f t="shared" ca="1" si="27"/>
        <v>2.4616435536941723</v>
      </c>
      <c r="AH44" s="368">
        <f t="shared" ca="1" si="28"/>
        <v>2.2449768870275055</v>
      </c>
      <c r="AI44" s="369">
        <f t="shared" si="29"/>
        <v>0.8666666666666667</v>
      </c>
      <c r="AJ44" s="370">
        <f t="shared" ca="1" si="30"/>
        <v>93.5</v>
      </c>
      <c r="AK44" s="371">
        <f t="shared" ca="1" si="31"/>
        <v>0</v>
      </c>
      <c r="AL44" s="345">
        <f t="shared" si="32"/>
        <v>3.1468499999999996E-2</v>
      </c>
      <c r="AM44" s="345">
        <f t="shared" si="33"/>
        <v>4.0632637499999997E-3</v>
      </c>
      <c r="AN44" s="345">
        <f t="shared" ca="1" si="46"/>
        <v>6.6543227027783286E-2</v>
      </c>
      <c r="AO44" s="345">
        <f t="shared" ca="1" si="47"/>
        <v>4.6259997398993696E-3</v>
      </c>
      <c r="AP44" s="345">
        <f t="shared" si="34"/>
        <v>7.8000000000000005E-3</v>
      </c>
      <c r="AQ44" s="345">
        <f t="shared" si="35"/>
        <v>2.2963499999999998E-2</v>
      </c>
      <c r="AR44" s="345">
        <f t="shared" ca="1" si="48"/>
        <v>0.13746449051768267</v>
      </c>
      <c r="AS44" s="372">
        <f t="shared" ca="1" si="36"/>
        <v>29.67379267760121</v>
      </c>
      <c r="AT44" s="372">
        <f t="shared" ca="1" si="37"/>
        <v>94.751929128571589</v>
      </c>
      <c r="AU44" s="372">
        <f t="shared" ca="1" si="38"/>
        <v>76.98594241696442</v>
      </c>
      <c r="AV44" s="345">
        <f t="shared" ca="1" si="39"/>
        <v>2.5815681875127412</v>
      </c>
      <c r="AW44" s="371">
        <f t="shared" ca="1" si="40"/>
        <v>2.5815681875127412</v>
      </c>
      <c r="AX44" s="373">
        <f t="shared" ca="1" si="41"/>
        <v>2.4732348541794078</v>
      </c>
    </row>
    <row r="45" spans="1:50" s="130" customFormat="1" ht="12.75" customHeight="1" thickBot="1">
      <c r="A45" s="131">
        <v>25</v>
      </c>
      <c r="B45" s="132">
        <f>Constants!$C$7</f>
        <v>2.6</v>
      </c>
      <c r="C45" s="317">
        <f t="shared" si="1"/>
        <v>2.6</v>
      </c>
      <c r="D45" s="360">
        <f t="shared" ca="1" si="2"/>
        <v>93.5</v>
      </c>
      <c r="E45" s="349">
        <f t="shared" ca="1" si="3"/>
        <v>0</v>
      </c>
      <c r="F45" s="158">
        <f t="shared" si="4"/>
        <v>2.886E-2</v>
      </c>
      <c r="G45" s="158">
        <f t="shared" si="5"/>
        <v>1.0252666666666667E-2</v>
      </c>
      <c r="H45" s="160">
        <f t="shared" ca="1" si="6"/>
        <v>0.68473497116612569</v>
      </c>
      <c r="I45" s="160">
        <f t="shared" ca="1" si="7"/>
        <v>4.7601896391227944E-2</v>
      </c>
      <c r="J45" s="158">
        <f t="shared" si="8"/>
        <v>2.3399999999999997E-2</v>
      </c>
      <c r="K45" s="158">
        <f t="shared" si="9"/>
        <v>2.1060000000000002E-2</v>
      </c>
      <c r="L45" s="160">
        <f t="shared" ca="1" si="42"/>
        <v>0.81590953422402024</v>
      </c>
      <c r="M45" s="159">
        <f t="shared" ca="1" si="10"/>
        <v>52.74092416361669</v>
      </c>
      <c r="N45" s="159">
        <f t="shared" ca="1" si="11"/>
        <v>108.3338561475375</v>
      </c>
      <c r="O45" s="159">
        <f t="shared" ca="1" si="12"/>
        <v>88.021258119874233</v>
      </c>
      <c r="P45" s="160">
        <f t="shared" ca="1" si="13"/>
        <v>2.0999726117599984</v>
      </c>
      <c r="Q45" s="361">
        <f t="shared" ca="1" si="14"/>
        <v>2.0999726117599984</v>
      </c>
      <c r="R45" s="363">
        <f t="shared" ca="1" si="15"/>
        <v>1.7749726117599984</v>
      </c>
      <c r="S45" s="318">
        <f t="shared" si="16"/>
        <v>1.7333333333333334</v>
      </c>
      <c r="T45" s="365">
        <f t="shared" ca="1" si="17"/>
        <v>93.5</v>
      </c>
      <c r="U45" s="366">
        <f t="shared" ca="1" si="18"/>
        <v>0</v>
      </c>
      <c r="V45" s="162">
        <f t="shared" si="19"/>
        <v>2.886E-2</v>
      </c>
      <c r="W45" s="162">
        <f t="shared" si="20"/>
        <v>6.8351111111111112E-3</v>
      </c>
      <c r="X45" s="164">
        <f t="shared" ca="1" si="43"/>
        <v>0.2793109453963194</v>
      </c>
      <c r="Y45" s="164">
        <f t="shared" ca="1" si="44"/>
        <v>1.9417338450011493E-2</v>
      </c>
      <c r="Z45" s="162">
        <f t="shared" si="21"/>
        <v>1.5600000000000001E-2</v>
      </c>
      <c r="AA45" s="162">
        <f t="shared" si="22"/>
        <v>2.1060000000000002E-2</v>
      </c>
      <c r="AB45" s="164">
        <f t="shared" ca="1" si="45"/>
        <v>0.37108339495744203</v>
      </c>
      <c r="AC45" s="163">
        <f t="shared" ca="1" si="23"/>
        <v>37.616835428553031</v>
      </c>
      <c r="AD45" s="163">
        <f t="shared" ca="1" si="24"/>
        <v>99.428792700332025</v>
      </c>
      <c r="AE45" s="163">
        <f t="shared" ca="1" si="25"/>
        <v>80.785894069019776</v>
      </c>
      <c r="AF45" s="162">
        <f t="shared" ca="1" si="26"/>
        <v>2.2386058105341382</v>
      </c>
      <c r="AG45" s="414">
        <f t="shared" ca="1" si="27"/>
        <v>2.2386058105341382</v>
      </c>
      <c r="AH45" s="368">
        <f t="shared" ca="1" si="28"/>
        <v>2.0219391438674714</v>
      </c>
      <c r="AI45" s="319">
        <f t="shared" si="29"/>
        <v>0.8666666666666667</v>
      </c>
      <c r="AJ45" s="370">
        <f t="shared" ca="1" si="30"/>
        <v>93.5</v>
      </c>
      <c r="AK45" s="371">
        <f t="shared" ca="1" si="31"/>
        <v>0</v>
      </c>
      <c r="AL45" s="166">
        <f t="shared" si="32"/>
        <v>2.886E-2</v>
      </c>
      <c r="AM45" s="166">
        <f t="shared" si="33"/>
        <v>3.4175555555555556E-3</v>
      </c>
      <c r="AN45" s="168">
        <f t="shared" ca="1" si="46"/>
        <v>6.6469606452023225E-2</v>
      </c>
      <c r="AO45" s="168">
        <f t="shared" ca="1" si="47"/>
        <v>4.6208817319588306E-3</v>
      </c>
      <c r="AP45" s="166">
        <f t="shared" si="34"/>
        <v>7.8000000000000005E-3</v>
      </c>
      <c r="AQ45" s="166">
        <f t="shared" si="35"/>
        <v>2.1060000000000002E-2</v>
      </c>
      <c r="AR45" s="168">
        <f t="shared" ca="1" si="48"/>
        <v>0.13222804373953762</v>
      </c>
      <c r="AS45" s="167">
        <f t="shared" ca="1" si="36"/>
        <v>29.495753487144277</v>
      </c>
      <c r="AT45" s="167">
        <f t="shared" ca="1" si="37"/>
        <v>94.647099653230555</v>
      </c>
      <c r="AU45" s="167">
        <f t="shared" ca="1" si="38"/>
        <v>76.900768468249822</v>
      </c>
      <c r="AV45" s="166">
        <f t="shared" ca="1" si="39"/>
        <v>2.3584081879852157</v>
      </c>
      <c r="AW45" s="371">
        <f t="shared" ca="1" si="40"/>
        <v>2.3584081879852157</v>
      </c>
      <c r="AX45" s="373">
        <f t="shared" ca="1" si="41"/>
        <v>2.2500748546518823</v>
      </c>
    </row>
    <row r="46" spans="1:50" s="190" customFormat="1" ht="18" customHeight="1">
      <c r="A46" s="198" t="s">
        <v>274</v>
      </c>
      <c r="B46" s="191"/>
      <c r="C46" s="192"/>
      <c r="D46" s="193"/>
      <c r="E46" s="194"/>
      <c r="F46" s="194"/>
      <c r="G46" s="194"/>
      <c r="H46" s="194"/>
      <c r="I46" s="194"/>
      <c r="J46" s="194"/>
      <c r="K46" s="194"/>
      <c r="L46" s="194"/>
      <c r="M46" s="193"/>
      <c r="N46" s="193"/>
      <c r="O46" s="193"/>
      <c r="P46" s="194"/>
      <c r="Q46" s="194"/>
      <c r="R46" s="195"/>
      <c r="S46" s="192"/>
      <c r="T46" s="192"/>
      <c r="U46" s="193"/>
      <c r="V46" s="194"/>
      <c r="W46" s="194"/>
      <c r="X46" s="194"/>
      <c r="Y46" s="194"/>
      <c r="Z46" s="194"/>
      <c r="AA46" s="194"/>
      <c r="AB46" s="194"/>
      <c r="AC46" s="194"/>
      <c r="AD46" s="193"/>
      <c r="AE46" s="193"/>
      <c r="AF46" s="194"/>
      <c r="AG46" s="194"/>
      <c r="AH46" s="195"/>
      <c r="AI46" s="192"/>
      <c r="AJ46" s="192"/>
      <c r="AK46" s="193"/>
      <c r="AL46" s="194"/>
      <c r="AM46" s="194"/>
      <c r="AN46" s="194"/>
      <c r="AO46" s="194"/>
      <c r="AP46" s="194"/>
      <c r="AQ46" s="194"/>
      <c r="AR46" s="194"/>
      <c r="AS46" s="194"/>
      <c r="AT46" s="193"/>
      <c r="AU46" s="193"/>
      <c r="AV46" s="194"/>
      <c r="AW46" s="194"/>
      <c r="AX46" s="195"/>
    </row>
    <row r="47" spans="1:50" s="190" customFormat="1" ht="18" customHeight="1">
      <c r="A47" s="225"/>
      <c r="B47" s="222"/>
      <c r="C47" s="236"/>
      <c r="D47" s="236"/>
      <c r="E47" s="236"/>
      <c r="F47" s="236"/>
      <c r="G47" s="236" t="s">
        <v>264</v>
      </c>
      <c r="H47" s="236" t="s">
        <v>264</v>
      </c>
      <c r="I47" s="236" t="s">
        <v>265</v>
      </c>
      <c r="J47" s="236"/>
      <c r="K47" s="236"/>
      <c r="L47" s="236"/>
      <c r="M47" s="236"/>
      <c r="N47" s="236" t="s">
        <v>264</v>
      </c>
      <c r="O47" s="236" t="s">
        <v>265</v>
      </c>
      <c r="P47" s="236"/>
      <c r="Q47" s="236"/>
      <c r="R47" s="236"/>
      <c r="S47" s="245"/>
      <c r="T47" s="236"/>
      <c r="U47" s="236"/>
      <c r="V47" s="236"/>
      <c r="W47" s="236" t="s">
        <v>264</v>
      </c>
      <c r="X47" s="236" t="s">
        <v>264</v>
      </c>
      <c r="Y47" s="236" t="s">
        <v>265</v>
      </c>
      <c r="Z47" s="236"/>
      <c r="AA47" s="236"/>
      <c r="AB47" s="236"/>
      <c r="AC47" s="236"/>
      <c r="AD47" s="236" t="s">
        <v>264</v>
      </c>
      <c r="AE47" s="236" t="s">
        <v>265</v>
      </c>
      <c r="AF47" s="236"/>
      <c r="AG47" s="236"/>
      <c r="AH47" s="236"/>
      <c r="AI47" s="244"/>
      <c r="AJ47" s="236"/>
      <c r="AK47" s="236"/>
      <c r="AL47" s="236"/>
      <c r="AM47" s="236" t="s">
        <v>264</v>
      </c>
      <c r="AN47" s="236" t="s">
        <v>264</v>
      </c>
      <c r="AO47" s="236" t="s">
        <v>265</v>
      </c>
      <c r="AP47" s="236"/>
      <c r="AQ47" s="236"/>
      <c r="AR47" s="236"/>
      <c r="AS47" s="236"/>
      <c r="AT47" s="236" t="s">
        <v>264</v>
      </c>
      <c r="AU47" s="236" t="s">
        <v>265</v>
      </c>
      <c r="AV47" s="236"/>
      <c r="AW47" s="236"/>
      <c r="AX47" s="236"/>
    </row>
    <row r="48" spans="1:50" ht="15.75" thickBot="1">
      <c r="A48" s="179" t="s">
        <v>198</v>
      </c>
      <c r="B48" s="196" t="s">
        <v>103</v>
      </c>
      <c r="C48" s="178" t="s">
        <v>93</v>
      </c>
      <c r="D48" s="169" t="s">
        <v>220</v>
      </c>
      <c r="E48" s="169" t="s">
        <v>221</v>
      </c>
      <c r="F48" s="169" t="s">
        <v>94</v>
      </c>
      <c r="G48" s="169" t="s">
        <v>271</v>
      </c>
      <c r="H48" s="169" t="s">
        <v>272</v>
      </c>
      <c r="I48" s="169" t="s">
        <v>272</v>
      </c>
      <c r="J48" s="169" t="s">
        <v>269</v>
      </c>
      <c r="K48" s="169" t="s">
        <v>263</v>
      </c>
      <c r="L48" s="169" t="s">
        <v>232</v>
      </c>
      <c r="M48" s="169" t="s">
        <v>254</v>
      </c>
      <c r="N48" s="169" t="s">
        <v>270</v>
      </c>
      <c r="O48" s="169" t="s">
        <v>270</v>
      </c>
      <c r="P48" s="169" t="s">
        <v>228</v>
      </c>
      <c r="Q48" s="178" t="s">
        <v>227</v>
      </c>
      <c r="R48" s="180" t="s">
        <v>327</v>
      </c>
      <c r="S48" s="178" t="s">
        <v>93</v>
      </c>
      <c r="T48" s="169" t="s">
        <v>220</v>
      </c>
      <c r="U48" s="169" t="s">
        <v>221</v>
      </c>
      <c r="V48" s="169" t="s">
        <v>94</v>
      </c>
      <c r="W48" s="169" t="s">
        <v>271</v>
      </c>
      <c r="X48" s="169" t="s">
        <v>272</v>
      </c>
      <c r="Y48" s="169" t="s">
        <v>272</v>
      </c>
      <c r="Z48" s="169" t="s">
        <v>269</v>
      </c>
      <c r="AA48" s="169" t="s">
        <v>263</v>
      </c>
      <c r="AB48" s="169" t="s">
        <v>232</v>
      </c>
      <c r="AC48" s="169" t="s">
        <v>254</v>
      </c>
      <c r="AD48" s="169" t="s">
        <v>270</v>
      </c>
      <c r="AE48" s="169" t="s">
        <v>270</v>
      </c>
      <c r="AF48" s="169" t="s">
        <v>228</v>
      </c>
      <c r="AG48" s="169" t="s">
        <v>227</v>
      </c>
      <c r="AH48" s="180" t="s">
        <v>327</v>
      </c>
      <c r="AI48" s="178" t="s">
        <v>93</v>
      </c>
      <c r="AJ48" s="169" t="s">
        <v>220</v>
      </c>
      <c r="AK48" s="169" t="s">
        <v>221</v>
      </c>
      <c r="AL48" s="169" t="s">
        <v>94</v>
      </c>
      <c r="AM48" s="169" t="s">
        <v>271</v>
      </c>
      <c r="AN48" s="169" t="s">
        <v>272</v>
      </c>
      <c r="AO48" s="169" t="s">
        <v>272</v>
      </c>
      <c r="AP48" s="169" t="s">
        <v>269</v>
      </c>
      <c r="AQ48" s="169" t="s">
        <v>263</v>
      </c>
      <c r="AR48" s="169" t="s">
        <v>232</v>
      </c>
      <c r="AS48" s="169" t="s">
        <v>254</v>
      </c>
      <c r="AT48" s="169" t="s">
        <v>270</v>
      </c>
      <c r="AU48" s="169" t="s">
        <v>270</v>
      </c>
      <c r="AV48" s="169" t="s">
        <v>228</v>
      </c>
      <c r="AW48" s="169" t="s">
        <v>326</v>
      </c>
      <c r="AX48" s="180" t="s">
        <v>227</v>
      </c>
    </row>
    <row r="49" spans="1:50" s="374" customFormat="1" ht="12.75" customHeight="1">
      <c r="A49" s="320">
        <f t="shared" ref="A49:A89" si="49">Tamb_max</f>
        <v>85</v>
      </c>
      <c r="B49" s="321">
        <f t="shared" ref="B49:B88" si="50">$B50+$AX$90</f>
        <v>11.999999999999995</v>
      </c>
      <c r="C49" s="322">
        <f t="shared" ref="C49:C89" si="51">Iout</f>
        <v>2.6</v>
      </c>
      <c r="D49" s="323">
        <f t="shared" ref="D49:D89" ca="1" si="52">IF( 100*((Vout_typ+C49*Rwire/1000)+C49*(IF(ISBLANK(DCRLo_Sel),DCR_Lo,DCRLo_Sel)/1000*(1+TCR_DCRLo/100*(M49-25))+O49/1000))/($B49-C49*N49/1000) &gt; ChosenmaxDuty_max, ChosenmaxDuty_max, 100*((Vout_typ+C49*Rwire/1000)+C49*(IF(ISBLANK(DCRLo_Sel),DCR_Lo,DCRLo_Sel)/1000*(1+TCR_DCRLo/100*(M49-25))+O49/1000))/($B49-C49*N49/1000) )</f>
        <v>49.915695151146821</v>
      </c>
      <c r="E49" s="415">
        <f t="shared" ref="E49:E89" ca="1" si="53">IF(($B49-C49*IF(ISBLANK(DCRLo_Sel),DCR_Lo,DCRLo_Sel)/1000*(1+TCR_DCRLo/100*(M49-25))-(Vout_typ+C49*Rwire/1000))/(IF(ISBLANK(Lo_sel),Lo_Ridley,Lo_sel)/1000000)*D49/100/(IF(ISBLANK(Fsw_Sel),Fsw_Recom,Fsw_Sel)*1000000)&lt;0, 0, ($B49-C49*IF(ISBLANK(DCRLo_Sel),DCR_Lo,DCRLo_Sel)/1000*(1+TCR_DCRLo/100*(M49-25))-(Vout_typ+C49*Rwire/1000))/(IF(ISBLANK(Lo_sel),Lo_Ridley,Lo_sel)/1000000)*D49/100/(IF(ISBLANK(Fsw_Sel),Fsw_Recom,Fsw_Sel)*1000000))</f>
        <v>0.65389902436375757</v>
      </c>
      <c r="F49" s="325">
        <f t="shared" ref="F49:F89" si="54">$B49*IQ/1000+IF(ISBLANK(Fsw_Sel),Fsw_Recom,Fsw_Sel)*1000000*(QgHS+QgLS)/1000000000*$B49</f>
        <v>0.13319999999999993</v>
      </c>
      <c r="G49" s="325">
        <f t="shared" ref="G49:G89" si="55">$B49*C49*($B49/(SR_rise*1000000000)*IF(ISBLANK(Fsw_Sel),Fsw_Recom,Fsw_Sel)*1000000/2+$B49/(SR_fall*1000000000)*IF(ISBLANK(Fsw_Sel),Fsw_Recom,Fsw_Sel)*1000000/2)</f>
        <v>0.21839999999999984</v>
      </c>
      <c r="H49" s="325">
        <f t="shared" ref="H49:H89" ca="1" si="56">IF($D$117,1,D49/100*(C49^2+E49^2/12)*N49/1000)</f>
        <v>0.5370328987493056</v>
      </c>
      <c r="I49" s="325">
        <f t="shared" ref="I49:I89" ca="1" si="57">IF($D$117,1,(1-D49/100)*(C49^2+E49^2/12)*N49/1000)</f>
        <v>0.5388469364871814</v>
      </c>
      <c r="J49" s="343">
        <f t="shared" ref="J49:J89" si="58">2*C49*tnonOverlap/1000000000*VSD_LS*IF(ISBLANK(Fsw_Sel),Fsw_Recom,Fsw_Sel)*1000000</f>
        <v>2.3399999999999997E-2</v>
      </c>
      <c r="K49" s="325">
        <f t="shared" ref="K49:K89" si="59">(QgHS+QgLS)/1000000000*$B49*IF(ISBLANK(Fsw_Sel),Fsw_Recom,Fsw_Sel)*1000000</f>
        <v>9.7199999999999953E-2</v>
      </c>
      <c r="L49" s="325">
        <f ca="1">SUM(F49:K49)</f>
        <v>1.5480798352364868</v>
      </c>
      <c r="M49" s="326">
        <f ca="1">L49*Rth_typ+$A49</f>
        <v>137.63471439804056</v>
      </c>
      <c r="N49" s="326">
        <f t="shared" ref="N49:N89" ca="1" si="60">RdsHS_max+RdsHS_max*TCR_Rds/100*(M49-25)</f>
        <v>158.3193198375663</v>
      </c>
      <c r="O49" s="326">
        <f t="shared" ref="O49:O89" ca="1" si="61">RdsLS_max+RdsLS_max*TCR_Rds/100*(M49-25)</f>
        <v>128.63444736802262</v>
      </c>
      <c r="P49" s="325">
        <f t="shared" ref="P49:P89" ca="1" si="62">(1-toffmin_typ/1000000000*Fsw_Sel*1000000) * ($B49+C49*O49/1000-C49*N49/1000) - (C49*O49/1000+C49*(1+($A49-25)*TCR_DCRLo/100)*IF(ISBLANK(DCRLo_Sel),DCR_Lo/1000,DCRLo_Sel/1000))</f>
        <v>10.879771001843363</v>
      </c>
      <c r="Q49" s="324">
        <f t="shared" ref="Q49:Q89" ca="1" si="63">IF(P49&gt;(Vout_typ+C49*Rwire/1000),(Vout_typ+C49*Rwire/1000),P49)</f>
        <v>5.3186842105263157</v>
      </c>
      <c r="R49" s="327">
        <f t="shared" ref="R49:R89" ca="1" si="64">IF(P49&gt;(Vout_typ+C49*Rwire/1000),Vout_typ,P49-C49*Rwire/1000)</f>
        <v>4.9936842105263155</v>
      </c>
      <c r="S49" s="328">
        <f t="shared" ref="S49:S89" si="65">2*Iout/3</f>
        <v>1.7333333333333334</v>
      </c>
      <c r="T49" s="329">
        <f t="shared" ref="T49:T89" ca="1" si="66">IF( 100*((Vout_typ+S49*Rwire/1000)+S49*(IF(ISBLANK(DCRLo_Sel),DCR_Lo,DCRLo_Sel)/1000*(1+TCR_DCRLo/100*(AC49-25))+AE49/1000))/($B49-S49*AD49/1000) &gt; ChosenmaxDuty_max, ChosenmaxDuty_max, 100*((Vout_typ+S49*Rwire/1000)+S49*(IF(ISBLANK(DCRLo_Sel),DCR_Lo,DCRLo_Sel)/1000*(1+TCR_DCRLo/100*(AC49-25))+AE49/1000))/($B49-S49*AD49/1000) )</f>
        <v>46.761463666290958</v>
      </c>
      <c r="U49" s="330">
        <f t="shared" ref="U49:U89" ca="1" si="67">IF(($B49-S49*IF(ISBLANK(DCRLo_Sel),DCR_Lo,DCRLo_Sel)/1000*(1+TCR_DCRLo/100*(AC49-25))-(Vout_typ+S49*Rwire/1000))/(IF(ISBLANK(Lo_sel),Lo_Ridley,Lo_sel)/1000000)*T49/100/(IF(ISBLANK(Fsw_Sel),Fsw_Recom,Fsw_Sel)*1000000)&lt;0, 0, ($B49-S49*IF(ISBLANK(DCRLo_Sel),DCR_Lo,DCRLo_Sel)/1000*(1+TCR_DCRLo/100*(AC49-25))-(Vout_typ+S49*Rwire/1000))/(IF(ISBLANK(Lo_sel),Lo_Ridley,Lo_sel)/1000000)*T49/100/(IF(ISBLANK(Fsw_Sel),Fsw_Recom,Fsw_Sel)*1000000))</f>
        <v>0.62734800566156812</v>
      </c>
      <c r="V49" s="331">
        <f t="shared" ref="V49:V89" si="68">$B49*IQ/1000+IF(ISBLANK(Fsw_Sel),Fsw_Recom,Fsw_Sel)*1000000*(QgHS+QgLS)/1000000000*$B49</f>
        <v>0.13319999999999993</v>
      </c>
      <c r="W49" s="331">
        <f t="shared" ref="W49:W89" si="69">$B49*S49*($B49/(SR_rise*1000000000)*IF(ISBLANK(Fsw_Sel),Fsw_Recom,Fsw_Sel)*1000000/2+$B49/(SR_fall*1000000000)*IF(ISBLANK(Fsw_Sel),Fsw_Recom,Fsw_Sel)*1000000/2)</f>
        <v>0.14559999999999987</v>
      </c>
      <c r="X49" s="331">
        <f ca="1">IF($D$117,1,T49/100*(S49^2+U49^2/12)*AD49/1000)</f>
        <v>0.20440106037047168</v>
      </c>
      <c r="Y49" s="331">
        <f ca="1">IF($D$117,1,(1-T49/100)*(S49^2+U49^2/12)*AD49/1000)</f>
        <v>0.23271327340907322</v>
      </c>
      <c r="Z49" s="331">
        <f t="shared" ref="Z49:Z89" si="70">2*S49*tnonOverlap/1000000000*VSD_LS*IF(ISBLANK(Fsw_Sel),Fsw_Recom,Fsw_Sel)*1000000</f>
        <v>1.5600000000000001E-2</v>
      </c>
      <c r="AA49" s="331">
        <f t="shared" ref="AA49:AA89" si="71">(QgHS+QgLS)/1000000000*$B49*IF(ISBLANK(Fsw_Sel),Fsw_Recom,Fsw_Sel)*1000000</f>
        <v>9.7199999999999953E-2</v>
      </c>
      <c r="AB49" s="331">
        <f ca="1">SUM(V49:AA49)</f>
        <v>0.82871433377954462</v>
      </c>
      <c r="AC49" s="332">
        <f t="shared" ref="AC49:AC89" ca="1" si="72">AB49*Rth_typ+$A49</f>
        <v>113.17628734850452</v>
      </c>
      <c r="AD49" s="332">
        <f t="shared" ref="AD49:AD89" ca="1" si="73">RdsHS_max+RdsHS_max*TCR_Rds/100*(AC49-25)</f>
        <v>143.91819799079946</v>
      </c>
      <c r="AE49" s="332">
        <f t="shared" ref="AE49:AE89" ca="1" si="74">RdsLS_max+RdsLS_max*TCR_Rds/100*(AC49-25)</f>
        <v>116.93353586752457</v>
      </c>
      <c r="AF49" s="331">
        <f t="shared" ref="AF49:AF89" ca="1" si="75">(1-toffmin_typ/1000000000*Fsw_Sel*1000000) * ($B49+S49*AE49/1000-S49*AD49/1000) - (S49*AE49/1000+S49*(1+($A49-25)*TCR_DCRLo/100)*IF(ISBLANK(DCRLo_Sel),DCR_Lo/1000,DCRLo_Sel/1000))</f>
        <v>11.077908594199959</v>
      </c>
      <c r="AG49" s="331">
        <f t="shared" ref="AG49:AG89" ca="1" si="76">IF(AF49&gt;(Vout_typ+S49*Rwire/1000),Vout_typ+S49*Rwire/1000,AF49)</f>
        <v>5.2103508771929823</v>
      </c>
      <c r="AH49" s="333">
        <f t="shared" ref="AH49:AH89" ca="1" si="77">IF(AF49&gt;Vout_typ+S49*Rwire/1000,Vout_typ,AF49-S49*Rwire/1000)</f>
        <v>4.9936842105263155</v>
      </c>
      <c r="AI49" s="334">
        <f t="shared" ref="AI49:AI89" si="78">Iout/3</f>
        <v>0.8666666666666667</v>
      </c>
      <c r="AJ49" s="335">
        <f t="shared" ref="AJ49:AJ89" ca="1" si="79">IF( 100*((Vout_typ+AI49*Rwire/1000)+AI49*(IF(ISBLANK(DCRLo_Sel),DCR_Lo,DCRLo_Sel)/1000*(1+TCR_DCRLo/100*(AS49-25))+AU49/1000))/($B49-AI49*AT49/1000) &gt; ChosenmaxDuty_max, ChosenmaxDuty_max, 100*((Vout_typ+AI49*Rwire/1000)+AI49*(IF(ISBLANK(DCRLo_Sel),DCR_Lo,DCRLo_Sel)/1000*(1+TCR_DCRLo/100*(AS49-25))+AU49/1000))/($B49-AI49*AT49/1000) )</f>
        <v>44.071290150193995</v>
      </c>
      <c r="AK49" s="336">
        <f t="shared" ref="AK49:AK89" ca="1" si="80">IF(($B49-AI49*IF(ISBLANK(DCRLo_Sel),DCR_Lo,DCRLo_Sel)/1000*(1+TCR_DCRLo/100*(AS49-25))-(Vout_typ+AI49*Rwire/1000))/(IF(ISBLANK(Lo_sel),Lo_Ridley,Lo_sel)/1000000)*AJ49/100/(IF(ISBLANK(Fsw_Sel),Fsw_Recom,Fsw_Sel)*1000000)&lt;0, 0, ($B49-AI49*IF(ISBLANK(DCRLo_Sel),DCR_Lo,DCRLo_Sel)/1000*(1+TCR_DCRLo/100*(AS49-25))-(Vout_typ+AI49*Rwire/1000))/(IF(ISBLANK(Lo_sel),Lo_Ridley,Lo_sel)/1000000)*AJ49/100/(IF(ISBLANK(Fsw_Sel),Fsw_Recom,Fsw_Sel)*1000000))</f>
        <v>0.60455287612059305</v>
      </c>
      <c r="AL49" s="337">
        <f t="shared" ref="AL49:AL89" si="81">$B49*IQ/1000+IF(ISBLANK(Fsw_Sel),Fsw_Recom,Fsw_Sel)*1000000*(QgHS+QgLS)/1000000000*$B49</f>
        <v>0.13319999999999993</v>
      </c>
      <c r="AM49" s="337">
        <f t="shared" ref="AM49:AM89" si="82">$B49*AI49*($B49/(SR_rise*1000000000)*IF(ISBLANK(Fsw_Sel),Fsw_Recom,Fsw_Sel)*1000000/2+$B49/(SR_fall*1000000000)*IF(ISBLANK(Fsw_Sel),Fsw_Recom,Fsw_Sel)*1000000/2)</f>
        <v>7.2799999999999934E-2</v>
      </c>
      <c r="AN49" s="337">
        <f ca="1">IF($D$117,1,AJ49/100*(AI49^2+AK49^2/12)*AT49/1000)</f>
        <v>4.6733495121974847E-2</v>
      </c>
      <c r="AO49" s="337">
        <f ca="1">IF($D$117,1,(1-AJ49/100)*(AI49^2+AK49^2/12)*AT49/1000)</f>
        <v>5.9307183430225716E-2</v>
      </c>
      <c r="AP49" s="337">
        <f t="shared" ref="AP49:AP89" si="83">2*AI49*tnonOverlap/1000000000*VSD_LS*IF(ISBLANK(Fsw_Sel),Fsw_Recom,Fsw_Sel)*1000000</f>
        <v>7.8000000000000005E-3</v>
      </c>
      <c r="AQ49" s="337">
        <f t="shared" ref="AQ49:AQ89" si="84">(QgHS+QgLS)/1000000000*$B49*IF(ISBLANK(Fsw_Sel),Fsw_Recom,Fsw_Sel)*1000000</f>
        <v>9.7199999999999953E-2</v>
      </c>
      <c r="AR49" s="337">
        <f ca="1">SUM(AL49:AQ49)</f>
        <v>0.41704067855220034</v>
      </c>
      <c r="AS49" s="338">
        <f t="shared" ref="AS49:AS89" ca="1" si="85">AR49*Rth_typ+$A49</f>
        <v>99.179383070774804</v>
      </c>
      <c r="AT49" s="338">
        <f t="shared" ref="AT49:AT89" ca="1" si="86">RdsHS_max+RdsHS_max*TCR_Rds/100*(AS49-25)</f>
        <v>135.67682075207222</v>
      </c>
      <c r="AU49" s="338">
        <f t="shared" ref="AU49:AU89" ca="1" si="87">RdsLS_max+RdsLS_max*TCR_Rds/100*(AS49-25)</f>
        <v>110.23741686105868</v>
      </c>
      <c r="AV49" s="337">
        <f t="shared" ref="AV49:AV89" ca="1" si="88">(1-toffmin_typ/1000000000*Fsw_Sel*1000000) * ($B49+AI49*AU49/1000-AI49*AT49/1000) - (AI49*AU49/1000+AI49*(1+($A49-25)*TCR_DCRLo/100)*IF(ISBLANK(DCRLo_Sel),DCR_Lo/1000,DCRLo_Sel/1000))</f>
        <v>11.246029862850142</v>
      </c>
      <c r="AW49" s="337">
        <f t="shared" ref="AW49:AW89" ca="1" si="89">IF(AV49&gt;(Vout_typ+AI49*Rwire/1000),(Vout_typ+AI49*Rwire/1000),AV49)</f>
        <v>5.1020175438596489</v>
      </c>
      <c r="AX49" s="339">
        <f t="shared" ref="AX49:AX89" ca="1" si="90">IF(AV49&gt;(Vout_typ+AI49*Rwire/1000),Vout_typ,AV49-AI49*Rwire/1000)</f>
        <v>4.9936842105263155</v>
      </c>
    </row>
    <row r="50" spans="1:50" s="374" customFormat="1" ht="12.75" customHeight="1">
      <c r="A50" s="341">
        <f t="shared" si="49"/>
        <v>85</v>
      </c>
      <c r="B50" s="342">
        <f t="shared" si="50"/>
        <v>11.764999999999995</v>
      </c>
      <c r="C50" s="359">
        <f t="shared" si="51"/>
        <v>2.6</v>
      </c>
      <c r="D50" s="360">
        <f t="shared" ca="1" si="52"/>
        <v>50.938021012368885</v>
      </c>
      <c r="E50" s="349">
        <f t="shared" ca="1" si="53"/>
        <v>0.64336956528953737</v>
      </c>
      <c r="F50" s="343">
        <f t="shared" si="54"/>
        <v>0.13059149999999994</v>
      </c>
      <c r="G50" s="343">
        <f t="shared" si="55"/>
        <v>0.20992975791666649</v>
      </c>
      <c r="H50" s="343">
        <f t="shared" ca="1" si="56"/>
        <v>0.54688454788388396</v>
      </c>
      <c r="I50" s="343">
        <f t="shared" ca="1" si="57"/>
        <v>0.52674284677106009</v>
      </c>
      <c r="J50" s="343">
        <f t="shared" si="58"/>
        <v>2.3399999999999997E-2</v>
      </c>
      <c r="K50" s="343">
        <f t="shared" si="59"/>
        <v>9.5296499999999951E-2</v>
      </c>
      <c r="L50" s="343">
        <f t="shared" ref="L50:L88" ca="1" si="91">SUM(F50:K50)</f>
        <v>1.5328451525716105</v>
      </c>
      <c r="M50" s="362">
        <f t="shared" ref="M50:M89" ca="1" si="92">L50*Rth_typ+$A50</f>
        <v>137.11673518743476</v>
      </c>
      <c r="N50" s="362">
        <f t="shared" ca="1" si="60"/>
        <v>158.0143336783616</v>
      </c>
      <c r="O50" s="362">
        <f t="shared" ca="1" si="61"/>
        <v>128.3866461136688</v>
      </c>
      <c r="P50" s="343">
        <f t="shared" ca="1" si="62"/>
        <v>10.657306531819664</v>
      </c>
      <c r="Q50" s="361">
        <f t="shared" ca="1" si="63"/>
        <v>5.3186842105263157</v>
      </c>
      <c r="R50" s="363">
        <f t="shared" ca="1" si="64"/>
        <v>4.9936842105263155</v>
      </c>
      <c r="S50" s="364">
        <f t="shared" si="65"/>
        <v>1.7333333333333334</v>
      </c>
      <c r="T50" s="365">
        <f t="shared" ca="1" si="66"/>
        <v>47.710699113206282</v>
      </c>
      <c r="U50" s="366">
        <f t="shared" ca="1" si="67"/>
        <v>0.61766732845140893</v>
      </c>
      <c r="V50" s="344">
        <f t="shared" si="68"/>
        <v>0.13059149999999994</v>
      </c>
      <c r="W50" s="344">
        <f t="shared" si="69"/>
        <v>0.13995317194444434</v>
      </c>
      <c r="X50" s="344">
        <f t="shared" ref="X50:X89" ca="1" si="93">IF($D$117,1,T50/100*(S50^2+U50^2/12)*AD50/1000)</f>
        <v>0.20816320396302099</v>
      </c>
      <c r="Y50" s="344">
        <f t="shared" ref="Y50:Y89" ca="1" si="94">IF($D$117,1,(1-T50/100)*(S50^2+U50^2/12)*AD50/1000)</f>
        <v>0.22813978013096298</v>
      </c>
      <c r="Z50" s="344">
        <f t="shared" si="70"/>
        <v>1.5600000000000001E-2</v>
      </c>
      <c r="AA50" s="344">
        <f t="shared" si="71"/>
        <v>9.5296499999999951E-2</v>
      </c>
      <c r="AB50" s="344">
        <f t="shared" ref="AB50:AB89" ca="1" si="95">SUM(V50:AA50)</f>
        <v>0.8177441560384282</v>
      </c>
      <c r="AC50" s="367">
        <f t="shared" ca="1" si="72"/>
        <v>112.80330130530656</v>
      </c>
      <c r="AD50" s="367">
        <f t="shared" ca="1" si="73"/>
        <v>143.69858380856451</v>
      </c>
      <c r="AE50" s="367">
        <f t="shared" ca="1" si="74"/>
        <v>116.75509934445867</v>
      </c>
      <c r="AF50" s="344">
        <f t="shared" ca="1" si="75"/>
        <v>10.855035690052038</v>
      </c>
      <c r="AG50" s="344">
        <f t="shared" ca="1" si="76"/>
        <v>5.2103508771929823</v>
      </c>
      <c r="AH50" s="368">
        <f t="shared" ca="1" si="77"/>
        <v>4.9936842105263155</v>
      </c>
      <c r="AI50" s="369">
        <f t="shared" si="78"/>
        <v>0.8666666666666667</v>
      </c>
      <c r="AJ50" s="370">
        <f t="shared" ca="1" si="79"/>
        <v>44.95879149171558</v>
      </c>
      <c r="AK50" s="371">
        <f t="shared" ca="1" si="80"/>
        <v>0.59559940433055891</v>
      </c>
      <c r="AL50" s="345">
        <f t="shared" si="81"/>
        <v>0.13059149999999994</v>
      </c>
      <c r="AM50" s="345">
        <f t="shared" si="82"/>
        <v>6.9976585972222172E-2</v>
      </c>
      <c r="AN50" s="345">
        <f t="shared" ref="AN50:AN89" ca="1" si="96">IF($D$117,1,AJ50/100*(AI50^2+AK50^2/12)*AT50/1000)</f>
        <v>4.7566758901631895E-2</v>
      </c>
      <c r="AO50" s="345">
        <f t="shared" ref="AO50:AO89" ca="1" si="97">IF($D$117,1,(1-AJ50/100)*(AI50^2+AK50^2/12)*AT50/1000)</f>
        <v>5.8234036278542997E-2</v>
      </c>
      <c r="AP50" s="345">
        <f t="shared" si="83"/>
        <v>7.8000000000000005E-3</v>
      </c>
      <c r="AQ50" s="345">
        <f t="shared" si="84"/>
        <v>9.5296499999999951E-2</v>
      </c>
      <c r="AR50" s="345">
        <f t="shared" ref="AR50:AR89" ca="1" si="98">SUM(AL50:AQ50)</f>
        <v>0.40946538115239695</v>
      </c>
      <c r="AS50" s="372">
        <f t="shared" ca="1" si="85"/>
        <v>98.921822959181497</v>
      </c>
      <c r="AT50" s="372">
        <f t="shared" ca="1" si="86"/>
        <v>135.52516935836607</v>
      </c>
      <c r="AU50" s="372">
        <f t="shared" ca="1" si="87"/>
        <v>110.11420010367243</v>
      </c>
      <c r="AV50" s="345">
        <f t="shared" ca="1" si="88"/>
        <v>11.022910061890446</v>
      </c>
      <c r="AW50" s="345">
        <f t="shared" ca="1" si="89"/>
        <v>5.1020175438596489</v>
      </c>
      <c r="AX50" s="373">
        <f t="shared" ca="1" si="90"/>
        <v>4.9936842105263155</v>
      </c>
    </row>
    <row r="51" spans="1:50" s="374" customFormat="1" ht="12.75" customHeight="1">
      <c r="A51" s="341">
        <f t="shared" si="49"/>
        <v>85</v>
      </c>
      <c r="B51" s="342">
        <f t="shared" si="50"/>
        <v>11.529999999999996</v>
      </c>
      <c r="C51" s="359">
        <f t="shared" si="51"/>
        <v>2.6</v>
      </c>
      <c r="D51" s="360">
        <f t="shared" ca="1" si="52"/>
        <v>52.003550112366185</v>
      </c>
      <c r="E51" s="349">
        <f t="shared" ca="1" si="53"/>
        <v>0.63240502389293374</v>
      </c>
      <c r="F51" s="343">
        <f t="shared" si="54"/>
        <v>0.12798299999999996</v>
      </c>
      <c r="G51" s="343">
        <f t="shared" si="55"/>
        <v>0.20162703166666654</v>
      </c>
      <c r="H51" s="343">
        <f t="shared" ca="1" si="56"/>
        <v>0.55716454061756737</v>
      </c>
      <c r="I51" s="343">
        <f t="shared" ca="1" si="57"/>
        <v>0.51423258402811423</v>
      </c>
      <c r="J51" s="343">
        <f t="shared" si="58"/>
        <v>2.3399999999999997E-2</v>
      </c>
      <c r="K51" s="343">
        <f t="shared" si="59"/>
        <v>9.3392999999999962E-2</v>
      </c>
      <c r="L51" s="343">
        <f t="shared" ca="1" si="91"/>
        <v>1.5178001563123482</v>
      </c>
      <c r="M51" s="362">
        <f t="shared" ca="1" si="92"/>
        <v>136.60520531461984</v>
      </c>
      <c r="N51" s="362">
        <f t="shared" ca="1" si="60"/>
        <v>157.71314488924816</v>
      </c>
      <c r="O51" s="362">
        <f t="shared" ca="1" si="61"/>
        <v>128.14193022251413</v>
      </c>
      <c r="P51" s="343">
        <f t="shared" ca="1" si="62"/>
        <v>10.434832281194625</v>
      </c>
      <c r="Q51" s="361">
        <f t="shared" ca="1" si="63"/>
        <v>5.3186842105263157</v>
      </c>
      <c r="R51" s="363">
        <f t="shared" ca="1" si="64"/>
        <v>4.9936842105263155</v>
      </c>
      <c r="S51" s="364">
        <f t="shared" si="65"/>
        <v>1.7333333333333334</v>
      </c>
      <c r="T51" s="365">
        <f t="shared" ca="1" si="66"/>
        <v>48.699471915278146</v>
      </c>
      <c r="U51" s="366">
        <f t="shared" ca="1" si="67"/>
        <v>0.60758789521347512</v>
      </c>
      <c r="V51" s="344">
        <f t="shared" si="68"/>
        <v>0.12798299999999996</v>
      </c>
      <c r="W51" s="344">
        <f t="shared" si="69"/>
        <v>0.13441802111111101</v>
      </c>
      <c r="X51" s="344">
        <f t="shared" ca="1" si="93"/>
        <v>0.2120840303324939</v>
      </c>
      <c r="Y51" s="344">
        <f t="shared" ca="1" si="94"/>
        <v>0.22341151405750237</v>
      </c>
      <c r="Z51" s="344">
        <f t="shared" si="70"/>
        <v>1.5600000000000001E-2</v>
      </c>
      <c r="AA51" s="344">
        <f t="shared" si="71"/>
        <v>9.3392999999999962E-2</v>
      </c>
      <c r="AB51" s="344">
        <f t="shared" ca="1" si="95"/>
        <v>0.80688956550110713</v>
      </c>
      <c r="AC51" s="367">
        <f t="shared" ca="1" si="72"/>
        <v>112.43424522703765</v>
      </c>
      <c r="AD51" s="367">
        <f t="shared" ca="1" si="73"/>
        <v>143.48128358967978</v>
      </c>
      <c r="AE51" s="367">
        <f t="shared" ca="1" si="74"/>
        <v>116.57854291661482</v>
      </c>
      <c r="AF51" s="344">
        <f t="shared" ca="1" si="75"/>
        <v>10.632158812636217</v>
      </c>
      <c r="AG51" s="344">
        <f t="shared" ca="1" si="76"/>
        <v>5.2103508771929823</v>
      </c>
      <c r="AH51" s="368">
        <f t="shared" ca="1" si="77"/>
        <v>4.9936842105263155</v>
      </c>
      <c r="AI51" s="369">
        <f t="shared" si="78"/>
        <v>0.8666666666666667</v>
      </c>
      <c r="AJ51" s="370">
        <f t="shared" ca="1" si="79"/>
        <v>45.882834050051507</v>
      </c>
      <c r="AK51" s="371">
        <f t="shared" ca="1" si="80"/>
        <v>0.58627868422286666</v>
      </c>
      <c r="AL51" s="345">
        <f t="shared" si="81"/>
        <v>0.12798299999999996</v>
      </c>
      <c r="AM51" s="345">
        <f t="shared" si="82"/>
        <v>6.7209010555555504E-2</v>
      </c>
      <c r="AN51" s="345">
        <f t="shared" ca="1" si="96"/>
        <v>4.8433448910641767E-2</v>
      </c>
      <c r="AO51" s="345">
        <f t="shared" ca="1" si="97"/>
        <v>5.7125525188054721E-2</v>
      </c>
      <c r="AP51" s="345">
        <f t="shared" si="83"/>
        <v>7.8000000000000005E-3</v>
      </c>
      <c r="AQ51" s="345">
        <f t="shared" si="84"/>
        <v>9.3392999999999962E-2</v>
      </c>
      <c r="AR51" s="345">
        <f t="shared" ca="1" si="98"/>
        <v>0.40194398465425191</v>
      </c>
      <c r="AS51" s="372">
        <f t="shared" ca="1" si="85"/>
        <v>98.666095478244557</v>
      </c>
      <c r="AT51" s="372">
        <f t="shared" ca="1" si="86"/>
        <v>135.37459701759039</v>
      </c>
      <c r="AU51" s="372">
        <f t="shared" ca="1" si="87"/>
        <v>109.99186007679219</v>
      </c>
      <c r="AV51" s="345">
        <f t="shared" ca="1" si="88"/>
        <v>10.79978933451885</v>
      </c>
      <c r="AW51" s="345">
        <f t="shared" ca="1" si="89"/>
        <v>5.1020175438596489</v>
      </c>
      <c r="AX51" s="373">
        <f t="shared" ca="1" si="90"/>
        <v>4.9936842105263155</v>
      </c>
    </row>
    <row r="52" spans="1:50" s="374" customFormat="1" ht="12.75" customHeight="1">
      <c r="A52" s="341">
        <f t="shared" si="49"/>
        <v>85</v>
      </c>
      <c r="B52" s="342">
        <f t="shared" si="50"/>
        <v>11.294999999999996</v>
      </c>
      <c r="C52" s="359">
        <f t="shared" si="51"/>
        <v>2.6</v>
      </c>
      <c r="D52" s="360">
        <f t="shared" ca="1" si="52"/>
        <v>53.115073966450041</v>
      </c>
      <c r="E52" s="349">
        <f t="shared" ca="1" si="53"/>
        <v>0.62097715246148633</v>
      </c>
      <c r="F52" s="343">
        <f t="shared" si="54"/>
        <v>0.12537449999999994</v>
      </c>
      <c r="G52" s="343">
        <f t="shared" si="55"/>
        <v>0.19349182124999986</v>
      </c>
      <c r="H52" s="343">
        <f t="shared" ca="1" si="56"/>
        <v>0.56790049653763142</v>
      </c>
      <c r="I52" s="343">
        <f t="shared" ca="1" si="57"/>
        <v>0.50128844386814464</v>
      </c>
      <c r="J52" s="343">
        <f t="shared" si="58"/>
        <v>2.3399999999999997E-2</v>
      </c>
      <c r="K52" s="343">
        <f t="shared" si="59"/>
        <v>9.1489499999999974E-2</v>
      </c>
      <c r="L52" s="343">
        <f t="shared" ca="1" si="91"/>
        <v>1.5029447616557758</v>
      </c>
      <c r="M52" s="362">
        <f t="shared" ca="1" si="92"/>
        <v>136.10012189629637</v>
      </c>
      <c r="N52" s="362">
        <f t="shared" ca="1" si="60"/>
        <v>157.41575177253929</v>
      </c>
      <c r="O52" s="362">
        <f t="shared" ca="1" si="61"/>
        <v>127.90029831518819</v>
      </c>
      <c r="P52" s="343">
        <f t="shared" ca="1" si="62"/>
        <v>10.212348254340847</v>
      </c>
      <c r="Q52" s="361">
        <f t="shared" ca="1" si="63"/>
        <v>5.3186842105263157</v>
      </c>
      <c r="R52" s="363">
        <f t="shared" ca="1" si="64"/>
        <v>4.9936842105263155</v>
      </c>
      <c r="S52" s="364">
        <f t="shared" si="65"/>
        <v>1.7333333333333334</v>
      </c>
      <c r="T52" s="365">
        <f t="shared" ca="1" si="66"/>
        <v>49.730302350112574</v>
      </c>
      <c r="U52" s="366">
        <f t="shared" ca="1" si="67"/>
        <v>0.59708423322771265</v>
      </c>
      <c r="V52" s="344">
        <f t="shared" si="68"/>
        <v>0.12537449999999994</v>
      </c>
      <c r="W52" s="344">
        <f t="shared" si="69"/>
        <v>0.12899454749999992</v>
      </c>
      <c r="X52" s="344">
        <f t="shared" ca="1" si="93"/>
        <v>0.21617361810572755</v>
      </c>
      <c r="Y52" s="344">
        <f t="shared" ca="1" si="94"/>
        <v>0.2185183260208462</v>
      </c>
      <c r="Z52" s="344">
        <f t="shared" si="70"/>
        <v>1.5600000000000001E-2</v>
      </c>
      <c r="AA52" s="344">
        <f t="shared" si="71"/>
        <v>9.1489499999999974E-2</v>
      </c>
      <c r="AB52" s="344">
        <f t="shared" ca="1" si="95"/>
        <v>0.79615049162657359</v>
      </c>
      <c r="AC52" s="367">
        <f t="shared" ca="1" si="72"/>
        <v>112.06911671530349</v>
      </c>
      <c r="AD52" s="367">
        <f t="shared" ca="1" si="73"/>
        <v>143.26629592197071</v>
      </c>
      <c r="AE52" s="367">
        <f t="shared" ca="1" si="74"/>
        <v>116.40386543660119</v>
      </c>
      <c r="AF52" s="344">
        <f t="shared" ca="1" si="75"/>
        <v>10.409277964377313</v>
      </c>
      <c r="AG52" s="344">
        <f t="shared" ca="1" si="76"/>
        <v>5.2103508771929823</v>
      </c>
      <c r="AH52" s="368">
        <f t="shared" ca="1" si="77"/>
        <v>4.9936842105263155</v>
      </c>
      <c r="AI52" s="369">
        <f t="shared" si="78"/>
        <v>0.8666666666666667</v>
      </c>
      <c r="AJ52" s="370">
        <f t="shared" ca="1" si="79"/>
        <v>46.845721468765987</v>
      </c>
      <c r="AK52" s="371">
        <f t="shared" ca="1" si="80"/>
        <v>0.57656755095189394</v>
      </c>
      <c r="AL52" s="345">
        <f t="shared" si="81"/>
        <v>0.12537449999999994</v>
      </c>
      <c r="AM52" s="345">
        <f t="shared" si="82"/>
        <v>6.4497273749999959E-2</v>
      </c>
      <c r="AN52" s="345">
        <f t="shared" ca="1" si="96"/>
        <v>4.9335642745750023E-2</v>
      </c>
      <c r="AO52" s="345">
        <f t="shared" ca="1" si="97"/>
        <v>5.5979509201785189E-2</v>
      </c>
      <c r="AP52" s="345">
        <f t="shared" si="83"/>
        <v>7.8000000000000005E-3</v>
      </c>
      <c r="AQ52" s="345">
        <f t="shared" si="84"/>
        <v>9.1489499999999974E-2</v>
      </c>
      <c r="AR52" s="345">
        <f t="shared" ca="1" si="98"/>
        <v>0.39447642569753505</v>
      </c>
      <c r="AS52" s="372">
        <f t="shared" ca="1" si="85"/>
        <v>98.412198473716188</v>
      </c>
      <c r="AT52" s="372">
        <f t="shared" ca="1" si="86"/>
        <v>135.2251024613241</v>
      </c>
      <c r="AU52" s="372">
        <f t="shared" ca="1" si="87"/>
        <v>109.87039574982583</v>
      </c>
      <c r="AV52" s="345">
        <f t="shared" ca="1" si="88"/>
        <v>10.576667681824347</v>
      </c>
      <c r="AW52" s="345">
        <f t="shared" ca="1" si="89"/>
        <v>5.1020175438596489</v>
      </c>
      <c r="AX52" s="373">
        <f t="shared" ca="1" si="90"/>
        <v>4.9936842105263155</v>
      </c>
    </row>
    <row r="53" spans="1:50" s="374" customFormat="1" ht="12.75" customHeight="1">
      <c r="A53" s="341">
        <f t="shared" si="49"/>
        <v>85</v>
      </c>
      <c r="B53" s="342">
        <f t="shared" si="50"/>
        <v>11.059999999999997</v>
      </c>
      <c r="C53" s="359">
        <f t="shared" si="51"/>
        <v>2.6</v>
      </c>
      <c r="D53" s="360">
        <f t="shared" ca="1" si="52"/>
        <v>54.275629890353791</v>
      </c>
      <c r="E53" s="349">
        <f t="shared" ca="1" si="53"/>
        <v>0.60905521626933845</v>
      </c>
      <c r="F53" s="343">
        <f t="shared" si="54"/>
        <v>0.12276599999999996</v>
      </c>
      <c r="G53" s="343">
        <f t="shared" si="55"/>
        <v>0.18552412666666657</v>
      </c>
      <c r="H53" s="343">
        <f t="shared" ca="1" si="56"/>
        <v>0.57912247389142424</v>
      </c>
      <c r="I53" s="343">
        <f t="shared" ca="1" si="57"/>
        <v>0.48788029523599497</v>
      </c>
      <c r="J53" s="343">
        <f t="shared" si="58"/>
        <v>2.3399999999999997E-2</v>
      </c>
      <c r="K53" s="343">
        <f t="shared" si="59"/>
        <v>8.9585999999999971E-2</v>
      </c>
      <c r="L53" s="343">
        <f t="shared" ca="1" si="91"/>
        <v>1.4882788957940858</v>
      </c>
      <c r="M53" s="362">
        <f t="shared" ca="1" si="92"/>
        <v>135.60148245699892</v>
      </c>
      <c r="N53" s="362">
        <f t="shared" ca="1" si="60"/>
        <v>157.12215287068096</v>
      </c>
      <c r="O53" s="362">
        <f t="shared" ca="1" si="61"/>
        <v>127.66174920742829</v>
      </c>
      <c r="P53" s="343">
        <f t="shared" ca="1" si="62"/>
        <v>9.9898544550124484</v>
      </c>
      <c r="Q53" s="361">
        <f t="shared" ca="1" si="63"/>
        <v>5.3186842105263157</v>
      </c>
      <c r="R53" s="363">
        <f t="shared" ca="1" si="64"/>
        <v>4.9936842105263155</v>
      </c>
      <c r="S53" s="364">
        <f t="shared" si="65"/>
        <v>1.7333333333333334</v>
      </c>
      <c r="T53" s="365">
        <f t="shared" ca="1" si="66"/>
        <v>50.805929555612366</v>
      </c>
      <c r="U53" s="366">
        <f t="shared" ca="1" si="67"/>
        <v>0.58612865785050239</v>
      </c>
      <c r="V53" s="344">
        <f t="shared" si="68"/>
        <v>0.12276599999999996</v>
      </c>
      <c r="W53" s="344">
        <f t="shared" si="69"/>
        <v>0.12368275111111104</v>
      </c>
      <c r="X53" s="344">
        <f t="shared" ca="1" si="93"/>
        <v>0.2204429249913151</v>
      </c>
      <c r="Y53" s="344">
        <f t="shared" ca="1" si="94"/>
        <v>0.21344919531723558</v>
      </c>
      <c r="Z53" s="344">
        <f t="shared" si="70"/>
        <v>1.5600000000000001E-2</v>
      </c>
      <c r="AA53" s="344">
        <f t="shared" si="71"/>
        <v>8.9585999999999971E-2</v>
      </c>
      <c r="AB53" s="344">
        <f t="shared" ca="1" si="95"/>
        <v>0.7855268714196616</v>
      </c>
      <c r="AC53" s="367">
        <f t="shared" ca="1" si="72"/>
        <v>111.7079136282685</v>
      </c>
      <c r="AD53" s="367">
        <f t="shared" ca="1" si="73"/>
        <v>143.05361954432448</v>
      </c>
      <c r="AE53" s="367">
        <f t="shared" ca="1" si="74"/>
        <v>116.23106587976366</v>
      </c>
      <c r="AF53" s="344">
        <f t="shared" ca="1" si="75"/>
        <v>10.186393147440763</v>
      </c>
      <c r="AG53" s="344">
        <f t="shared" ca="1" si="76"/>
        <v>5.2103508771929823</v>
      </c>
      <c r="AH53" s="368">
        <f t="shared" ca="1" si="77"/>
        <v>4.9936842105263155</v>
      </c>
      <c r="AI53" s="369">
        <f t="shared" si="78"/>
        <v>0.8666666666666667</v>
      </c>
      <c r="AJ53" s="370">
        <f t="shared" ca="1" si="79"/>
        <v>47.849955186068968</v>
      </c>
      <c r="AK53" s="371">
        <f t="shared" ca="1" si="80"/>
        <v>0.56644085074461059</v>
      </c>
      <c r="AL53" s="345">
        <f t="shared" si="81"/>
        <v>0.12276599999999996</v>
      </c>
      <c r="AM53" s="345">
        <f t="shared" si="82"/>
        <v>6.1841375555555522E-2</v>
      </c>
      <c r="AN53" s="345">
        <f t="shared" ca="1" si="96"/>
        <v>5.0275598802185961E-2</v>
      </c>
      <c r="AO53" s="345">
        <f t="shared" ca="1" si="97"/>
        <v>5.4793671600857595E-2</v>
      </c>
      <c r="AP53" s="345">
        <f t="shared" si="83"/>
        <v>7.8000000000000005E-3</v>
      </c>
      <c r="AQ53" s="345">
        <f t="shared" si="84"/>
        <v>8.9585999999999971E-2</v>
      </c>
      <c r="AR53" s="345">
        <f t="shared" ca="1" si="98"/>
        <v>0.38706264595859896</v>
      </c>
      <c r="AS53" s="372">
        <f t="shared" ca="1" si="85"/>
        <v>98.160129962592364</v>
      </c>
      <c r="AT53" s="372">
        <f t="shared" ca="1" si="86"/>
        <v>135.07668452197439</v>
      </c>
      <c r="AU53" s="372">
        <f t="shared" ca="1" si="87"/>
        <v>109.74980617410419</v>
      </c>
      <c r="AV53" s="345">
        <f t="shared" ca="1" si="88"/>
        <v>10.35354510480936</v>
      </c>
      <c r="AW53" s="345">
        <f t="shared" ca="1" si="89"/>
        <v>5.1020175438596489</v>
      </c>
      <c r="AX53" s="373">
        <f t="shared" ca="1" si="90"/>
        <v>4.9936842105263155</v>
      </c>
    </row>
    <row r="54" spans="1:50" s="374" customFormat="1" ht="12.75" customHeight="1">
      <c r="A54" s="341">
        <f t="shared" si="49"/>
        <v>85</v>
      </c>
      <c r="B54" s="342">
        <f t="shared" si="50"/>
        <v>10.824999999999998</v>
      </c>
      <c r="C54" s="359">
        <f t="shared" si="51"/>
        <v>2.6</v>
      </c>
      <c r="D54" s="360">
        <f t="shared" ca="1" si="52"/>
        <v>55.488528665570975</v>
      </c>
      <c r="E54" s="349">
        <f t="shared" ca="1" si="53"/>
        <v>0.5966057136988695</v>
      </c>
      <c r="F54" s="343">
        <f t="shared" si="54"/>
        <v>0.12015749999999997</v>
      </c>
      <c r="G54" s="343">
        <f t="shared" si="55"/>
        <v>0.1777239479166666</v>
      </c>
      <c r="H54" s="343">
        <f t="shared" ca="1" si="56"/>
        <v>0.59086324604112739</v>
      </c>
      <c r="I54" s="343">
        <f t="shared" ca="1" si="57"/>
        <v>0.4739753075313714</v>
      </c>
      <c r="J54" s="343">
        <f t="shared" si="58"/>
        <v>2.3399999999999997E-2</v>
      </c>
      <c r="K54" s="343">
        <f t="shared" si="59"/>
        <v>8.7682499999999983E-2</v>
      </c>
      <c r="L54" s="343">
        <f t="shared" ca="1" si="91"/>
        <v>1.4738025014891654</v>
      </c>
      <c r="M54" s="362">
        <f t="shared" ca="1" si="92"/>
        <v>135.10928505063163</v>
      </c>
      <c r="N54" s="362">
        <f t="shared" ca="1" si="60"/>
        <v>156.8323470378119</v>
      </c>
      <c r="O54" s="362">
        <f t="shared" ca="1" si="61"/>
        <v>127.42628196822218</v>
      </c>
      <c r="P54" s="343">
        <f t="shared" ca="1" si="62"/>
        <v>9.7673508861607345</v>
      </c>
      <c r="Q54" s="361">
        <f t="shared" ca="1" si="63"/>
        <v>5.3186842105263157</v>
      </c>
      <c r="R54" s="363">
        <f t="shared" ca="1" si="64"/>
        <v>4.9936842105263155</v>
      </c>
      <c r="S54" s="364">
        <f t="shared" si="65"/>
        <v>1.7333333333333334</v>
      </c>
      <c r="T54" s="365">
        <f t="shared" ca="1" si="66"/>
        <v>51.929335815345397</v>
      </c>
      <c r="U54" s="366">
        <f t="shared" ca="1" si="67"/>
        <v>0.57469102709106823</v>
      </c>
      <c r="V54" s="344">
        <f t="shared" si="68"/>
        <v>0.12015749999999997</v>
      </c>
      <c r="W54" s="344">
        <f t="shared" si="69"/>
        <v>0.11848263194444439</v>
      </c>
      <c r="X54" s="344">
        <f t="shared" ca="1" si="93"/>
        <v>0.22490388656101851</v>
      </c>
      <c r="Y54" s="344">
        <f t="shared" ca="1" si="94"/>
        <v>0.20819213330865638</v>
      </c>
      <c r="Z54" s="344">
        <f t="shared" si="70"/>
        <v>1.5600000000000001E-2</v>
      </c>
      <c r="AA54" s="344">
        <f t="shared" si="71"/>
        <v>8.7682499999999983E-2</v>
      </c>
      <c r="AB54" s="344">
        <f t="shared" ca="1" si="95"/>
        <v>0.77501865181411922</v>
      </c>
      <c r="AC54" s="367">
        <f t="shared" ca="1" si="72"/>
        <v>111.35063416168005</v>
      </c>
      <c r="AD54" s="367">
        <f t="shared" ca="1" si="73"/>
        <v>142.84325339439721</v>
      </c>
      <c r="AE54" s="367">
        <f t="shared" ca="1" si="74"/>
        <v>116.06014338294773</v>
      </c>
      <c r="AF54" s="344">
        <f t="shared" ca="1" si="75"/>
        <v>9.963504363650701</v>
      </c>
      <c r="AG54" s="344">
        <f t="shared" ca="1" si="76"/>
        <v>5.2103508771929823</v>
      </c>
      <c r="AH54" s="368">
        <f t="shared" ca="1" si="77"/>
        <v>4.9936842105263155</v>
      </c>
      <c r="AI54" s="369">
        <f t="shared" si="78"/>
        <v>0.8666666666666667</v>
      </c>
      <c r="AJ54" s="370">
        <f t="shared" ca="1" si="79"/>
        <v>48.898256129549864</v>
      </c>
      <c r="AK54" s="371">
        <f t="shared" ca="1" si="80"/>
        <v>0.55587122275531875</v>
      </c>
      <c r="AL54" s="345">
        <f t="shared" si="81"/>
        <v>0.12015749999999997</v>
      </c>
      <c r="AM54" s="345">
        <f t="shared" si="82"/>
        <v>5.9241315972222194E-2</v>
      </c>
      <c r="AN54" s="345">
        <f t="shared" ca="1" si="96"/>
        <v>5.1255776947334998E-2</v>
      </c>
      <c r="AO54" s="345">
        <f t="shared" ca="1" si="97"/>
        <v>5.3565500955785252E-2</v>
      </c>
      <c r="AP54" s="345">
        <f t="shared" si="83"/>
        <v>7.8000000000000005E-3</v>
      </c>
      <c r="AQ54" s="345">
        <f t="shared" si="84"/>
        <v>8.7682499999999983E-2</v>
      </c>
      <c r="AR54" s="345">
        <f t="shared" ca="1" si="98"/>
        <v>0.37970259387534239</v>
      </c>
      <c r="AS54" s="372">
        <f t="shared" ca="1" si="85"/>
        <v>97.909888191761638</v>
      </c>
      <c r="AT54" s="372">
        <f t="shared" ca="1" si="86"/>
        <v>134.92934216730924</v>
      </c>
      <c r="AU54" s="372">
        <f t="shared" ca="1" si="87"/>
        <v>109.63009051093877</v>
      </c>
      <c r="AV54" s="345">
        <f t="shared" ca="1" si="88"/>
        <v>10.130421604360107</v>
      </c>
      <c r="AW54" s="345">
        <f t="shared" ca="1" si="89"/>
        <v>5.1020175438596489</v>
      </c>
      <c r="AX54" s="373">
        <f t="shared" ca="1" si="90"/>
        <v>4.9936842105263155</v>
      </c>
    </row>
    <row r="55" spans="1:50" s="374" customFormat="1" ht="12.75" customHeight="1">
      <c r="A55" s="341">
        <f t="shared" si="49"/>
        <v>85</v>
      </c>
      <c r="B55" s="342">
        <f t="shared" si="50"/>
        <v>10.589999999999998</v>
      </c>
      <c r="C55" s="359">
        <f t="shared" si="51"/>
        <v>2.6</v>
      </c>
      <c r="D55" s="360">
        <f t="shared" ca="1" si="52"/>
        <v>56.757386027691119</v>
      </c>
      <c r="E55" s="349">
        <f t="shared" ca="1" si="53"/>
        <v>0.58359205769377043</v>
      </c>
      <c r="F55" s="343">
        <f t="shared" si="54"/>
        <v>0.11754899999999997</v>
      </c>
      <c r="G55" s="343">
        <f t="shared" si="55"/>
        <v>0.17009128499999995</v>
      </c>
      <c r="H55" s="343">
        <f t="shared" ca="1" si="56"/>
        <v>0.6031586165781565</v>
      </c>
      <c r="I55" s="343">
        <f t="shared" ca="1" si="57"/>
        <v>0.45953763987714269</v>
      </c>
      <c r="J55" s="343">
        <f t="shared" si="58"/>
        <v>2.3399999999999997E-2</v>
      </c>
      <c r="K55" s="343">
        <f t="shared" si="59"/>
        <v>8.577899999999998E-2</v>
      </c>
      <c r="L55" s="343">
        <f t="shared" ca="1" si="91"/>
        <v>1.4595155414552994</v>
      </c>
      <c r="M55" s="362">
        <f t="shared" ca="1" si="92"/>
        <v>134.62352840948017</v>
      </c>
      <c r="N55" s="362">
        <f t="shared" ca="1" si="60"/>
        <v>156.54633352750193</v>
      </c>
      <c r="O55" s="362">
        <f t="shared" ca="1" si="61"/>
        <v>127.19389599109532</v>
      </c>
      <c r="P55" s="343">
        <f t="shared" ca="1" si="62"/>
        <v>9.5448375497082267</v>
      </c>
      <c r="Q55" s="361">
        <f t="shared" ca="1" si="63"/>
        <v>5.3186842105263157</v>
      </c>
      <c r="R55" s="363">
        <f t="shared" ca="1" si="64"/>
        <v>4.9936842105263155</v>
      </c>
      <c r="S55" s="364">
        <f t="shared" si="65"/>
        <v>1.7333333333333334</v>
      </c>
      <c r="T55" s="365">
        <f t="shared" ca="1" si="66"/>
        <v>53.103774151206771</v>
      </c>
      <c r="U55" s="366">
        <f t="shared" ca="1" si="67"/>
        <v>0.5627384627680444</v>
      </c>
      <c r="V55" s="344">
        <f t="shared" si="68"/>
        <v>0.11754899999999997</v>
      </c>
      <c r="W55" s="344">
        <f t="shared" si="69"/>
        <v>0.11339418999999996</v>
      </c>
      <c r="X55" s="344">
        <f t="shared" ca="1" si="93"/>
        <v>0.22956952876973391</v>
      </c>
      <c r="Y55" s="344">
        <f t="shared" ca="1" si="94"/>
        <v>0.20273407382555728</v>
      </c>
      <c r="Z55" s="344">
        <f t="shared" si="70"/>
        <v>1.5600000000000001E-2</v>
      </c>
      <c r="AA55" s="344">
        <f t="shared" si="71"/>
        <v>8.577899999999998E-2</v>
      </c>
      <c r="AB55" s="344">
        <f t="shared" ca="1" si="95"/>
        <v>0.76462579259529107</v>
      </c>
      <c r="AC55" s="367">
        <f t="shared" ca="1" si="72"/>
        <v>110.9972769482399</v>
      </c>
      <c r="AD55" s="367">
        <f t="shared" ca="1" si="73"/>
        <v>142.63519666712364</v>
      </c>
      <c r="AE55" s="367">
        <f t="shared" ca="1" si="74"/>
        <v>115.89109729203797</v>
      </c>
      <c r="AF55" s="344">
        <f t="shared" ca="1" si="75"/>
        <v>9.7406116143894899</v>
      </c>
      <c r="AG55" s="344">
        <f t="shared" ca="1" si="76"/>
        <v>5.2103508771929823</v>
      </c>
      <c r="AH55" s="368">
        <f t="shared" ca="1" si="77"/>
        <v>4.9936842105263155</v>
      </c>
      <c r="AI55" s="369">
        <f t="shared" si="78"/>
        <v>0.8666666666666667</v>
      </c>
      <c r="AJ55" s="370">
        <f t="shared" ca="1" si="79"/>
        <v>49.99358933047106</v>
      </c>
      <c r="AK55" s="371">
        <f t="shared" ca="1" si="80"/>
        <v>0.54482885156468996</v>
      </c>
      <c r="AL55" s="345">
        <f t="shared" si="81"/>
        <v>0.11754899999999997</v>
      </c>
      <c r="AM55" s="345">
        <f t="shared" si="82"/>
        <v>5.6697094999999982E-2</v>
      </c>
      <c r="AN55" s="345">
        <f t="shared" ca="1" si="96"/>
        <v>5.2278862173072184E-2</v>
      </c>
      <c r="AO55" s="345">
        <f t="shared" ca="1" si="97"/>
        <v>5.2292269592432487E-2</v>
      </c>
      <c r="AP55" s="345">
        <f t="shared" si="83"/>
        <v>7.8000000000000005E-3</v>
      </c>
      <c r="AQ55" s="345">
        <f t="shared" si="84"/>
        <v>8.577899999999998E-2</v>
      </c>
      <c r="AR55" s="345">
        <f t="shared" ca="1" si="98"/>
        <v>0.3723962267655046</v>
      </c>
      <c r="AS55" s="372">
        <f t="shared" ca="1" si="85"/>
        <v>97.661471710027158</v>
      </c>
      <c r="AT55" s="372">
        <f t="shared" ca="1" si="86"/>
        <v>134.783074542864</v>
      </c>
      <c r="AU55" s="372">
        <f t="shared" ca="1" si="87"/>
        <v>109.511248066077</v>
      </c>
      <c r="AV55" s="345">
        <f t="shared" ca="1" si="88"/>
        <v>9.9072971812101773</v>
      </c>
      <c r="AW55" s="345">
        <f t="shared" ca="1" si="89"/>
        <v>5.1020175438596489</v>
      </c>
      <c r="AX55" s="373">
        <f t="shared" ca="1" si="90"/>
        <v>4.9936842105263155</v>
      </c>
    </row>
    <row r="56" spans="1:50" s="374" customFormat="1" ht="12.75" customHeight="1">
      <c r="A56" s="341">
        <f t="shared" si="49"/>
        <v>85</v>
      </c>
      <c r="B56" s="342">
        <f t="shared" si="50"/>
        <v>10.354999999999999</v>
      </c>
      <c r="C56" s="359">
        <f t="shared" si="51"/>
        <v>2.6</v>
      </c>
      <c r="D56" s="360">
        <f t="shared" ca="1" si="52"/>
        <v>58.08615860868607</v>
      </c>
      <c r="E56" s="349">
        <f t="shared" ca="1" si="53"/>
        <v>0.56997421216309718</v>
      </c>
      <c r="F56" s="343">
        <f t="shared" si="54"/>
        <v>0.11494049999999997</v>
      </c>
      <c r="G56" s="343">
        <f t="shared" si="55"/>
        <v>0.16262613791666664</v>
      </c>
      <c r="H56" s="343">
        <f t="shared" ca="1" si="56"/>
        <v>0.61604777958547619</v>
      </c>
      <c r="I56" s="343">
        <f t="shared" ca="1" si="57"/>
        <v>0.44452808623422335</v>
      </c>
      <c r="J56" s="343">
        <f t="shared" si="58"/>
        <v>2.3399999999999997E-2</v>
      </c>
      <c r="K56" s="343">
        <f t="shared" si="59"/>
        <v>8.3875499999999992E-2</v>
      </c>
      <c r="L56" s="343">
        <f t="shared" ca="1" si="91"/>
        <v>1.4454180037363662</v>
      </c>
      <c r="M56" s="362">
        <f t="shared" ca="1" si="92"/>
        <v>134.14421212703644</v>
      </c>
      <c r="N56" s="362">
        <f t="shared" ca="1" si="60"/>
        <v>156.26411210039907</v>
      </c>
      <c r="O56" s="362">
        <f t="shared" ca="1" si="61"/>
        <v>126.96459108157424</v>
      </c>
      <c r="P56" s="343">
        <f t="shared" ca="1" si="62"/>
        <v>9.3223144462714078</v>
      </c>
      <c r="Q56" s="361">
        <f t="shared" ca="1" si="63"/>
        <v>5.3186842105263157</v>
      </c>
      <c r="R56" s="363">
        <f t="shared" ca="1" si="64"/>
        <v>4.9936842105263155</v>
      </c>
      <c r="S56" s="364">
        <f t="shared" si="65"/>
        <v>1.7333333333333334</v>
      </c>
      <c r="T56" s="365">
        <f t="shared" ca="1" si="66"/>
        <v>54.332799761084644</v>
      </c>
      <c r="U56" s="366">
        <f t="shared" ca="1" si="67"/>
        <v>0.55023503281332431</v>
      </c>
      <c r="V56" s="344">
        <f t="shared" si="68"/>
        <v>0.11494049999999997</v>
      </c>
      <c r="W56" s="344">
        <f t="shared" si="69"/>
        <v>0.10841742527777776</v>
      </c>
      <c r="X56" s="344">
        <f t="shared" ca="1" si="93"/>
        <v>0.23445409651462187</v>
      </c>
      <c r="Y56" s="344">
        <f t="shared" ca="1" si="94"/>
        <v>0.19706074819350486</v>
      </c>
      <c r="Z56" s="344">
        <f t="shared" si="70"/>
        <v>1.5600000000000001E-2</v>
      </c>
      <c r="AA56" s="344">
        <f t="shared" si="71"/>
        <v>8.3875499999999992E-2</v>
      </c>
      <c r="AB56" s="344">
        <f t="shared" ca="1" si="95"/>
        <v>0.75434826998590443</v>
      </c>
      <c r="AC56" s="367">
        <f t="shared" ca="1" si="72"/>
        <v>110.64784117952075</v>
      </c>
      <c r="AD56" s="367">
        <f t="shared" ca="1" si="73"/>
        <v>142.4294488865018</v>
      </c>
      <c r="AE56" s="367">
        <f t="shared" ca="1" si="74"/>
        <v>115.72392722028273</v>
      </c>
      <c r="AF56" s="344">
        <f t="shared" ca="1" si="75"/>
        <v>9.5177149004744663</v>
      </c>
      <c r="AG56" s="344">
        <f t="shared" ca="1" si="76"/>
        <v>5.2103508771929823</v>
      </c>
      <c r="AH56" s="368">
        <f t="shared" ca="1" si="77"/>
        <v>4.9936842105263155</v>
      </c>
      <c r="AI56" s="369">
        <f t="shared" si="78"/>
        <v>0.8666666666666667</v>
      </c>
      <c r="AJ56" s="370">
        <f t="shared" ca="1" si="79"/>
        <v>51.139191926532177</v>
      </c>
      <c r="AK56" s="371">
        <f t="shared" ca="1" si="80"/>
        <v>0.53328118560849991</v>
      </c>
      <c r="AL56" s="345">
        <f t="shared" si="81"/>
        <v>0.11494049999999997</v>
      </c>
      <c r="AM56" s="345">
        <f t="shared" si="82"/>
        <v>5.4208712638888878E-2</v>
      </c>
      <c r="AN56" s="345">
        <f t="shared" ca="1" si="96"/>
        <v>5.3347791750966399E-2</v>
      </c>
      <c r="AO56" s="345">
        <f t="shared" ca="1" si="97"/>
        <v>5.0971009038078434E-2</v>
      </c>
      <c r="AP56" s="345">
        <f t="shared" si="83"/>
        <v>7.8000000000000005E-3</v>
      </c>
      <c r="AQ56" s="345">
        <f t="shared" si="84"/>
        <v>8.3875499999999992E-2</v>
      </c>
      <c r="AR56" s="345">
        <f t="shared" ca="1" si="98"/>
        <v>0.36514351342793366</v>
      </c>
      <c r="AS56" s="372">
        <f t="shared" ca="1" si="85"/>
        <v>97.414879456549741</v>
      </c>
      <c r="AT56" s="372">
        <f t="shared" ca="1" si="86"/>
        <v>134.63788102401648</v>
      </c>
      <c r="AU56" s="372">
        <f t="shared" ca="1" si="87"/>
        <v>109.39327833201341</v>
      </c>
      <c r="AV56" s="345">
        <f t="shared" ca="1" si="88"/>
        <v>9.6841718358958389</v>
      </c>
      <c r="AW56" s="345">
        <f t="shared" ca="1" si="89"/>
        <v>5.1020175438596489</v>
      </c>
      <c r="AX56" s="373">
        <f t="shared" ca="1" si="90"/>
        <v>4.9936842105263155</v>
      </c>
    </row>
    <row r="57" spans="1:50" s="374" customFormat="1" ht="12.75" customHeight="1">
      <c r="A57" s="341">
        <f t="shared" si="49"/>
        <v>85</v>
      </c>
      <c r="B57" s="342">
        <f t="shared" si="50"/>
        <v>10.119999999999999</v>
      </c>
      <c r="C57" s="359">
        <f t="shared" si="51"/>
        <v>2.6</v>
      </c>
      <c r="D57" s="360">
        <f t="shared" ca="1" si="52"/>
        <v>59.479185086003696</v>
      </c>
      <c r="E57" s="349">
        <f t="shared" ca="1" si="53"/>
        <v>0.55570827572340975</v>
      </c>
      <c r="F57" s="343">
        <f t="shared" si="54"/>
        <v>0.11233199999999999</v>
      </c>
      <c r="G57" s="343">
        <f t="shared" si="55"/>
        <v>0.15532850666666664</v>
      </c>
      <c r="H57" s="343">
        <f t="shared" ca="1" si="56"/>
        <v>0.62957373281719731</v>
      </c>
      <c r="I57" s="343">
        <f t="shared" ca="1" si="57"/>
        <v>0.42890366882653341</v>
      </c>
      <c r="J57" s="343">
        <f t="shared" si="58"/>
        <v>2.3399999999999997E-2</v>
      </c>
      <c r="K57" s="343">
        <f t="shared" si="59"/>
        <v>8.1971999999999989E-2</v>
      </c>
      <c r="L57" s="343">
        <f t="shared" ca="1" si="91"/>
        <v>1.4315099083103973</v>
      </c>
      <c r="M57" s="362">
        <f t="shared" ca="1" si="92"/>
        <v>133.6713368825535</v>
      </c>
      <c r="N57" s="362">
        <f t="shared" ca="1" si="60"/>
        <v>155.98568315644749</v>
      </c>
      <c r="O57" s="362">
        <f t="shared" ca="1" si="61"/>
        <v>126.73836756461361</v>
      </c>
      <c r="P57" s="343">
        <f t="shared" ca="1" si="62"/>
        <v>9.0997815748201756</v>
      </c>
      <c r="Q57" s="361">
        <f t="shared" ca="1" si="63"/>
        <v>5.3186842105263157</v>
      </c>
      <c r="R57" s="363">
        <f t="shared" ca="1" si="64"/>
        <v>4.9936842105263155</v>
      </c>
      <c r="S57" s="364">
        <f t="shared" si="65"/>
        <v>1.7333333333333334</v>
      </c>
      <c r="T57" s="365">
        <f t="shared" ca="1" si="66"/>
        <v>55.620305941534525</v>
      </c>
      <c r="U57" s="366">
        <f t="shared" ca="1" si="67"/>
        <v>0.53714138825689262</v>
      </c>
      <c r="V57" s="344">
        <f t="shared" si="68"/>
        <v>0.11233199999999999</v>
      </c>
      <c r="W57" s="344">
        <f t="shared" si="69"/>
        <v>0.10355233777777778</v>
      </c>
      <c r="X57" s="344">
        <f t="shared" ca="1" si="93"/>
        <v>0.23957320098857571</v>
      </c>
      <c r="Y57" s="344">
        <f t="shared" ca="1" si="94"/>
        <v>0.19115654228253093</v>
      </c>
      <c r="Z57" s="344">
        <f t="shared" si="70"/>
        <v>1.5600000000000001E-2</v>
      </c>
      <c r="AA57" s="344">
        <f t="shared" si="71"/>
        <v>8.1971999999999989E-2</v>
      </c>
      <c r="AB57" s="344">
        <f t="shared" ca="1" si="95"/>
        <v>0.74418608104888428</v>
      </c>
      <c r="AC57" s="367">
        <f t="shared" ca="1" si="72"/>
        <v>110.30232675566207</v>
      </c>
      <c r="AD57" s="367">
        <f t="shared" ca="1" si="73"/>
        <v>142.22600999373384</v>
      </c>
      <c r="AE57" s="367">
        <f t="shared" ca="1" si="74"/>
        <v>115.55863311990873</v>
      </c>
      <c r="AF57" s="344">
        <f t="shared" ca="1" si="75"/>
        <v>9.2948142220065915</v>
      </c>
      <c r="AG57" s="344">
        <f t="shared" ca="1" si="76"/>
        <v>5.2103508771929823</v>
      </c>
      <c r="AH57" s="368">
        <f t="shared" ca="1" si="77"/>
        <v>4.9936842105263155</v>
      </c>
      <c r="AI57" s="369">
        <f t="shared" si="78"/>
        <v>0.8666666666666667</v>
      </c>
      <c r="AJ57" s="370">
        <f t="shared" ca="1" si="79"/>
        <v>52.33860511011094</v>
      </c>
      <c r="AK57" s="371">
        <f t="shared" ca="1" si="80"/>
        <v>0.52119261593575783</v>
      </c>
      <c r="AL57" s="345">
        <f t="shared" si="81"/>
        <v>0.11233199999999999</v>
      </c>
      <c r="AM57" s="345">
        <f t="shared" si="82"/>
        <v>5.177616888888889E-2</v>
      </c>
      <c r="AN57" s="345">
        <f t="shared" ca="1" si="96"/>
        <v>5.4465786524516176E-2</v>
      </c>
      <c r="AO57" s="345">
        <f t="shared" ca="1" si="97"/>
        <v>4.9598481924996447E-2</v>
      </c>
      <c r="AP57" s="345">
        <f t="shared" si="83"/>
        <v>7.8000000000000005E-3</v>
      </c>
      <c r="AQ57" s="345">
        <f t="shared" si="84"/>
        <v>8.1971999999999989E-2</v>
      </c>
      <c r="AR57" s="345">
        <f t="shared" ca="1" si="98"/>
        <v>0.35794443733840148</v>
      </c>
      <c r="AS57" s="372">
        <f t="shared" ca="1" si="85"/>
        <v>97.170110869505649</v>
      </c>
      <c r="AT57" s="372">
        <f t="shared" ca="1" si="86"/>
        <v>134.49376127996493</v>
      </c>
      <c r="AU57" s="372">
        <f t="shared" ca="1" si="87"/>
        <v>109.2761810399715</v>
      </c>
      <c r="AV57" s="345">
        <f t="shared" ca="1" si="88"/>
        <v>9.4610455687010937</v>
      </c>
      <c r="AW57" s="345">
        <f t="shared" ca="1" si="89"/>
        <v>5.1020175438596489</v>
      </c>
      <c r="AX57" s="373">
        <f t="shared" ca="1" si="90"/>
        <v>4.9936842105263155</v>
      </c>
    </row>
    <row r="58" spans="1:50" s="374" customFormat="1" ht="12.75" customHeight="1">
      <c r="A58" s="341">
        <f t="shared" si="49"/>
        <v>85</v>
      </c>
      <c r="B58" s="342">
        <f t="shared" si="50"/>
        <v>9.8849999999999998</v>
      </c>
      <c r="C58" s="359">
        <f t="shared" si="51"/>
        <v>2.6</v>
      </c>
      <c r="D58" s="360">
        <f t="shared" ca="1" si="52"/>
        <v>60.941233440387428</v>
      </c>
      <c r="E58" s="349">
        <f t="shared" ca="1" si="53"/>
        <v>0.54074600365923675</v>
      </c>
      <c r="F58" s="343">
        <f t="shared" si="54"/>
        <v>0.1097235</v>
      </c>
      <c r="G58" s="343">
        <f t="shared" si="55"/>
        <v>0.14819839125000001</v>
      </c>
      <c r="H58" s="343">
        <f t="shared" ca="1" si="56"/>
        <v>0.64378375313905845</v>
      </c>
      <c r="I58" s="343">
        <f t="shared" ca="1" si="57"/>
        <v>0.41261717082452726</v>
      </c>
      <c r="J58" s="343">
        <f t="shared" si="58"/>
        <v>2.3399999999999997E-2</v>
      </c>
      <c r="K58" s="343">
        <f t="shared" si="59"/>
        <v>8.0068500000000001E-2</v>
      </c>
      <c r="L58" s="343">
        <f t="shared" ca="1" si="91"/>
        <v>1.4177913152135859</v>
      </c>
      <c r="M58" s="362">
        <f t="shared" ca="1" si="92"/>
        <v>133.20490471726191</v>
      </c>
      <c r="N58" s="362">
        <f t="shared" ca="1" si="60"/>
        <v>155.71104789752383</v>
      </c>
      <c r="O58" s="362">
        <f t="shared" ca="1" si="61"/>
        <v>126.5152264167381</v>
      </c>
      <c r="P58" s="343">
        <f t="shared" ca="1" si="62"/>
        <v>8.8772389322589405</v>
      </c>
      <c r="Q58" s="361">
        <f t="shared" ca="1" si="63"/>
        <v>5.3186842105263157</v>
      </c>
      <c r="R58" s="363">
        <f t="shared" ca="1" si="64"/>
        <v>4.9936842105263155</v>
      </c>
      <c r="S58" s="364">
        <f t="shared" si="65"/>
        <v>1.7333333333333334</v>
      </c>
      <c r="T58" s="365">
        <f t="shared" ca="1" si="66"/>
        <v>56.970565260191378</v>
      </c>
      <c r="U58" s="366">
        <f t="shared" ca="1" si="67"/>
        <v>0.52341434716634916</v>
      </c>
      <c r="V58" s="344">
        <f t="shared" si="68"/>
        <v>0.1097235</v>
      </c>
      <c r="W58" s="344">
        <f t="shared" si="69"/>
        <v>9.8798927499999994E-2</v>
      </c>
      <c r="X58" s="344">
        <f t="shared" ca="1" si="93"/>
        <v>0.24494398914212928</v>
      </c>
      <c r="Y58" s="344">
        <f t="shared" ca="1" si="94"/>
        <v>0.18500433245770184</v>
      </c>
      <c r="Z58" s="344">
        <f t="shared" si="70"/>
        <v>1.5600000000000001E-2</v>
      </c>
      <c r="AA58" s="344">
        <f t="shared" si="71"/>
        <v>8.0068500000000001E-2</v>
      </c>
      <c r="AB58" s="344">
        <f t="shared" ca="1" si="95"/>
        <v>0.73413924909983108</v>
      </c>
      <c r="AC58" s="367">
        <f t="shared" ca="1" si="72"/>
        <v>109.96073446939425</v>
      </c>
      <c r="AD58" s="367">
        <f t="shared" ca="1" si="73"/>
        <v>142.02488045557934</v>
      </c>
      <c r="AE58" s="367">
        <f t="shared" ca="1" si="74"/>
        <v>115.39521537015821</v>
      </c>
      <c r="AF58" s="344">
        <f t="shared" ca="1" si="75"/>
        <v>9.0719095781843997</v>
      </c>
      <c r="AG58" s="344">
        <f t="shared" ca="1" si="76"/>
        <v>5.2103508771929823</v>
      </c>
      <c r="AH58" s="368">
        <f t="shared" ca="1" si="77"/>
        <v>4.9936842105263155</v>
      </c>
      <c r="AI58" s="369">
        <f t="shared" si="78"/>
        <v>0.8666666666666667</v>
      </c>
      <c r="AJ58" s="370">
        <f t="shared" ca="1" si="79"/>
        <v>53.595710686149467</v>
      </c>
      <c r="AK58" s="371">
        <f t="shared" ca="1" si="80"/>
        <v>0.50852410861855912</v>
      </c>
      <c r="AL58" s="345">
        <f t="shared" si="81"/>
        <v>0.1097235</v>
      </c>
      <c r="AM58" s="345">
        <f t="shared" si="82"/>
        <v>4.9399463749999997E-2</v>
      </c>
      <c r="AN58" s="345">
        <f t="shared" ca="1" si="96"/>
        <v>5.5636387109473669E-2</v>
      </c>
      <c r="AO58" s="345">
        <f t="shared" ca="1" si="97"/>
        <v>4.8171149719871083E-2</v>
      </c>
      <c r="AP58" s="345">
        <f t="shared" si="83"/>
        <v>7.8000000000000005E-3</v>
      </c>
      <c r="AQ58" s="345">
        <f t="shared" si="84"/>
        <v>8.0068500000000001E-2</v>
      </c>
      <c r="AR58" s="345">
        <f t="shared" ca="1" si="98"/>
        <v>0.35079900057934471</v>
      </c>
      <c r="AS58" s="372">
        <f t="shared" ca="1" si="85"/>
        <v>96.927166019697722</v>
      </c>
      <c r="AT58" s="372">
        <f t="shared" ca="1" si="86"/>
        <v>134.35071535239803</v>
      </c>
      <c r="AU58" s="372">
        <f t="shared" ca="1" si="87"/>
        <v>109.1599562238234</v>
      </c>
      <c r="AV58" s="345">
        <f t="shared" ca="1" si="88"/>
        <v>9.2379183795901607</v>
      </c>
      <c r="AW58" s="345">
        <f t="shared" ca="1" si="89"/>
        <v>5.1020175438596489</v>
      </c>
      <c r="AX58" s="373">
        <f t="shared" ca="1" si="90"/>
        <v>4.9936842105263155</v>
      </c>
    </row>
    <row r="59" spans="1:50" s="374" customFormat="1" ht="12.75" customHeight="1">
      <c r="A59" s="341">
        <f t="shared" si="49"/>
        <v>85</v>
      </c>
      <c r="B59" s="342">
        <f t="shared" si="50"/>
        <v>9.65</v>
      </c>
      <c r="C59" s="359">
        <f t="shared" si="51"/>
        <v>2.6</v>
      </c>
      <c r="D59" s="360">
        <f t="shared" ca="1" si="52"/>
        <v>62.477555407454823</v>
      </c>
      <c r="E59" s="349">
        <f t="shared" ca="1" si="53"/>
        <v>0.52503425713108387</v>
      </c>
      <c r="F59" s="343">
        <f t="shared" si="54"/>
        <v>0.107115</v>
      </c>
      <c r="G59" s="343">
        <f t="shared" si="55"/>
        <v>0.14123579166666669</v>
      </c>
      <c r="H59" s="343">
        <f t="shared" ca="1" si="56"/>
        <v>0.65872994551756181</v>
      </c>
      <c r="I59" s="343">
        <f t="shared" ca="1" si="57"/>
        <v>0.39561659736744065</v>
      </c>
      <c r="J59" s="343">
        <f t="shared" si="58"/>
        <v>2.3399999999999997E-2</v>
      </c>
      <c r="K59" s="343">
        <f t="shared" si="59"/>
        <v>7.8164999999999998E-2</v>
      </c>
      <c r="L59" s="343">
        <f t="shared" ca="1" si="91"/>
        <v>1.4042623345516692</v>
      </c>
      <c r="M59" s="362">
        <f t="shared" ca="1" si="92"/>
        <v>132.74491937475676</v>
      </c>
      <c r="N59" s="362">
        <f t="shared" ca="1" si="60"/>
        <v>155.44020852785678</v>
      </c>
      <c r="O59" s="362">
        <f t="shared" ca="1" si="61"/>
        <v>126.29516942888364</v>
      </c>
      <c r="P59" s="343">
        <f t="shared" ca="1" si="62"/>
        <v>8.6546865129104393</v>
      </c>
      <c r="Q59" s="361">
        <f t="shared" ca="1" si="63"/>
        <v>5.3186842105263157</v>
      </c>
      <c r="R59" s="363">
        <f t="shared" ca="1" si="64"/>
        <v>4.9936842105263155</v>
      </c>
      <c r="S59" s="364">
        <f t="shared" si="65"/>
        <v>1.7333333333333334</v>
      </c>
      <c r="T59" s="365">
        <f t="shared" ca="1" si="66"/>
        <v>58.388276895404779</v>
      </c>
      <c r="U59" s="366">
        <f t="shared" ca="1" si="67"/>
        <v>0.50900641627175192</v>
      </c>
      <c r="V59" s="344">
        <f t="shared" si="68"/>
        <v>0.107115</v>
      </c>
      <c r="W59" s="344">
        <f t="shared" si="69"/>
        <v>9.4157194444444453E-2</v>
      </c>
      <c r="X59" s="344">
        <f t="shared" ca="1" si="93"/>
        <v>0.25058533925866899</v>
      </c>
      <c r="Y59" s="344">
        <f t="shared" ca="1" si="94"/>
        <v>0.17858529666806158</v>
      </c>
      <c r="Z59" s="344">
        <f t="shared" si="70"/>
        <v>1.5600000000000001E-2</v>
      </c>
      <c r="AA59" s="344">
        <f t="shared" si="71"/>
        <v>7.8164999999999998E-2</v>
      </c>
      <c r="AB59" s="344">
        <f t="shared" ca="1" si="95"/>
        <v>0.72420783037117498</v>
      </c>
      <c r="AC59" s="367">
        <f t="shared" ca="1" si="72"/>
        <v>109.62306623261995</v>
      </c>
      <c r="AD59" s="367">
        <f t="shared" ca="1" si="73"/>
        <v>141.82606139776664</v>
      </c>
      <c r="AE59" s="367">
        <f t="shared" ca="1" si="74"/>
        <v>115.23367488568539</v>
      </c>
      <c r="AF59" s="344">
        <f t="shared" ca="1" si="75"/>
        <v>8.8490009670749181</v>
      </c>
      <c r="AG59" s="344">
        <f t="shared" ca="1" si="76"/>
        <v>5.2103508771929823</v>
      </c>
      <c r="AH59" s="368">
        <f t="shared" ca="1" si="77"/>
        <v>4.9936842105263155</v>
      </c>
      <c r="AI59" s="369">
        <f t="shared" si="78"/>
        <v>0.8666666666666667</v>
      </c>
      <c r="AJ59" s="370">
        <f t="shared" ca="1" si="79"/>
        <v>54.914773034783707</v>
      </c>
      <c r="AK59" s="371">
        <f t="shared" ca="1" si="80"/>
        <v>0.49523278281966943</v>
      </c>
      <c r="AL59" s="345">
        <f t="shared" si="81"/>
        <v>0.107115</v>
      </c>
      <c r="AM59" s="345">
        <f t="shared" si="82"/>
        <v>4.7078597222222227E-2</v>
      </c>
      <c r="AN59" s="345">
        <f t="shared" ca="1" si="96"/>
        <v>5.6863495944742534E-2</v>
      </c>
      <c r="AO59" s="345">
        <f t="shared" ca="1" si="97"/>
        <v>4.6685135511358507E-2</v>
      </c>
      <c r="AP59" s="345">
        <f t="shared" si="83"/>
        <v>7.8000000000000005E-3</v>
      </c>
      <c r="AQ59" s="345">
        <f t="shared" si="84"/>
        <v>7.8164999999999998E-2</v>
      </c>
      <c r="AR59" s="345">
        <f t="shared" ca="1" si="98"/>
        <v>0.34370722867832321</v>
      </c>
      <c r="AS59" s="372">
        <f t="shared" ca="1" si="85"/>
        <v>96.686045775062993</v>
      </c>
      <c r="AT59" s="372">
        <f t="shared" ca="1" si="86"/>
        <v>134.20874375235709</v>
      </c>
      <c r="AU59" s="372">
        <f t="shared" ca="1" si="87"/>
        <v>109.04460429879015</v>
      </c>
      <c r="AV59" s="345">
        <f t="shared" ca="1" si="88"/>
        <v>9.014790268124278</v>
      </c>
      <c r="AW59" s="345">
        <f t="shared" ca="1" si="89"/>
        <v>5.1020175438596489</v>
      </c>
      <c r="AX59" s="373">
        <f t="shared" ca="1" si="90"/>
        <v>4.9936842105263155</v>
      </c>
    </row>
    <row r="60" spans="1:50" s="374" customFormat="1" ht="12.75" customHeight="1">
      <c r="A60" s="341">
        <f t="shared" si="49"/>
        <v>85</v>
      </c>
      <c r="B60" s="342">
        <f t="shared" si="50"/>
        <v>9.4150000000000009</v>
      </c>
      <c r="C60" s="359">
        <f t="shared" si="51"/>
        <v>2.6</v>
      </c>
      <c r="D60" s="360">
        <f t="shared" ca="1" si="52"/>
        <v>64.093949434107202</v>
      </c>
      <c r="E60" s="349">
        <f t="shared" ca="1" si="53"/>
        <v>0.50851436637545577</v>
      </c>
      <c r="F60" s="343">
        <f t="shared" si="54"/>
        <v>0.10450650000000002</v>
      </c>
      <c r="G60" s="343">
        <f t="shared" si="55"/>
        <v>0.13444070791666668</v>
      </c>
      <c r="H60" s="343">
        <f t="shared" ca="1" si="56"/>
        <v>0.67446987925933388</v>
      </c>
      <c r="I60" s="343">
        <f t="shared" ca="1" si="57"/>
        <v>0.3778445516882134</v>
      </c>
      <c r="J60" s="343">
        <f t="shared" si="58"/>
        <v>2.3399999999999997E-2</v>
      </c>
      <c r="K60" s="343">
        <f t="shared" si="59"/>
        <v>7.626150000000001E-2</v>
      </c>
      <c r="L60" s="343">
        <f t="shared" ca="1" si="91"/>
        <v>1.390923138864214</v>
      </c>
      <c r="M60" s="362">
        <f t="shared" ca="1" si="92"/>
        <v>132.29138672138328</v>
      </c>
      <c r="N60" s="362">
        <f t="shared" ca="1" si="60"/>
        <v>155.17316850155046</v>
      </c>
      <c r="O60" s="362">
        <f t="shared" ca="1" si="61"/>
        <v>126.07819940750977</v>
      </c>
      <c r="P60" s="343">
        <f t="shared" ca="1" si="62"/>
        <v>8.4321243078781922</v>
      </c>
      <c r="Q60" s="361">
        <f t="shared" ca="1" si="63"/>
        <v>5.3186842105263157</v>
      </c>
      <c r="R60" s="363">
        <f t="shared" ca="1" si="64"/>
        <v>4.9936842105263155</v>
      </c>
      <c r="S60" s="364">
        <f t="shared" si="65"/>
        <v>1.7333333333333334</v>
      </c>
      <c r="T60" s="365">
        <f t="shared" ca="1" si="66"/>
        <v>59.87862124854724</v>
      </c>
      <c r="U60" s="366">
        <f t="shared" ca="1" si="67"/>
        <v>0.49386523910766811</v>
      </c>
      <c r="V60" s="344">
        <f t="shared" si="68"/>
        <v>0.10450650000000002</v>
      </c>
      <c r="W60" s="344">
        <f t="shared" si="69"/>
        <v>8.9627138611111129E-2</v>
      </c>
      <c r="X60" s="344">
        <f t="shared" ca="1" si="93"/>
        <v>0.25651808750613492</v>
      </c>
      <c r="Y60" s="344">
        <f t="shared" ca="1" si="94"/>
        <v>0.17187869611613077</v>
      </c>
      <c r="Z60" s="344">
        <f t="shared" si="70"/>
        <v>1.5600000000000001E-2</v>
      </c>
      <c r="AA60" s="344">
        <f t="shared" si="71"/>
        <v>7.626150000000001E-2</v>
      </c>
      <c r="AB60" s="344">
        <f t="shared" ca="1" si="95"/>
        <v>0.71439192223337677</v>
      </c>
      <c r="AC60" s="367">
        <f t="shared" ca="1" si="72"/>
        <v>109.28932535593481</v>
      </c>
      <c r="AD60" s="367">
        <f t="shared" ca="1" si="73"/>
        <v>141.62955476957441</v>
      </c>
      <c r="AE60" s="367">
        <f t="shared" ca="1" si="74"/>
        <v>115.07401325027922</v>
      </c>
      <c r="AF60" s="344">
        <f t="shared" ca="1" si="75"/>
        <v>8.6260883853310766</v>
      </c>
      <c r="AG60" s="344">
        <f t="shared" ca="1" si="76"/>
        <v>5.2103508771929823</v>
      </c>
      <c r="AH60" s="368">
        <f t="shared" ca="1" si="77"/>
        <v>4.9936842105263155</v>
      </c>
      <c r="AI60" s="369">
        <f t="shared" si="78"/>
        <v>0.8666666666666667</v>
      </c>
      <c r="AJ60" s="370">
        <f t="shared" ca="1" si="79"/>
        <v>56.300487434515667</v>
      </c>
      <c r="AK60" s="371">
        <f t="shared" ca="1" si="80"/>
        <v>0.48127142490825509</v>
      </c>
      <c r="AL60" s="345">
        <f t="shared" si="81"/>
        <v>0.10450650000000002</v>
      </c>
      <c r="AM60" s="345">
        <f t="shared" si="82"/>
        <v>4.4813569305555565E-2</v>
      </c>
      <c r="AN60" s="345">
        <f t="shared" ca="1" si="96"/>
        <v>5.8151426352317466E-2</v>
      </c>
      <c r="AO60" s="345">
        <f t="shared" ca="1" si="97"/>
        <v>4.5136180917432489E-2</v>
      </c>
      <c r="AP60" s="345">
        <f t="shared" si="83"/>
        <v>7.8000000000000005E-3</v>
      </c>
      <c r="AQ60" s="345">
        <f t="shared" si="84"/>
        <v>7.626150000000001E-2</v>
      </c>
      <c r="AR60" s="345">
        <f t="shared" ca="1" si="98"/>
        <v>0.33666917657530548</v>
      </c>
      <c r="AS60" s="372">
        <f t="shared" ca="1" si="85"/>
        <v>96.446752003560391</v>
      </c>
      <c r="AT60" s="372">
        <f t="shared" ca="1" si="86"/>
        <v>134.06784757969635</v>
      </c>
      <c r="AU60" s="372">
        <f t="shared" ca="1" si="87"/>
        <v>108.9301261585033</v>
      </c>
      <c r="AV60" s="345">
        <f t="shared" ca="1" si="88"/>
        <v>8.7916612333591804</v>
      </c>
      <c r="AW60" s="345">
        <f t="shared" ca="1" si="89"/>
        <v>5.1020175438596489</v>
      </c>
      <c r="AX60" s="373">
        <f t="shared" ca="1" si="90"/>
        <v>4.9936842105263155</v>
      </c>
    </row>
    <row r="61" spans="1:50" s="374" customFormat="1" ht="12.75" customHeight="1">
      <c r="A61" s="341">
        <f t="shared" si="49"/>
        <v>85</v>
      </c>
      <c r="B61" s="342">
        <f t="shared" si="50"/>
        <v>9.1800000000000015</v>
      </c>
      <c r="C61" s="359">
        <f t="shared" si="51"/>
        <v>2.6</v>
      </c>
      <c r="D61" s="360">
        <f t="shared" ca="1" si="52"/>
        <v>65.79683373128735</v>
      </c>
      <c r="E61" s="349">
        <f t="shared" ca="1" si="53"/>
        <v>0.49112139180688835</v>
      </c>
      <c r="F61" s="343">
        <f t="shared" si="54"/>
        <v>0.10189800000000002</v>
      </c>
      <c r="G61" s="343">
        <f t="shared" si="55"/>
        <v>0.12781314000000005</v>
      </c>
      <c r="H61" s="343">
        <f t="shared" ca="1" si="56"/>
        <v>0.69106732821578432</v>
      </c>
      <c r="I61" s="343">
        <f t="shared" ca="1" si="57"/>
        <v>0.35923751021775829</v>
      </c>
      <c r="J61" s="343">
        <f t="shared" si="58"/>
        <v>2.3399999999999997E-2</v>
      </c>
      <c r="K61" s="343">
        <f t="shared" si="59"/>
        <v>7.4358000000000007E-2</v>
      </c>
      <c r="L61" s="343">
        <f t="shared" ca="1" si="91"/>
        <v>1.3777739784335428</v>
      </c>
      <c r="M61" s="362">
        <f t="shared" ca="1" si="92"/>
        <v>131.84431526674047</v>
      </c>
      <c r="N61" s="362">
        <f t="shared" ca="1" si="60"/>
        <v>154.9099328290568</v>
      </c>
      <c r="O61" s="362">
        <f t="shared" ca="1" si="61"/>
        <v>125.86432042360865</v>
      </c>
      <c r="P61" s="343">
        <f t="shared" ca="1" si="62"/>
        <v>8.2095523042571621</v>
      </c>
      <c r="Q61" s="361">
        <f t="shared" ca="1" si="63"/>
        <v>5.3186842105263157</v>
      </c>
      <c r="R61" s="363">
        <f t="shared" ca="1" si="64"/>
        <v>4.9936842105263155</v>
      </c>
      <c r="S61" s="364">
        <f t="shared" si="65"/>
        <v>1.7333333333333334</v>
      </c>
      <c r="T61" s="365">
        <f t="shared" ca="1" si="66"/>
        <v>61.44732316687849</v>
      </c>
      <c r="U61" s="366">
        <f t="shared" ca="1" si="67"/>
        <v>0.47793295715652556</v>
      </c>
      <c r="V61" s="344">
        <f t="shared" si="68"/>
        <v>0.10189800000000002</v>
      </c>
      <c r="W61" s="344">
        <f t="shared" si="69"/>
        <v>8.5208760000000036E-2</v>
      </c>
      <c r="X61" s="344">
        <f t="shared" ca="1" si="93"/>
        <v>0.26276529140100924</v>
      </c>
      <c r="Y61" s="344">
        <f t="shared" ca="1" si="94"/>
        <v>0.16486162195922274</v>
      </c>
      <c r="Z61" s="344">
        <f t="shared" si="70"/>
        <v>1.5600000000000001E-2</v>
      </c>
      <c r="AA61" s="344">
        <f t="shared" si="71"/>
        <v>7.4358000000000007E-2</v>
      </c>
      <c r="AB61" s="344">
        <f t="shared" ca="1" si="95"/>
        <v>0.70469167336023197</v>
      </c>
      <c r="AC61" s="367">
        <f t="shared" ca="1" si="72"/>
        <v>108.95951689424788</v>
      </c>
      <c r="AD61" s="367">
        <f t="shared" ca="1" si="73"/>
        <v>141.43536354733317</v>
      </c>
      <c r="AE61" s="367">
        <f t="shared" ca="1" si="74"/>
        <v>114.91623288220819</v>
      </c>
      <c r="AF61" s="344">
        <f t="shared" ca="1" si="75"/>
        <v>8.4031718278422662</v>
      </c>
      <c r="AG61" s="344">
        <f t="shared" ca="1" si="76"/>
        <v>5.2103508771929823</v>
      </c>
      <c r="AH61" s="368">
        <f t="shared" ca="1" si="77"/>
        <v>4.9936842105263155</v>
      </c>
      <c r="AI61" s="369">
        <f t="shared" si="78"/>
        <v>0.8666666666666667</v>
      </c>
      <c r="AJ61" s="370">
        <f t="shared" ca="1" si="79"/>
        <v>57.758035899918198</v>
      </c>
      <c r="AK61" s="371">
        <f t="shared" ca="1" si="80"/>
        <v>0.4665879270217026</v>
      </c>
      <c r="AL61" s="345">
        <f t="shared" si="81"/>
        <v>0.10189800000000002</v>
      </c>
      <c r="AM61" s="345">
        <f t="shared" si="82"/>
        <v>4.2604380000000018E-2</v>
      </c>
      <c r="AN61" s="345">
        <f t="shared" ca="1" si="96"/>
        <v>5.9504960038577387E-2</v>
      </c>
      <c r="AO61" s="345">
        <f t="shared" ca="1" si="97"/>
        <v>4.3519595958593664E-2</v>
      </c>
      <c r="AP61" s="345">
        <f t="shared" si="83"/>
        <v>7.8000000000000005E-3</v>
      </c>
      <c r="AQ61" s="345">
        <f t="shared" si="84"/>
        <v>7.4358000000000007E-2</v>
      </c>
      <c r="AR61" s="345">
        <f t="shared" ca="1" si="98"/>
        <v>0.32968493599717108</v>
      </c>
      <c r="AS61" s="372">
        <f t="shared" ca="1" si="85"/>
        <v>96.209287823903821</v>
      </c>
      <c r="AT61" s="372">
        <f t="shared" ca="1" si="86"/>
        <v>133.92802867071458</v>
      </c>
      <c r="AU61" s="372">
        <f t="shared" ca="1" si="87"/>
        <v>108.8165232949556</v>
      </c>
      <c r="AV61" s="345">
        <f t="shared" ca="1" si="88"/>
        <v>8.5685312737183299</v>
      </c>
      <c r="AW61" s="345">
        <f t="shared" ca="1" si="89"/>
        <v>5.1020175438596489</v>
      </c>
      <c r="AX61" s="373">
        <f t="shared" ca="1" si="90"/>
        <v>4.9936842105263155</v>
      </c>
    </row>
    <row r="62" spans="1:50" s="374" customFormat="1" ht="12.75" customHeight="1">
      <c r="A62" s="341">
        <f t="shared" si="49"/>
        <v>85</v>
      </c>
      <c r="B62" s="342">
        <f t="shared" si="50"/>
        <v>8.9450000000000021</v>
      </c>
      <c r="C62" s="359">
        <f t="shared" si="51"/>
        <v>2.6</v>
      </c>
      <c r="D62" s="360">
        <f t="shared" ca="1" si="52"/>
        <v>67.593331364408456</v>
      </c>
      <c r="E62" s="349">
        <f t="shared" ca="1" si="53"/>
        <v>0.47278326339674975</v>
      </c>
      <c r="F62" s="343">
        <f t="shared" si="54"/>
        <v>9.9289500000000031E-2</v>
      </c>
      <c r="G62" s="343">
        <f t="shared" si="55"/>
        <v>0.12135308791666671</v>
      </c>
      <c r="H62" s="343">
        <f t="shared" ca="1" si="56"/>
        <v>0.70859313545253255</v>
      </c>
      <c r="I62" s="343">
        <f t="shared" ca="1" si="57"/>
        <v>0.33972497692511117</v>
      </c>
      <c r="J62" s="343">
        <f t="shared" si="58"/>
        <v>2.3399999999999997E-2</v>
      </c>
      <c r="K62" s="343">
        <f t="shared" si="59"/>
        <v>7.2454500000000005E-2</v>
      </c>
      <c r="L62" s="343">
        <f t="shared" ca="1" si="91"/>
        <v>1.3648152002943106</v>
      </c>
      <c r="M62" s="362">
        <f t="shared" ca="1" si="92"/>
        <v>131.40371681000656</v>
      </c>
      <c r="N62" s="362">
        <f t="shared" ca="1" si="60"/>
        <v>154.65050845773186</v>
      </c>
      <c r="O62" s="362">
        <f t="shared" ca="1" si="61"/>
        <v>125.65353812190713</v>
      </c>
      <c r="P62" s="343">
        <f t="shared" ca="1" si="62"/>
        <v>7.9869704841535558</v>
      </c>
      <c r="Q62" s="361">
        <f t="shared" ca="1" si="63"/>
        <v>5.3186842105263157</v>
      </c>
      <c r="R62" s="363">
        <f t="shared" ca="1" si="64"/>
        <v>4.9936842105263155</v>
      </c>
      <c r="S62" s="364">
        <f t="shared" si="65"/>
        <v>1.7333333333333334</v>
      </c>
      <c r="T62" s="365">
        <f t="shared" ca="1" si="66"/>
        <v>63.10072540375257</v>
      </c>
      <c r="U62" s="366">
        <f t="shared" ca="1" si="67"/>
        <v>0.46114546755921526</v>
      </c>
      <c r="V62" s="344">
        <f t="shared" si="68"/>
        <v>9.9289500000000031E-2</v>
      </c>
      <c r="W62" s="344">
        <f t="shared" si="69"/>
        <v>8.0902058611111147E-2</v>
      </c>
      <c r="X62" s="344">
        <f t="shared" ca="1" si="93"/>
        <v>0.26935253746882909</v>
      </c>
      <c r="Y62" s="344">
        <f t="shared" ca="1" si="94"/>
        <v>0.15750870025128569</v>
      </c>
      <c r="Z62" s="344">
        <f t="shared" si="70"/>
        <v>1.5600000000000001E-2</v>
      </c>
      <c r="AA62" s="344">
        <f t="shared" si="71"/>
        <v>7.2454500000000005E-2</v>
      </c>
      <c r="AB62" s="344">
        <f t="shared" ca="1" si="95"/>
        <v>0.69510729633122592</v>
      </c>
      <c r="AC62" s="367">
        <f t="shared" ca="1" si="72"/>
        <v>108.63364807526168</v>
      </c>
      <c r="AD62" s="367">
        <f t="shared" ca="1" si="73"/>
        <v>141.24349198671408</v>
      </c>
      <c r="AE62" s="367">
        <f t="shared" ca="1" si="74"/>
        <v>114.7603372392052</v>
      </c>
      <c r="AF62" s="344">
        <f t="shared" ca="1" si="75"/>
        <v>8.1802512873011466</v>
      </c>
      <c r="AG62" s="344">
        <f t="shared" ca="1" si="76"/>
        <v>5.2103508771929823</v>
      </c>
      <c r="AH62" s="368">
        <f t="shared" ca="1" si="77"/>
        <v>4.9936842105263155</v>
      </c>
      <c r="AI62" s="369">
        <f t="shared" si="78"/>
        <v>0.8666666666666667</v>
      </c>
      <c r="AJ62" s="370">
        <f t="shared" ca="1" si="79"/>
        <v>59.293151933518274</v>
      </c>
      <c r="AK62" s="371">
        <f t="shared" ca="1" si="80"/>
        <v>0.45112463600185321</v>
      </c>
      <c r="AL62" s="345">
        <f t="shared" si="81"/>
        <v>9.9289500000000031E-2</v>
      </c>
      <c r="AM62" s="345">
        <f t="shared" si="82"/>
        <v>4.0451029305555573E-2</v>
      </c>
      <c r="AN62" s="345">
        <f t="shared" ca="1" si="96"/>
        <v>6.0929414818783799E-2</v>
      </c>
      <c r="AO62" s="345">
        <f t="shared" ca="1" si="97"/>
        <v>4.1830200468830125E-2</v>
      </c>
      <c r="AP62" s="345">
        <f t="shared" si="83"/>
        <v>7.8000000000000005E-3</v>
      </c>
      <c r="AQ62" s="345">
        <f t="shared" si="84"/>
        <v>7.2454500000000005E-2</v>
      </c>
      <c r="AR62" s="345">
        <f t="shared" ca="1" si="98"/>
        <v>0.32275464459316949</v>
      </c>
      <c r="AS62" s="372">
        <f t="shared" ca="1" si="85"/>
        <v>95.973657916167767</v>
      </c>
      <c r="AT62" s="372">
        <f t="shared" ca="1" si="86"/>
        <v>133.78928978103957</v>
      </c>
      <c r="AU62" s="372">
        <f t="shared" ca="1" si="87"/>
        <v>108.70379794709467</v>
      </c>
      <c r="AV62" s="345">
        <f t="shared" ca="1" si="88"/>
        <v>8.3454003868359052</v>
      </c>
      <c r="AW62" s="345">
        <f t="shared" ca="1" si="89"/>
        <v>5.1020175438596489</v>
      </c>
      <c r="AX62" s="373">
        <f t="shared" ca="1" si="90"/>
        <v>4.9936842105263155</v>
      </c>
    </row>
    <row r="63" spans="1:50" s="374" customFormat="1" ht="12.75" customHeight="1">
      <c r="A63" s="341">
        <f t="shared" si="49"/>
        <v>85</v>
      </c>
      <c r="B63" s="342">
        <f t="shared" si="50"/>
        <v>8.7100000000000026</v>
      </c>
      <c r="C63" s="359">
        <f t="shared" si="51"/>
        <v>2.6</v>
      </c>
      <c r="D63" s="360">
        <f t="shared" ca="1" si="52"/>
        <v>69.491369761550672</v>
      </c>
      <c r="E63" s="349">
        <f t="shared" ca="1" si="53"/>
        <v>0.45341977426958108</v>
      </c>
      <c r="F63" s="343">
        <f t="shared" si="54"/>
        <v>9.6681000000000031E-2</v>
      </c>
      <c r="G63" s="343">
        <f t="shared" si="55"/>
        <v>0.11506055166666673</v>
      </c>
      <c r="H63" s="343">
        <f t="shared" ca="1" si="56"/>
        <v>0.72712622766498558</v>
      </c>
      <c r="I63" s="343">
        <f t="shared" ca="1" si="57"/>
        <v>0.31922849258302705</v>
      </c>
      <c r="J63" s="343">
        <f t="shared" si="58"/>
        <v>2.3399999999999997E-2</v>
      </c>
      <c r="K63" s="343">
        <f t="shared" si="59"/>
        <v>7.0551000000000016E-2</v>
      </c>
      <c r="L63" s="343">
        <f t="shared" ca="1" si="91"/>
        <v>1.3520472719146794</v>
      </c>
      <c r="M63" s="362">
        <f t="shared" ca="1" si="92"/>
        <v>130.9696072450991</v>
      </c>
      <c r="N63" s="362">
        <f t="shared" ca="1" si="60"/>
        <v>154.39490474591435</v>
      </c>
      <c r="O63" s="362">
        <f t="shared" ca="1" si="61"/>
        <v>125.44586010605542</v>
      </c>
      <c r="P63" s="343">
        <f t="shared" ca="1" si="62"/>
        <v>7.7643788234638063</v>
      </c>
      <c r="Q63" s="361">
        <f t="shared" ca="1" si="63"/>
        <v>5.3186842105263157</v>
      </c>
      <c r="R63" s="363">
        <f t="shared" ca="1" si="64"/>
        <v>4.9936842105263155</v>
      </c>
      <c r="S63" s="364">
        <f t="shared" si="65"/>
        <v>1.7333333333333334</v>
      </c>
      <c r="T63" s="365">
        <f t="shared" ca="1" si="66"/>
        <v>64.845874304000745</v>
      </c>
      <c r="U63" s="366">
        <f t="shared" ca="1" si="67"/>
        <v>0.44343155731223843</v>
      </c>
      <c r="V63" s="344">
        <f t="shared" si="68"/>
        <v>9.6681000000000031E-2</v>
      </c>
      <c r="W63" s="344">
        <f t="shared" si="69"/>
        <v>7.6707034444444488E-2</v>
      </c>
      <c r="X63" s="344">
        <f t="shared" ca="1" si="93"/>
        <v>0.27630830209142848</v>
      </c>
      <c r="Y63" s="344">
        <f t="shared" ca="1" si="94"/>
        <v>0.14979174676608423</v>
      </c>
      <c r="Z63" s="344">
        <f t="shared" si="70"/>
        <v>1.5600000000000001E-2</v>
      </c>
      <c r="AA63" s="344">
        <f t="shared" si="71"/>
        <v>7.0551000000000016E-2</v>
      </c>
      <c r="AB63" s="344">
        <f t="shared" ca="1" si="95"/>
        <v>0.68563908330195722</v>
      </c>
      <c r="AC63" s="367">
        <f t="shared" ca="1" si="72"/>
        <v>108.31172883226654</v>
      </c>
      <c r="AD63" s="367">
        <f t="shared" ca="1" si="73"/>
        <v>141.05394593643854</v>
      </c>
      <c r="AE63" s="367">
        <f t="shared" ca="1" si="74"/>
        <v>114.60633107335632</v>
      </c>
      <c r="AF63" s="344">
        <f t="shared" ca="1" si="75"/>
        <v>7.9573267536649768</v>
      </c>
      <c r="AG63" s="344">
        <f t="shared" ca="1" si="76"/>
        <v>5.2103508771929823</v>
      </c>
      <c r="AH63" s="368">
        <f t="shared" ca="1" si="77"/>
        <v>4.9936842105263155</v>
      </c>
      <c r="AI63" s="369">
        <f t="shared" si="78"/>
        <v>0.8666666666666667</v>
      </c>
      <c r="AJ63" s="370">
        <f t="shared" ca="1" si="79"/>
        <v>60.91219589760432</v>
      </c>
      <c r="AK63" s="371">
        <f t="shared" ca="1" si="80"/>
        <v>0.43481759555677485</v>
      </c>
      <c r="AL63" s="345">
        <f t="shared" si="81"/>
        <v>9.6681000000000031E-2</v>
      </c>
      <c r="AM63" s="345">
        <f t="shared" si="82"/>
        <v>3.8353517222222244E-2</v>
      </c>
      <c r="AN63" s="345">
        <f t="shared" ca="1" si="96"/>
        <v>6.2430724795934089E-2</v>
      </c>
      <c r="AO63" s="345">
        <f t="shared" ca="1" si="97"/>
        <v>4.0062255264877507E-2</v>
      </c>
      <c r="AP63" s="345">
        <f t="shared" si="83"/>
        <v>7.8000000000000005E-3</v>
      </c>
      <c r="AQ63" s="345">
        <f t="shared" si="84"/>
        <v>7.0551000000000016E-2</v>
      </c>
      <c r="AR63" s="345">
        <f t="shared" ca="1" si="98"/>
        <v>0.31587849728303385</v>
      </c>
      <c r="AS63" s="372">
        <f t="shared" ca="1" si="85"/>
        <v>95.739868907623148</v>
      </c>
      <c r="AT63" s="372">
        <f t="shared" ca="1" si="86"/>
        <v>133.65163481280851</v>
      </c>
      <c r="AU63" s="372">
        <f t="shared" ca="1" si="87"/>
        <v>108.59195328540692</v>
      </c>
      <c r="AV63" s="345">
        <f t="shared" ca="1" si="88"/>
        <v>8.122268569361756</v>
      </c>
      <c r="AW63" s="345">
        <f t="shared" ca="1" si="89"/>
        <v>5.1020175438596489</v>
      </c>
      <c r="AX63" s="373">
        <f t="shared" ca="1" si="90"/>
        <v>4.9936842105263155</v>
      </c>
    </row>
    <row r="64" spans="1:50" s="374" customFormat="1" ht="12.75" customHeight="1">
      <c r="A64" s="341">
        <f t="shared" si="49"/>
        <v>85</v>
      </c>
      <c r="B64" s="342">
        <f t="shared" si="50"/>
        <v>8.4750000000000032</v>
      </c>
      <c r="C64" s="359">
        <f t="shared" si="51"/>
        <v>2.6</v>
      </c>
      <c r="D64" s="360">
        <f t="shared" ca="1" si="52"/>
        <v>71.499797573145571</v>
      </c>
      <c r="E64" s="349">
        <f t="shared" ca="1" si="53"/>
        <v>0.43294139886368938</v>
      </c>
      <c r="F64" s="343">
        <f t="shared" si="54"/>
        <v>9.4072500000000031E-2</v>
      </c>
      <c r="G64" s="343">
        <f t="shared" si="55"/>
        <v>0.10893553125000009</v>
      </c>
      <c r="H64" s="343">
        <f t="shared" ca="1" si="56"/>
        <v>0.74675481070346639</v>
      </c>
      <c r="I64" s="343">
        <f t="shared" ca="1" si="57"/>
        <v>0.29766046884963004</v>
      </c>
      <c r="J64" s="343">
        <f t="shared" si="58"/>
        <v>2.3399999999999997E-2</v>
      </c>
      <c r="K64" s="343">
        <f t="shared" si="59"/>
        <v>6.8647500000000014E-2</v>
      </c>
      <c r="L64" s="343">
        <f t="shared" ca="1" si="91"/>
        <v>1.3394708108030966</v>
      </c>
      <c r="M64" s="362">
        <f t="shared" ca="1" si="92"/>
        <v>130.54200756730529</v>
      </c>
      <c r="N64" s="362">
        <f t="shared" ca="1" si="60"/>
        <v>154.14313405562936</v>
      </c>
      <c r="O64" s="362">
        <f t="shared" ca="1" si="61"/>
        <v>125.24129642019886</v>
      </c>
      <c r="P64" s="343">
        <f t="shared" ca="1" si="62"/>
        <v>7.541777290347973</v>
      </c>
      <c r="Q64" s="361">
        <f t="shared" ca="1" si="63"/>
        <v>5.3186842105263157</v>
      </c>
      <c r="R64" s="363">
        <f t="shared" ca="1" si="64"/>
        <v>4.9936842105263155</v>
      </c>
      <c r="S64" s="364">
        <f t="shared" si="65"/>
        <v>1.7333333333333334</v>
      </c>
      <c r="T64" s="365">
        <f t="shared" ca="1" si="66"/>
        <v>66.690620156105439</v>
      </c>
      <c r="U64" s="366">
        <f t="shared" ca="1" si="67"/>
        <v>0.42471188928759357</v>
      </c>
      <c r="V64" s="344">
        <f t="shared" si="68"/>
        <v>9.4072500000000031E-2</v>
      </c>
      <c r="W64" s="344">
        <f t="shared" si="69"/>
        <v>7.2623687500000061E-2</v>
      </c>
      <c r="X64" s="344">
        <f t="shared" ca="1" si="93"/>
        <v>0.28366437670386674</v>
      </c>
      <c r="Y64" s="344">
        <f t="shared" ca="1" si="94"/>
        <v>0.14167936135087325</v>
      </c>
      <c r="Z64" s="344">
        <f t="shared" si="70"/>
        <v>1.5600000000000001E-2</v>
      </c>
      <c r="AA64" s="344">
        <f t="shared" si="71"/>
        <v>6.8647500000000014E-2</v>
      </c>
      <c r="AB64" s="344">
        <f t="shared" ca="1" si="95"/>
        <v>0.67628742555473997</v>
      </c>
      <c r="AC64" s="367">
        <f t="shared" ca="1" si="72"/>
        <v>107.99377246886115</v>
      </c>
      <c r="AD64" s="367">
        <f t="shared" ca="1" si="73"/>
        <v>140.86673322966544</v>
      </c>
      <c r="AE64" s="367">
        <f t="shared" ca="1" si="74"/>
        <v>114.45422074910317</v>
      </c>
      <c r="AF64" s="344">
        <f t="shared" ca="1" si="75"/>
        <v>7.7343982134835638</v>
      </c>
      <c r="AG64" s="344">
        <f t="shared" ca="1" si="76"/>
        <v>5.2103508771929823</v>
      </c>
      <c r="AH64" s="368">
        <f t="shared" ca="1" si="77"/>
        <v>4.9936842105263155</v>
      </c>
      <c r="AI64" s="369">
        <f t="shared" si="78"/>
        <v>0.8666666666666667</v>
      </c>
      <c r="AJ64" s="370">
        <f t="shared" ca="1" si="79"/>
        <v>62.622243095234126</v>
      </c>
      <c r="AK64" s="371">
        <f t="shared" ca="1" si="80"/>
        <v>0.41759566064362497</v>
      </c>
      <c r="AL64" s="345">
        <f t="shared" si="81"/>
        <v>9.4072500000000031E-2</v>
      </c>
      <c r="AM64" s="345">
        <f t="shared" si="82"/>
        <v>3.6311843750000031E-2</v>
      </c>
      <c r="AN64" s="345">
        <f t="shared" ca="1" si="96"/>
        <v>6.4015535806925802E-2</v>
      </c>
      <c r="AO64" s="345">
        <f t="shared" ca="1" si="97"/>
        <v>3.8209380840618742E-2</v>
      </c>
      <c r="AP64" s="345">
        <f t="shared" si="83"/>
        <v>7.8000000000000005E-3</v>
      </c>
      <c r="AQ64" s="345">
        <f t="shared" si="84"/>
        <v>6.8647500000000014E-2</v>
      </c>
      <c r="AR64" s="345">
        <f t="shared" ca="1" si="98"/>
        <v>0.30905676039754465</v>
      </c>
      <c r="AS64" s="372">
        <f t="shared" ca="1" si="85"/>
        <v>95.507929853516515</v>
      </c>
      <c r="AT64" s="372">
        <f t="shared" ca="1" si="86"/>
        <v>133.51506909775054</v>
      </c>
      <c r="AU64" s="372">
        <f t="shared" ca="1" si="87"/>
        <v>108.48099364192231</v>
      </c>
      <c r="AV64" s="345">
        <f t="shared" ca="1" si="88"/>
        <v>7.8991358167183705</v>
      </c>
      <c r="AW64" s="345">
        <f t="shared" ca="1" si="89"/>
        <v>5.1020175438596489</v>
      </c>
      <c r="AX64" s="373">
        <f t="shared" ca="1" si="90"/>
        <v>4.9936842105263155</v>
      </c>
    </row>
    <row r="65" spans="1:50" s="374" customFormat="1" ht="12.75" customHeight="1">
      <c r="A65" s="341">
        <f t="shared" si="49"/>
        <v>85</v>
      </c>
      <c r="B65" s="342">
        <f t="shared" si="50"/>
        <v>8.2400000000000038</v>
      </c>
      <c r="C65" s="359">
        <f t="shared" si="51"/>
        <v>2.6</v>
      </c>
      <c r="D65" s="360">
        <f t="shared" ca="1" si="52"/>
        <v>73.628522519758505</v>
      </c>
      <c r="E65" s="349">
        <f t="shared" ca="1" si="53"/>
        <v>0.41124789890105939</v>
      </c>
      <c r="F65" s="343">
        <f t="shared" si="54"/>
        <v>9.1464000000000045E-2</v>
      </c>
      <c r="G65" s="343">
        <f t="shared" si="55"/>
        <v>0.10297802666666676</v>
      </c>
      <c r="H65" s="343">
        <f t="shared" ca="1" si="56"/>
        <v>0.76757778536063326</v>
      </c>
      <c r="I65" s="343">
        <f t="shared" ca="1" si="57"/>
        <v>0.27492280964268312</v>
      </c>
      <c r="J65" s="343">
        <f t="shared" si="58"/>
        <v>2.3399999999999997E-2</v>
      </c>
      <c r="K65" s="343">
        <f t="shared" si="59"/>
        <v>6.6744000000000026E-2</v>
      </c>
      <c r="L65" s="343">
        <f t="shared" ca="1" si="91"/>
        <v>1.327086621669983</v>
      </c>
      <c r="M65" s="362">
        <f t="shared" ca="1" si="92"/>
        <v>130.12094513677943</v>
      </c>
      <c r="N65" s="362">
        <f t="shared" ca="1" si="60"/>
        <v>153.89521249653572</v>
      </c>
      <c r="O65" s="362">
        <f t="shared" ca="1" si="61"/>
        <v>125.03986015343528</v>
      </c>
      <c r="P65" s="343">
        <f t="shared" ca="1" si="62"/>
        <v>7.3191658433136135</v>
      </c>
      <c r="Q65" s="361">
        <f t="shared" ca="1" si="63"/>
        <v>5.3186842105263157</v>
      </c>
      <c r="R65" s="363">
        <f t="shared" ca="1" si="64"/>
        <v>4.9936842105263155</v>
      </c>
      <c r="S65" s="364">
        <f t="shared" si="65"/>
        <v>1.7333333333333334</v>
      </c>
      <c r="T65" s="365">
        <f t="shared" ca="1" si="66"/>
        <v>68.643735226541921</v>
      </c>
      <c r="U65" s="366">
        <f t="shared" ca="1" si="67"/>
        <v>0.40489780961699023</v>
      </c>
      <c r="V65" s="344">
        <f t="shared" si="68"/>
        <v>9.1464000000000045E-2</v>
      </c>
      <c r="W65" s="344">
        <f t="shared" si="69"/>
        <v>6.8652017777777838E-2</v>
      </c>
      <c r="X65" s="344">
        <f t="shared" ca="1" si="93"/>
        <v>0.29145637129092078</v>
      </c>
      <c r="Y65" s="344">
        <f t="shared" ca="1" si="94"/>
        <v>0.13313644891188439</v>
      </c>
      <c r="Z65" s="344">
        <f t="shared" si="70"/>
        <v>1.5600000000000001E-2</v>
      </c>
      <c r="AA65" s="344">
        <f t="shared" si="71"/>
        <v>6.6744000000000026E-2</v>
      </c>
      <c r="AB65" s="344">
        <f t="shared" ca="1" si="95"/>
        <v>0.66705283798058301</v>
      </c>
      <c r="AC65" s="367">
        <f t="shared" ca="1" si="72"/>
        <v>107.67979649133983</v>
      </c>
      <c r="AD65" s="367">
        <f t="shared" ca="1" si="73"/>
        <v>140.68186417410089</v>
      </c>
      <c r="AE65" s="367">
        <f t="shared" ca="1" si="74"/>
        <v>114.30401464145697</v>
      </c>
      <c r="AF65" s="344">
        <f t="shared" ca="1" si="75"/>
        <v>7.5114656490577234</v>
      </c>
      <c r="AG65" s="344">
        <f t="shared" ca="1" si="76"/>
        <v>5.2103508771929823</v>
      </c>
      <c r="AH65" s="368">
        <f t="shared" ca="1" si="77"/>
        <v>4.9936842105263155</v>
      </c>
      <c r="AI65" s="369">
        <f t="shared" si="78"/>
        <v>0.8666666666666667</v>
      </c>
      <c r="AJ65" s="370">
        <f t="shared" ca="1" si="79"/>
        <v>64.431187133081082</v>
      </c>
      <c r="AK65" s="371">
        <f t="shared" ca="1" si="80"/>
        <v>0.39937945820913162</v>
      </c>
      <c r="AL65" s="345">
        <f t="shared" si="81"/>
        <v>9.1464000000000045E-2</v>
      </c>
      <c r="AM65" s="345">
        <f t="shared" si="82"/>
        <v>3.4326008888888919E-2</v>
      </c>
      <c r="AN65" s="345">
        <f t="shared" ca="1" si="96"/>
        <v>6.5691319708270079E-2</v>
      </c>
      <c r="AO65" s="345">
        <f t="shared" ca="1" si="97"/>
        <v>3.6264460762740369E-2</v>
      </c>
      <c r="AP65" s="345">
        <f t="shared" si="83"/>
        <v>7.8000000000000005E-3</v>
      </c>
      <c r="AQ65" s="345">
        <f t="shared" si="84"/>
        <v>6.6744000000000026E-2</v>
      </c>
      <c r="AR65" s="345">
        <f t="shared" ca="1" si="98"/>
        <v>0.30228978935989947</v>
      </c>
      <c r="AS65" s="372">
        <f t="shared" ca="1" si="85"/>
        <v>95.277852838236583</v>
      </c>
      <c r="AT65" s="372">
        <f t="shared" ca="1" si="86"/>
        <v>133.37959975115371</v>
      </c>
      <c r="AU65" s="372">
        <f t="shared" ca="1" si="87"/>
        <v>108.37092479781239</v>
      </c>
      <c r="AV65" s="345">
        <f t="shared" ca="1" si="88"/>
        <v>7.6760021227969801</v>
      </c>
      <c r="AW65" s="345">
        <f t="shared" ca="1" si="89"/>
        <v>5.1020175438596489</v>
      </c>
      <c r="AX65" s="373">
        <f t="shared" ca="1" si="90"/>
        <v>4.9936842105263155</v>
      </c>
    </row>
    <row r="66" spans="1:50" s="374" customFormat="1" ht="12.75" customHeight="1">
      <c r="A66" s="341">
        <f t="shared" si="49"/>
        <v>85</v>
      </c>
      <c r="B66" s="342">
        <f t="shared" si="50"/>
        <v>8.0050000000000043</v>
      </c>
      <c r="C66" s="359">
        <f t="shared" si="51"/>
        <v>2.6</v>
      </c>
      <c r="D66" s="360">
        <f t="shared" ca="1" si="52"/>
        <v>75.888674762855231</v>
      </c>
      <c r="E66" s="349">
        <f t="shared" ca="1" si="53"/>
        <v>0.38822667133696392</v>
      </c>
      <c r="F66" s="343">
        <f t="shared" si="54"/>
        <v>8.8855500000000059E-2</v>
      </c>
      <c r="G66" s="343">
        <f t="shared" si="55"/>
        <v>9.7188037916666789E-2</v>
      </c>
      <c r="H66" s="343">
        <f t="shared" ca="1" si="56"/>
        <v>0.78970643262332807</v>
      </c>
      <c r="I66" s="343">
        <f t="shared" ca="1" si="57"/>
        <v>0.25090527273466412</v>
      </c>
      <c r="J66" s="343">
        <f t="shared" si="58"/>
        <v>2.3399999999999997E-2</v>
      </c>
      <c r="K66" s="343">
        <f t="shared" si="59"/>
        <v>6.4840500000000037E-2</v>
      </c>
      <c r="L66" s="343">
        <f t="shared" ca="1" si="91"/>
        <v>1.3148957432746593</v>
      </c>
      <c r="M66" s="362">
        <f t="shared" ca="1" si="92"/>
        <v>129.70645527133843</v>
      </c>
      <c r="N66" s="362">
        <f t="shared" ca="1" si="60"/>
        <v>153.65116086376406</v>
      </c>
      <c r="O66" s="362">
        <f t="shared" ca="1" si="61"/>
        <v>124.84156820180831</v>
      </c>
      <c r="P66" s="343">
        <f t="shared" ca="1" si="62"/>
        <v>7.0965444288002715</v>
      </c>
      <c r="Q66" s="361">
        <f t="shared" ca="1" si="63"/>
        <v>5.3186842105263157</v>
      </c>
      <c r="R66" s="363">
        <f t="shared" ca="1" si="64"/>
        <v>4.9936842105263155</v>
      </c>
      <c r="S66" s="364">
        <f t="shared" si="65"/>
        <v>1.7333333333333334</v>
      </c>
      <c r="T66" s="365">
        <f t="shared" ca="1" si="66"/>
        <v>70.715053221734763</v>
      </c>
      <c r="U66" s="366">
        <f t="shared" ca="1" si="67"/>
        <v>0.38388993860918236</v>
      </c>
      <c r="V66" s="344">
        <f t="shared" si="68"/>
        <v>8.8855500000000059E-2</v>
      </c>
      <c r="W66" s="344">
        <f t="shared" si="69"/>
        <v>6.4792025277777859E-2</v>
      </c>
      <c r="X66" s="344">
        <f t="shared" ca="1" si="93"/>
        <v>0.29972431373460717</v>
      </c>
      <c r="Y66" s="344">
        <f t="shared" ca="1" si="94"/>
        <v>0.12412365084909879</v>
      </c>
      <c r="Z66" s="344">
        <f t="shared" si="70"/>
        <v>1.5600000000000001E-2</v>
      </c>
      <c r="AA66" s="344">
        <f t="shared" si="71"/>
        <v>6.4840500000000037E-2</v>
      </c>
      <c r="AB66" s="344">
        <f t="shared" ca="1" si="95"/>
        <v>0.65793598986148394</v>
      </c>
      <c r="AC66" s="367">
        <f t="shared" ca="1" si="72"/>
        <v>107.36982365529045</v>
      </c>
      <c r="AD66" s="367">
        <f t="shared" ca="1" si="73"/>
        <v>140.49935216823502</v>
      </c>
      <c r="AE66" s="367">
        <f t="shared" ca="1" si="74"/>
        <v>114.15572363669095</v>
      </c>
      <c r="AF66" s="344">
        <f t="shared" ca="1" si="75"/>
        <v>7.2885290373811298</v>
      </c>
      <c r="AG66" s="344">
        <f t="shared" ca="1" si="76"/>
        <v>5.2103508771929823</v>
      </c>
      <c r="AH66" s="368">
        <f t="shared" ca="1" si="77"/>
        <v>4.9936842105263155</v>
      </c>
      <c r="AI66" s="369">
        <f t="shared" si="78"/>
        <v>0.8666666666666667</v>
      </c>
      <c r="AJ66" s="370">
        <f t="shared" ca="1" si="79"/>
        <v>66.347861751677272</v>
      </c>
      <c r="AK66" s="371">
        <f t="shared" ca="1" si="80"/>
        <v>0.38008016226290409</v>
      </c>
      <c r="AL66" s="345">
        <f t="shared" si="81"/>
        <v>8.8855500000000059E-2</v>
      </c>
      <c r="AM66" s="345">
        <f t="shared" si="82"/>
        <v>3.239601263888893E-2</v>
      </c>
      <c r="AN66" s="345">
        <f t="shared" ca="1" si="96"/>
        <v>6.7466512072634072E-2</v>
      </c>
      <c r="AO66" s="345">
        <f t="shared" ca="1" si="97"/>
        <v>3.4219526167970596E-2</v>
      </c>
      <c r="AP66" s="345">
        <f t="shared" si="83"/>
        <v>7.8000000000000005E-3</v>
      </c>
      <c r="AQ66" s="345">
        <f t="shared" si="84"/>
        <v>6.4840500000000037E-2</v>
      </c>
      <c r="AR66" s="345">
        <f t="shared" ca="1" si="98"/>
        <v>0.29557805087949368</v>
      </c>
      <c r="AS66" s="372">
        <f t="shared" ca="1" si="85"/>
        <v>95.049653729902786</v>
      </c>
      <c r="AT66" s="372">
        <f t="shared" ca="1" si="86"/>
        <v>133.24523611616675</v>
      </c>
      <c r="AU66" s="372">
        <f t="shared" ca="1" si="87"/>
        <v>108.26175434438549</v>
      </c>
      <c r="AV66" s="345">
        <f t="shared" ca="1" si="88"/>
        <v>7.4528674795761019</v>
      </c>
      <c r="AW66" s="345">
        <f t="shared" ca="1" si="89"/>
        <v>5.1020175438596489</v>
      </c>
      <c r="AX66" s="373">
        <f t="shared" ca="1" si="90"/>
        <v>4.9936842105263155</v>
      </c>
    </row>
    <row r="67" spans="1:50" s="374" customFormat="1" ht="12.75" customHeight="1">
      <c r="A67" s="341">
        <f t="shared" si="49"/>
        <v>85</v>
      </c>
      <c r="B67" s="342">
        <f t="shared" si="50"/>
        <v>7.7700000000000049</v>
      </c>
      <c r="C67" s="359">
        <f t="shared" si="51"/>
        <v>2.6</v>
      </c>
      <c r="D67" s="360">
        <f t="shared" ca="1" si="52"/>
        <v>78.29280148940218</v>
      </c>
      <c r="E67" s="349">
        <f t="shared" ca="1" si="53"/>
        <v>0.36375078078307765</v>
      </c>
      <c r="F67" s="343">
        <f t="shared" si="54"/>
        <v>8.6247000000000046E-2</v>
      </c>
      <c r="G67" s="343">
        <f t="shared" si="55"/>
        <v>9.1565565000000113E-2</v>
      </c>
      <c r="H67" s="343">
        <f t="shared" ca="1" si="56"/>
        <v>0.81326643065774984</v>
      </c>
      <c r="I67" s="343">
        <f t="shared" ca="1" si="57"/>
        <v>0.22548351210401826</v>
      </c>
      <c r="J67" s="343">
        <f t="shared" si="58"/>
        <v>2.3399999999999997E-2</v>
      </c>
      <c r="K67" s="343">
        <f t="shared" si="59"/>
        <v>6.2937000000000048E-2</v>
      </c>
      <c r="L67" s="343">
        <f t="shared" ca="1" si="91"/>
        <v>1.3028995077617682</v>
      </c>
      <c r="M67" s="362">
        <f t="shared" ca="1" si="92"/>
        <v>129.29858326390013</v>
      </c>
      <c r="N67" s="362">
        <f t="shared" ca="1" si="60"/>
        <v>153.4110058257844</v>
      </c>
      <c r="O67" s="362">
        <f t="shared" ca="1" si="61"/>
        <v>124.64644223344982</v>
      </c>
      <c r="P67" s="343">
        <f t="shared" ca="1" si="62"/>
        <v>6.8739129781199679</v>
      </c>
      <c r="Q67" s="361">
        <f t="shared" ca="1" si="63"/>
        <v>5.3186842105263157</v>
      </c>
      <c r="R67" s="363">
        <f t="shared" ca="1" si="64"/>
        <v>4.9936842105263155</v>
      </c>
      <c r="S67" s="364">
        <f t="shared" si="65"/>
        <v>1.7333333333333334</v>
      </c>
      <c r="T67" s="365">
        <f t="shared" ca="1" si="66"/>
        <v>72.915634858251195</v>
      </c>
      <c r="U67" s="366">
        <f t="shared" ca="1" si="67"/>
        <v>0.36157649792564134</v>
      </c>
      <c r="V67" s="344">
        <f t="shared" si="68"/>
        <v>8.6247000000000046E-2</v>
      </c>
      <c r="W67" s="344">
        <f t="shared" si="69"/>
        <v>6.1043710000000077E-2</v>
      </c>
      <c r="X67" s="344">
        <f t="shared" ca="1" si="93"/>
        <v>0.30851336725584128</v>
      </c>
      <c r="Y67" s="344">
        <f t="shared" ca="1" si="94"/>
        <v>0.11459666649150889</v>
      </c>
      <c r="Z67" s="344">
        <f t="shared" si="70"/>
        <v>1.5600000000000001E-2</v>
      </c>
      <c r="AA67" s="344">
        <f t="shared" si="71"/>
        <v>6.2937000000000048E-2</v>
      </c>
      <c r="AB67" s="344">
        <f t="shared" ca="1" si="95"/>
        <v>0.64893774374735025</v>
      </c>
      <c r="AC67" s="367">
        <f t="shared" ca="1" si="72"/>
        <v>107.06388328740991</v>
      </c>
      <c r="AD67" s="367">
        <f t="shared" ca="1" si="73"/>
        <v>140.31921447962696</v>
      </c>
      <c r="AE67" s="367">
        <f t="shared" ca="1" si="74"/>
        <v>114.00936176469691</v>
      </c>
      <c r="AF67" s="344">
        <f t="shared" ca="1" si="75"/>
        <v>7.0655883488039457</v>
      </c>
      <c r="AG67" s="344">
        <f t="shared" ca="1" si="76"/>
        <v>5.2103508771929823</v>
      </c>
      <c r="AH67" s="368">
        <f t="shared" ca="1" si="77"/>
        <v>4.9936842105263155</v>
      </c>
      <c r="AI67" s="369">
        <f t="shared" si="78"/>
        <v>0.8666666666666667</v>
      </c>
      <c r="AJ67" s="370">
        <f t="shared" ca="1" si="79"/>
        <v>68.382185090871403</v>
      </c>
      <c r="AK67" s="371">
        <f t="shared" ca="1" si="80"/>
        <v>0.35959804339539025</v>
      </c>
      <c r="AL67" s="345">
        <f t="shared" si="81"/>
        <v>8.6247000000000046E-2</v>
      </c>
      <c r="AM67" s="345">
        <f t="shared" si="82"/>
        <v>3.0521855000000039E-2</v>
      </c>
      <c r="AN67" s="345">
        <f t="shared" ca="1" si="96"/>
        <v>6.9350679193425815E-2</v>
      </c>
      <c r="AO67" s="345">
        <f t="shared" ca="1" si="97"/>
        <v>3.2065616734040382E-2</v>
      </c>
      <c r="AP67" s="345">
        <f t="shared" si="83"/>
        <v>7.8000000000000005E-3</v>
      </c>
      <c r="AQ67" s="345">
        <f t="shared" si="84"/>
        <v>6.2937000000000048E-2</v>
      </c>
      <c r="AR67" s="345">
        <f t="shared" ca="1" si="98"/>
        <v>0.28892215092746631</v>
      </c>
      <c r="AS67" s="372">
        <f t="shared" ca="1" si="85"/>
        <v>94.82335313153385</v>
      </c>
      <c r="AT67" s="372">
        <f t="shared" ca="1" si="86"/>
        <v>133.11199032384712</v>
      </c>
      <c r="AU67" s="372">
        <f t="shared" ca="1" si="87"/>
        <v>108.1534921381258</v>
      </c>
      <c r="AV67" s="345">
        <f t="shared" ca="1" si="88"/>
        <v>7.2297318766407184</v>
      </c>
      <c r="AW67" s="345">
        <f t="shared" ca="1" si="89"/>
        <v>5.1020175438596489</v>
      </c>
      <c r="AX67" s="373">
        <f t="shared" ca="1" si="90"/>
        <v>4.9936842105263155</v>
      </c>
    </row>
    <row r="68" spans="1:50" s="374" customFormat="1" ht="12.75" customHeight="1">
      <c r="A68" s="341">
        <f t="shared" si="49"/>
        <v>85</v>
      </c>
      <c r="B68" s="342">
        <f t="shared" si="50"/>
        <v>7.5350000000000046</v>
      </c>
      <c r="C68" s="359">
        <f t="shared" si="51"/>
        <v>2.6</v>
      </c>
      <c r="D68" s="360">
        <f t="shared" ca="1" si="52"/>
        <v>80.855099899686351</v>
      </c>
      <c r="E68" s="349">
        <f t="shared" ca="1" si="53"/>
        <v>0.33767660376293057</v>
      </c>
      <c r="F68" s="343">
        <f t="shared" si="54"/>
        <v>8.3638500000000046E-2</v>
      </c>
      <c r="G68" s="343">
        <f t="shared" si="55"/>
        <v>8.6110607916666762E-2</v>
      </c>
      <c r="H68" s="343">
        <f t="shared" ca="1" si="56"/>
        <v>0.83840028292851854</v>
      </c>
      <c r="I68" s="343">
        <f t="shared" ca="1" si="57"/>
        <v>0.19851672535999731</v>
      </c>
      <c r="J68" s="343">
        <f t="shared" si="58"/>
        <v>2.3399999999999997E-2</v>
      </c>
      <c r="K68" s="343">
        <f t="shared" si="59"/>
        <v>6.1033500000000039E-2</v>
      </c>
      <c r="L68" s="343">
        <f t="shared" ca="1" si="91"/>
        <v>1.2910996162051827</v>
      </c>
      <c r="M68" s="362">
        <f t="shared" ca="1" si="92"/>
        <v>128.89738695097623</v>
      </c>
      <c r="N68" s="362">
        <f t="shared" ca="1" si="60"/>
        <v>153.1747814367348</v>
      </c>
      <c r="O68" s="362">
        <f t="shared" ca="1" si="61"/>
        <v>124.45450991734702</v>
      </c>
      <c r="P68" s="343">
        <f t="shared" ca="1" si="62"/>
        <v>6.6512714035620135</v>
      </c>
      <c r="Q68" s="361">
        <f t="shared" ca="1" si="63"/>
        <v>5.3186842105263157</v>
      </c>
      <c r="R68" s="363">
        <f t="shared" ca="1" si="64"/>
        <v>4.9936842105263155</v>
      </c>
      <c r="S68" s="364">
        <f t="shared" si="65"/>
        <v>1.7333333333333334</v>
      </c>
      <c r="T68" s="365">
        <f t="shared" ca="1" si="66"/>
        <v>75.257965428242812</v>
      </c>
      <c r="U68" s="366">
        <f t="shared" ca="1" si="67"/>
        <v>0.33783131455823212</v>
      </c>
      <c r="V68" s="344">
        <f t="shared" si="68"/>
        <v>8.3638500000000046E-2</v>
      </c>
      <c r="W68" s="344">
        <f t="shared" si="69"/>
        <v>5.7407071944444513E-2</v>
      </c>
      <c r="X68" s="344">
        <f t="shared" ca="1" si="93"/>
        <v>0.31787469435689897</v>
      </c>
      <c r="Y68" s="344">
        <f t="shared" ca="1" si="94"/>
        <v>0.10450543849427021</v>
      </c>
      <c r="Z68" s="344">
        <f t="shared" si="70"/>
        <v>1.5600000000000001E-2</v>
      </c>
      <c r="AA68" s="344">
        <f t="shared" si="71"/>
        <v>6.1033500000000039E-2</v>
      </c>
      <c r="AB68" s="344">
        <f t="shared" ca="1" si="95"/>
        <v>0.64005920479561373</v>
      </c>
      <c r="AC68" s="367">
        <f t="shared" ca="1" si="72"/>
        <v>106.76201296305086</v>
      </c>
      <c r="AD68" s="367">
        <f t="shared" ca="1" si="73"/>
        <v>140.14147323264436</v>
      </c>
      <c r="AE68" s="367">
        <f t="shared" ca="1" si="74"/>
        <v>113.86494700152355</v>
      </c>
      <c r="AF68" s="344">
        <f t="shared" ca="1" si="75"/>
        <v>6.8426435453367844</v>
      </c>
      <c r="AG68" s="344">
        <f t="shared" ca="1" si="76"/>
        <v>5.2103508771929823</v>
      </c>
      <c r="AH68" s="368">
        <f t="shared" ca="1" si="77"/>
        <v>4.9936842105263155</v>
      </c>
      <c r="AI68" s="369">
        <f t="shared" si="78"/>
        <v>0.8666666666666667</v>
      </c>
      <c r="AJ68" s="370">
        <f t="shared" ca="1" si="79"/>
        <v>70.545331363549153</v>
      </c>
      <c r="AK68" s="371">
        <f t="shared" ca="1" si="80"/>
        <v>0.33782074274784268</v>
      </c>
      <c r="AL68" s="345">
        <f t="shared" si="81"/>
        <v>8.3638500000000046E-2</v>
      </c>
      <c r="AM68" s="345">
        <f t="shared" si="82"/>
        <v>2.8703535972222256E-2</v>
      </c>
      <c r="AN68" s="345">
        <f t="shared" ca="1" si="96"/>
        <v>7.1354722070572169E-2</v>
      </c>
      <c r="AO68" s="345">
        <f t="shared" ca="1" si="97"/>
        <v>2.9792612120618865E-2</v>
      </c>
      <c r="AP68" s="345">
        <f t="shared" si="83"/>
        <v>7.8000000000000005E-3</v>
      </c>
      <c r="AQ68" s="345">
        <f t="shared" si="84"/>
        <v>6.1033500000000039E-2</v>
      </c>
      <c r="AR68" s="345">
        <f t="shared" ca="1" si="98"/>
        <v>0.2823228701634134</v>
      </c>
      <c r="AS68" s="372">
        <f t="shared" ca="1" si="85"/>
        <v>94.598977585556057</v>
      </c>
      <c r="AT68" s="372">
        <f t="shared" ca="1" si="86"/>
        <v>132.97987800237541</v>
      </c>
      <c r="AU68" s="372">
        <f t="shared" ca="1" si="87"/>
        <v>108.04615087693003</v>
      </c>
      <c r="AV68" s="345">
        <f t="shared" ca="1" si="88"/>
        <v>7.0065953005733812</v>
      </c>
      <c r="AW68" s="345">
        <f t="shared" ca="1" si="89"/>
        <v>5.1020175438596489</v>
      </c>
      <c r="AX68" s="373">
        <f t="shared" ca="1" si="90"/>
        <v>4.9936842105263155</v>
      </c>
    </row>
    <row r="69" spans="1:50" s="374" customFormat="1" ht="12.75" customHeight="1">
      <c r="A69" s="341">
        <f t="shared" si="49"/>
        <v>85</v>
      </c>
      <c r="B69" s="342">
        <f t="shared" si="50"/>
        <v>7.3000000000000043</v>
      </c>
      <c r="C69" s="359">
        <f t="shared" si="51"/>
        <v>2.6</v>
      </c>
      <c r="D69" s="360">
        <f t="shared" ca="1" si="52"/>
        <v>83.591697745567544</v>
      </c>
      <c r="E69" s="349">
        <f t="shared" ca="1" si="53"/>
        <v>0.30984099238764268</v>
      </c>
      <c r="F69" s="343">
        <f t="shared" si="54"/>
        <v>8.1030000000000046E-2</v>
      </c>
      <c r="G69" s="343">
        <f t="shared" si="55"/>
        <v>8.0823166666666765E-2</v>
      </c>
      <c r="H69" s="343">
        <f t="shared" ca="1" si="56"/>
        <v>0.86527025951308667</v>
      </c>
      <c r="I69" s="343">
        <f t="shared" ca="1" si="57"/>
        <v>0.169844809146908</v>
      </c>
      <c r="J69" s="343">
        <f t="shared" si="58"/>
        <v>2.3399999999999997E-2</v>
      </c>
      <c r="K69" s="343">
        <f t="shared" si="59"/>
        <v>5.9130000000000037E-2</v>
      </c>
      <c r="L69" s="343">
        <f t="shared" ca="1" si="91"/>
        <v>1.2794982353266617</v>
      </c>
      <c r="M69" s="362">
        <f t="shared" ca="1" si="92"/>
        <v>128.50294000110651</v>
      </c>
      <c r="N69" s="362">
        <f t="shared" ca="1" si="60"/>
        <v>152.94253107265152</v>
      </c>
      <c r="O69" s="362">
        <f t="shared" ca="1" si="61"/>
        <v>124.26580649652936</v>
      </c>
      <c r="P69" s="343">
        <f t="shared" ca="1" si="62"/>
        <v>6.4286195934060064</v>
      </c>
      <c r="Q69" s="361">
        <f t="shared" ca="1" si="63"/>
        <v>5.3186842105263157</v>
      </c>
      <c r="R69" s="363">
        <f t="shared" ca="1" si="64"/>
        <v>4.9936842105263155</v>
      </c>
      <c r="S69" s="364">
        <f t="shared" si="65"/>
        <v>1.7333333333333334</v>
      </c>
      <c r="T69" s="365">
        <f t="shared" ca="1" si="66"/>
        <v>77.756191815081124</v>
      </c>
      <c r="U69" s="366">
        <f t="shared" ca="1" si="67"/>
        <v>0.31251142632139178</v>
      </c>
      <c r="V69" s="344">
        <f t="shared" si="68"/>
        <v>8.1030000000000046E-2</v>
      </c>
      <c r="W69" s="344">
        <f t="shared" si="69"/>
        <v>5.3882111111111179E-2</v>
      </c>
      <c r="X69" s="344">
        <f t="shared" ca="1" si="93"/>
        <v>0.32786650384202515</v>
      </c>
      <c r="Y69" s="344">
        <f t="shared" ca="1" si="94"/>
        <v>9.3793168768682822E-2</v>
      </c>
      <c r="Z69" s="344">
        <f t="shared" si="70"/>
        <v>1.5600000000000001E-2</v>
      </c>
      <c r="AA69" s="344">
        <f t="shared" si="71"/>
        <v>5.9130000000000037E-2</v>
      </c>
      <c r="AB69" s="344">
        <f t="shared" ca="1" si="95"/>
        <v>0.63130178372181911</v>
      </c>
      <c r="AC69" s="367">
        <f t="shared" ca="1" si="72"/>
        <v>106.46426064654185</v>
      </c>
      <c r="AD69" s="367">
        <f t="shared" ca="1" si="73"/>
        <v>139.96615666868382</v>
      </c>
      <c r="AE69" s="367">
        <f t="shared" ca="1" si="74"/>
        <v>113.72250229330562</v>
      </c>
      <c r="AF69" s="344">
        <f t="shared" ca="1" si="75"/>
        <v>6.6196945784868175</v>
      </c>
      <c r="AG69" s="344">
        <f t="shared" ca="1" si="76"/>
        <v>5.2103508771929823</v>
      </c>
      <c r="AH69" s="368">
        <f t="shared" ca="1" si="77"/>
        <v>4.9936842105263155</v>
      </c>
      <c r="AI69" s="369">
        <f t="shared" si="78"/>
        <v>0.8666666666666667</v>
      </c>
      <c r="AJ69" s="370">
        <f t="shared" ca="1" si="79"/>
        <v>72.849936211798763</v>
      </c>
      <c r="AK69" s="371">
        <f t="shared" ca="1" si="80"/>
        <v>0.31462120736313282</v>
      </c>
      <c r="AL69" s="345">
        <f t="shared" si="81"/>
        <v>8.1030000000000046E-2</v>
      </c>
      <c r="AM69" s="345">
        <f t="shared" si="82"/>
        <v>2.694105555555559E-2</v>
      </c>
      <c r="AN69" s="345">
        <f t="shared" ca="1" si="96"/>
        <v>7.3491127452395874E-2</v>
      </c>
      <c r="AO69" s="345">
        <f t="shared" ca="1" si="97"/>
        <v>2.7389026016418374E-2</v>
      </c>
      <c r="AP69" s="345">
        <f t="shared" si="83"/>
        <v>7.8000000000000005E-3</v>
      </c>
      <c r="AQ69" s="345">
        <f t="shared" si="84"/>
        <v>5.9130000000000037E-2</v>
      </c>
      <c r="AR69" s="345">
        <f t="shared" ca="1" si="98"/>
        <v>0.27578120902436992</v>
      </c>
      <c r="AS69" s="372">
        <f t="shared" ca="1" si="85"/>
        <v>94.376561106828575</v>
      </c>
      <c r="AT69" s="372">
        <f t="shared" ca="1" si="86"/>
        <v>132.84891917970066</v>
      </c>
      <c r="AU69" s="372">
        <f t="shared" ca="1" si="87"/>
        <v>107.9397468335068</v>
      </c>
      <c r="AV69" s="345">
        <f t="shared" ca="1" si="88"/>
        <v>6.7834577341792652</v>
      </c>
      <c r="AW69" s="345">
        <f t="shared" ca="1" si="89"/>
        <v>5.1020175438596489</v>
      </c>
      <c r="AX69" s="373">
        <f t="shared" ca="1" si="90"/>
        <v>4.9936842105263155</v>
      </c>
    </row>
    <row r="70" spans="1:50" s="374" customFormat="1" ht="12.75" customHeight="1">
      <c r="A70" s="341">
        <f t="shared" si="49"/>
        <v>85</v>
      </c>
      <c r="B70" s="342">
        <f t="shared" si="50"/>
        <v>7.0650000000000039</v>
      </c>
      <c r="C70" s="359">
        <f t="shared" si="51"/>
        <v>2.6</v>
      </c>
      <c r="D70" s="360">
        <f t="shared" ca="1" si="52"/>
        <v>86.520993145522851</v>
      </c>
      <c r="E70" s="349">
        <f t="shared" ca="1" si="53"/>
        <v>0.28005783899873055</v>
      </c>
      <c r="F70" s="343">
        <f t="shared" si="54"/>
        <v>7.8421500000000033E-2</v>
      </c>
      <c r="G70" s="343">
        <f t="shared" si="55"/>
        <v>7.5703241250000095E-2</v>
      </c>
      <c r="H70" s="343">
        <f t="shared" ca="1" si="56"/>
        <v>0.89406198393249237</v>
      </c>
      <c r="I70" s="343">
        <f t="shared" ca="1" si="57"/>
        <v>0.13928489689761617</v>
      </c>
      <c r="J70" s="343">
        <f t="shared" si="58"/>
        <v>2.3399999999999997E-2</v>
      </c>
      <c r="K70" s="343">
        <f t="shared" si="59"/>
        <v>5.7226500000000034E-2</v>
      </c>
      <c r="L70" s="343">
        <f t="shared" ca="1" si="91"/>
        <v>1.2680981220801089</v>
      </c>
      <c r="M70" s="362">
        <f t="shared" ca="1" si="92"/>
        <v>128.11533615072369</v>
      </c>
      <c r="N70" s="362">
        <f t="shared" ca="1" si="60"/>
        <v>152.7143099255461</v>
      </c>
      <c r="O70" s="362">
        <f t="shared" ca="1" si="61"/>
        <v>124.08037681450622</v>
      </c>
      <c r="P70" s="343">
        <f t="shared" ca="1" si="62"/>
        <v>6.2059574054980189</v>
      </c>
      <c r="Q70" s="361">
        <f t="shared" ca="1" si="63"/>
        <v>5.3186842105263157</v>
      </c>
      <c r="R70" s="363">
        <f t="shared" ca="1" si="64"/>
        <v>4.9936842105263155</v>
      </c>
      <c r="S70" s="364">
        <f t="shared" si="65"/>
        <v>1.7333333333333334</v>
      </c>
      <c r="T70" s="365">
        <f t="shared" ca="1" si="66"/>
        <v>80.426408468188939</v>
      </c>
      <c r="U70" s="366">
        <f t="shared" ca="1" si="67"/>
        <v>0.28545419283342249</v>
      </c>
      <c r="V70" s="344">
        <f t="shared" si="68"/>
        <v>7.8421500000000033E-2</v>
      </c>
      <c r="W70" s="344">
        <f t="shared" si="69"/>
        <v>5.0468827500000063E-2</v>
      </c>
      <c r="X70" s="344">
        <f t="shared" ca="1" si="93"/>
        <v>0.3385553284297082</v>
      </c>
      <c r="Y70" s="344">
        <f t="shared" ca="1" si="94"/>
        <v>8.2395121649903424E-2</v>
      </c>
      <c r="Z70" s="344">
        <f t="shared" si="70"/>
        <v>1.5600000000000001E-2</v>
      </c>
      <c r="AA70" s="344">
        <f t="shared" si="71"/>
        <v>5.7226500000000034E-2</v>
      </c>
      <c r="AB70" s="344">
        <f t="shared" ca="1" si="95"/>
        <v>0.62266727757961171</v>
      </c>
      <c r="AC70" s="367">
        <f t="shared" ca="1" si="72"/>
        <v>106.1706874377068</v>
      </c>
      <c r="AD70" s="367">
        <f t="shared" ca="1" si="73"/>
        <v>139.79330076332178</v>
      </c>
      <c r="AE70" s="367">
        <f t="shared" ca="1" si="74"/>
        <v>113.58205687019894</v>
      </c>
      <c r="AF70" s="344">
        <f t="shared" ca="1" si="75"/>
        <v>6.3967413864809828</v>
      </c>
      <c r="AG70" s="344">
        <f t="shared" ca="1" si="76"/>
        <v>5.2103508771929823</v>
      </c>
      <c r="AH70" s="368">
        <f t="shared" ca="1" si="77"/>
        <v>4.9936842105263155</v>
      </c>
      <c r="AI70" s="369">
        <f t="shared" si="78"/>
        <v>0.8666666666666667</v>
      </c>
      <c r="AJ70" s="370">
        <f t="shared" ca="1" si="79"/>
        <v>75.31034371681325</v>
      </c>
      <c r="AK70" s="371">
        <f t="shared" ca="1" si="80"/>
        <v>0.28985520678808308</v>
      </c>
      <c r="AL70" s="345">
        <f t="shared" si="81"/>
        <v>7.8421500000000033E-2</v>
      </c>
      <c r="AM70" s="345">
        <f t="shared" si="82"/>
        <v>2.5234413750000032E-2</v>
      </c>
      <c r="AN70" s="345">
        <f t="shared" ca="1" si="96"/>
        <v>7.5774279290017274E-2</v>
      </c>
      <c r="AO70" s="345">
        <f t="shared" ca="1" si="97"/>
        <v>2.484175238678471E-2</v>
      </c>
      <c r="AP70" s="345">
        <f t="shared" si="83"/>
        <v>7.8000000000000005E-3</v>
      </c>
      <c r="AQ70" s="345">
        <f t="shared" si="84"/>
        <v>5.7226500000000034E-2</v>
      </c>
      <c r="AR70" s="345">
        <f t="shared" ca="1" si="98"/>
        <v>0.26929844542680209</v>
      </c>
      <c r="AS70" s="372">
        <f t="shared" ca="1" si="85"/>
        <v>94.156147144511266</v>
      </c>
      <c r="AT70" s="372">
        <f t="shared" ca="1" si="86"/>
        <v>132.71913943868822</v>
      </c>
      <c r="AU70" s="372">
        <f t="shared" ca="1" si="87"/>
        <v>107.83430079393419</v>
      </c>
      <c r="AV70" s="345">
        <f t="shared" ca="1" si="88"/>
        <v>6.5603191554944136</v>
      </c>
      <c r="AW70" s="345">
        <f t="shared" ca="1" si="89"/>
        <v>5.1020175438596489</v>
      </c>
      <c r="AX70" s="373">
        <f t="shared" ca="1" si="90"/>
        <v>4.9936842105263155</v>
      </c>
    </row>
    <row r="71" spans="1:50" s="374" customFormat="1" ht="12.75" customHeight="1">
      <c r="A71" s="341">
        <f t="shared" si="49"/>
        <v>85</v>
      </c>
      <c r="B71" s="342">
        <f t="shared" si="50"/>
        <v>6.8300000000000036</v>
      </c>
      <c r="C71" s="359">
        <f t="shared" si="51"/>
        <v>2.6</v>
      </c>
      <c r="D71" s="360">
        <f t="shared" ca="1" si="52"/>
        <v>89.664068830580334</v>
      </c>
      <c r="E71" s="349">
        <f t="shared" ca="1" si="53"/>
        <v>0.24811388872162476</v>
      </c>
      <c r="F71" s="343">
        <f t="shared" si="54"/>
        <v>7.5813000000000033E-2</v>
      </c>
      <c r="G71" s="343">
        <f t="shared" si="55"/>
        <v>7.075083166666675E-2</v>
      </c>
      <c r="H71" s="343">
        <f t="shared" ca="1" si="56"/>
        <v>0.9249888386371482</v>
      </c>
      <c r="I71" s="343">
        <f t="shared" ca="1" si="57"/>
        <v>0.10662711488923983</v>
      </c>
      <c r="J71" s="343">
        <f t="shared" si="58"/>
        <v>2.3399999999999997E-2</v>
      </c>
      <c r="K71" s="343">
        <f t="shared" si="59"/>
        <v>5.5323000000000025E-2</v>
      </c>
      <c r="L71" s="343">
        <f t="shared" ca="1" si="91"/>
        <v>1.256902785193055</v>
      </c>
      <c r="M71" s="362">
        <f t="shared" ca="1" si="92"/>
        <v>127.73469469656388</v>
      </c>
      <c r="N71" s="362">
        <f t="shared" ca="1" si="60"/>
        <v>152.49018823733681</v>
      </c>
      <c r="O71" s="362">
        <f t="shared" ca="1" si="61"/>
        <v>123.89827794283616</v>
      </c>
      <c r="P71" s="343">
        <f t="shared" ca="1" si="62"/>
        <v>5.983284658921213</v>
      </c>
      <c r="Q71" s="361">
        <f t="shared" ca="1" si="63"/>
        <v>5.3186842105263157</v>
      </c>
      <c r="R71" s="363">
        <f t="shared" ca="1" si="64"/>
        <v>4.9936842105263155</v>
      </c>
      <c r="S71" s="364">
        <f t="shared" si="65"/>
        <v>1.7333333333333334</v>
      </c>
      <c r="T71" s="365">
        <f t="shared" ca="1" si="66"/>
        <v>83.287004559752148</v>
      </c>
      <c r="U71" s="366">
        <f t="shared" ca="1" si="67"/>
        <v>0.25647378856632125</v>
      </c>
      <c r="V71" s="344">
        <f t="shared" si="68"/>
        <v>7.5813000000000033E-2</v>
      </c>
      <c r="W71" s="344">
        <f t="shared" si="69"/>
        <v>4.7167221111111164E-2</v>
      </c>
      <c r="X71" s="344">
        <f t="shared" ca="1" si="93"/>
        <v>0.35001759525931231</v>
      </c>
      <c r="Y71" s="344">
        <f t="shared" ca="1" si="94"/>
        <v>7.0237157699417324E-2</v>
      </c>
      <c r="Z71" s="344">
        <f t="shared" si="70"/>
        <v>1.5600000000000001E-2</v>
      </c>
      <c r="AA71" s="344">
        <f t="shared" si="71"/>
        <v>5.5323000000000025E-2</v>
      </c>
      <c r="AB71" s="344">
        <f t="shared" ca="1" si="95"/>
        <v>0.61415797406984074</v>
      </c>
      <c r="AC71" s="367">
        <f t="shared" ca="1" si="72"/>
        <v>105.88137111837459</v>
      </c>
      <c r="AD71" s="367">
        <f t="shared" ca="1" si="73"/>
        <v>139.62295131449895</v>
      </c>
      <c r="AE71" s="367">
        <f t="shared" ca="1" si="74"/>
        <v>113.44364794303041</v>
      </c>
      <c r="AF71" s="344">
        <f t="shared" ca="1" si="75"/>
        <v>6.173783890680399</v>
      </c>
      <c r="AG71" s="344">
        <f t="shared" ca="1" si="76"/>
        <v>5.2103508771929823</v>
      </c>
      <c r="AH71" s="368">
        <f t="shared" ca="1" si="77"/>
        <v>4.9936842105263155</v>
      </c>
      <c r="AI71" s="369">
        <f t="shared" si="78"/>
        <v>0.8666666666666667</v>
      </c>
      <c r="AJ71" s="370">
        <f t="shared" ca="1" si="79"/>
        <v>77.942905265504152</v>
      </c>
      <c r="AK71" s="371">
        <f t="shared" ca="1" si="80"/>
        <v>0.26335832836738204</v>
      </c>
      <c r="AL71" s="345">
        <f t="shared" si="81"/>
        <v>7.5813000000000033E-2</v>
      </c>
      <c r="AM71" s="345">
        <f t="shared" si="82"/>
        <v>2.3583610555555582E-2</v>
      </c>
      <c r="AN71" s="345">
        <f t="shared" ca="1" si="96"/>
        <v>7.8220848493162992E-2</v>
      </c>
      <c r="AO71" s="345">
        <f t="shared" ca="1" si="97"/>
        <v>2.2135750002507729E-2</v>
      </c>
      <c r="AP71" s="345">
        <f t="shared" si="83"/>
        <v>7.8000000000000005E-3</v>
      </c>
      <c r="AQ71" s="345">
        <f t="shared" si="84"/>
        <v>5.5323000000000025E-2</v>
      </c>
      <c r="AR71" s="345">
        <f t="shared" ca="1" si="98"/>
        <v>0.26287620905122638</v>
      </c>
      <c r="AS71" s="372">
        <f t="shared" ca="1" si="85"/>
        <v>93.937791107741702</v>
      </c>
      <c r="AT71" s="372">
        <f t="shared" ca="1" si="86"/>
        <v>132.59057140423832</v>
      </c>
      <c r="AU71" s="372">
        <f t="shared" ca="1" si="87"/>
        <v>107.72983926594364</v>
      </c>
      <c r="AV71" s="345">
        <f t="shared" ca="1" si="88"/>
        <v>6.3371795365089891</v>
      </c>
      <c r="AW71" s="345">
        <f t="shared" ca="1" si="89"/>
        <v>5.1020175438596489</v>
      </c>
      <c r="AX71" s="373">
        <f t="shared" ca="1" si="90"/>
        <v>4.9936842105263155</v>
      </c>
    </row>
    <row r="72" spans="1:50" s="374" customFormat="1" ht="12.75" customHeight="1">
      <c r="A72" s="341">
        <f t="shared" si="49"/>
        <v>85</v>
      </c>
      <c r="B72" s="342">
        <f t="shared" si="50"/>
        <v>6.5950000000000033</v>
      </c>
      <c r="C72" s="359">
        <f t="shared" si="51"/>
        <v>2.6</v>
      </c>
      <c r="D72" s="360">
        <f t="shared" ca="1" si="52"/>
        <v>93.045200573827714</v>
      </c>
      <c r="E72" s="349">
        <f t="shared" ca="1" si="53"/>
        <v>0.21376360045947204</v>
      </c>
      <c r="F72" s="343">
        <f t="shared" si="54"/>
        <v>7.3204500000000033E-2</v>
      </c>
      <c r="G72" s="343">
        <f t="shared" si="55"/>
        <v>6.5965937916666731E-2</v>
      </c>
      <c r="H72" s="343">
        <f t="shared" ca="1" si="56"/>
        <v>0.95829741794832202</v>
      </c>
      <c r="I72" s="343">
        <f t="shared" ca="1" si="57"/>
        <v>7.1629340270604747E-2</v>
      </c>
      <c r="J72" s="343">
        <f t="shared" si="58"/>
        <v>2.3399999999999997E-2</v>
      </c>
      <c r="K72" s="343">
        <f t="shared" si="59"/>
        <v>5.3419500000000023E-2</v>
      </c>
      <c r="L72" s="343">
        <f t="shared" ca="1" si="91"/>
        <v>1.2459166961355936</v>
      </c>
      <c r="M72" s="362">
        <f t="shared" ca="1" si="92"/>
        <v>127.36116766861019</v>
      </c>
      <c r="N72" s="362">
        <f t="shared" ca="1" si="60"/>
        <v>152.27025552327768</v>
      </c>
      <c r="O72" s="362">
        <f t="shared" ca="1" si="61"/>
        <v>123.71958261266312</v>
      </c>
      <c r="P72" s="343">
        <f t="shared" ca="1" si="62"/>
        <v>5.7606011231178611</v>
      </c>
      <c r="Q72" s="361">
        <f t="shared" ca="1" si="63"/>
        <v>5.3186842105263157</v>
      </c>
      <c r="R72" s="363">
        <f t="shared" ca="1" si="64"/>
        <v>4.9936842105263155</v>
      </c>
      <c r="S72" s="364">
        <f t="shared" si="65"/>
        <v>1.7333333333333334</v>
      </c>
      <c r="T72" s="365">
        <f t="shared" ca="1" si="66"/>
        <v>86.359088163473857</v>
      </c>
      <c r="U72" s="366">
        <f t="shared" ca="1" si="67"/>
        <v>0.22535691802775124</v>
      </c>
      <c r="V72" s="344">
        <f t="shared" si="68"/>
        <v>7.3204500000000033E-2</v>
      </c>
      <c r="W72" s="344">
        <f t="shared" si="69"/>
        <v>4.397729194444449E-2</v>
      </c>
      <c r="X72" s="344">
        <f t="shared" ca="1" si="93"/>
        <v>0.36234157181618243</v>
      </c>
      <c r="Y72" s="344">
        <f t="shared" ca="1" si="94"/>
        <v>5.7233923388544841E-2</v>
      </c>
      <c r="Z72" s="344">
        <f t="shared" si="70"/>
        <v>1.5600000000000001E-2</v>
      </c>
      <c r="AA72" s="344">
        <f t="shared" si="71"/>
        <v>5.3419500000000023E-2</v>
      </c>
      <c r="AB72" s="344">
        <f t="shared" ca="1" si="95"/>
        <v>0.60577678714917182</v>
      </c>
      <c r="AC72" s="367">
        <f t="shared" ca="1" si="72"/>
        <v>105.59641076307184</v>
      </c>
      <c r="AD72" s="367">
        <f t="shared" ca="1" si="73"/>
        <v>139.4551666572967</v>
      </c>
      <c r="AE72" s="367">
        <f t="shared" ca="1" si="74"/>
        <v>113.30732290905357</v>
      </c>
      <c r="AF72" s="344">
        <f t="shared" ca="1" si="75"/>
        <v>5.95082199091887</v>
      </c>
      <c r="AG72" s="344">
        <f t="shared" ca="1" si="76"/>
        <v>5.2103508771929823</v>
      </c>
      <c r="AH72" s="368">
        <f t="shared" ca="1" si="77"/>
        <v>4.9936842105263155</v>
      </c>
      <c r="AI72" s="369">
        <f t="shared" si="78"/>
        <v>0.8666666666666667</v>
      </c>
      <c r="AJ72" s="370">
        <f t="shared" ca="1" si="79"/>
        <v>80.766343436971738</v>
      </c>
      <c r="AK72" s="371">
        <f t="shared" ca="1" si="80"/>
        <v>0.23494231891762293</v>
      </c>
      <c r="AL72" s="345">
        <f t="shared" si="81"/>
        <v>7.3204500000000033E-2</v>
      </c>
      <c r="AM72" s="345">
        <f t="shared" si="82"/>
        <v>2.1988645972222245E-2</v>
      </c>
      <c r="AN72" s="345">
        <f t="shared" ca="1" si="96"/>
        <v>8.0850285209117093E-2</v>
      </c>
      <c r="AO72" s="345">
        <f t="shared" ca="1" si="97"/>
        <v>1.9253646414593057E-2</v>
      </c>
      <c r="AP72" s="345">
        <f t="shared" si="83"/>
        <v>7.8000000000000005E-3</v>
      </c>
      <c r="AQ72" s="345">
        <f t="shared" si="84"/>
        <v>5.3419500000000023E-2</v>
      </c>
      <c r="AR72" s="345">
        <f t="shared" ca="1" si="98"/>
        <v>0.25651657759593244</v>
      </c>
      <c r="AS72" s="372">
        <f t="shared" ca="1" si="85"/>
        <v>93.721563638261699</v>
      </c>
      <c r="AT72" s="372">
        <f t="shared" ca="1" si="86"/>
        <v>132.46325667020849</v>
      </c>
      <c r="AU72" s="372">
        <f t="shared" ca="1" si="87"/>
        <v>107.62639604454441</v>
      </c>
      <c r="AV72" s="345">
        <f t="shared" ca="1" si="88"/>
        <v>6.1140388415129348</v>
      </c>
      <c r="AW72" s="345">
        <f t="shared" ca="1" si="89"/>
        <v>5.1020175438596489</v>
      </c>
      <c r="AX72" s="373">
        <f t="shared" ca="1" si="90"/>
        <v>4.9936842105263155</v>
      </c>
    </row>
    <row r="73" spans="1:50" s="374" customFormat="1" ht="12.75" customHeight="1">
      <c r="A73" s="341">
        <f t="shared" si="49"/>
        <v>85</v>
      </c>
      <c r="B73" s="342">
        <f t="shared" si="50"/>
        <v>6.360000000000003</v>
      </c>
      <c r="C73" s="359">
        <f t="shared" si="51"/>
        <v>2.6</v>
      </c>
      <c r="D73" s="360">
        <f t="shared" ca="1" si="52"/>
        <v>93.5</v>
      </c>
      <c r="E73" s="349">
        <f t="shared" ca="1" si="53"/>
        <v>0.17088802337533657</v>
      </c>
      <c r="F73" s="343">
        <f t="shared" si="54"/>
        <v>7.0596000000000034E-2</v>
      </c>
      <c r="G73" s="343">
        <f t="shared" si="55"/>
        <v>6.1348560000000059E-2</v>
      </c>
      <c r="H73" s="343">
        <f t="shared" ca="1" si="56"/>
        <v>0.96141868927306573</v>
      </c>
      <c r="I73" s="343">
        <f t="shared" ca="1" si="57"/>
        <v>6.683659337192431E-2</v>
      </c>
      <c r="J73" s="343">
        <f t="shared" si="58"/>
        <v>2.3399999999999997E-2</v>
      </c>
      <c r="K73" s="343">
        <f t="shared" si="59"/>
        <v>5.151600000000002E-2</v>
      </c>
      <c r="L73" s="343">
        <f t="shared" ca="1" si="91"/>
        <v>1.2351158426449904</v>
      </c>
      <c r="M73" s="362">
        <f t="shared" ca="1" si="92"/>
        <v>126.99393864992967</v>
      </c>
      <c r="N73" s="362">
        <f t="shared" ca="1" si="60"/>
        <v>152.0540310770786</v>
      </c>
      <c r="O73" s="362">
        <f t="shared" ca="1" si="61"/>
        <v>123.54390025012637</v>
      </c>
      <c r="P73" s="343">
        <f t="shared" ca="1" si="62"/>
        <v>5.5379080362071011</v>
      </c>
      <c r="Q73" s="361">
        <f t="shared" ca="1" si="63"/>
        <v>5.3186842105263157</v>
      </c>
      <c r="R73" s="363">
        <f t="shared" ca="1" si="64"/>
        <v>4.9936842105263155</v>
      </c>
      <c r="S73" s="364">
        <f t="shared" si="65"/>
        <v>1.7333333333333334</v>
      </c>
      <c r="T73" s="365">
        <f t="shared" ca="1" si="66"/>
        <v>89.667008164273412</v>
      </c>
      <c r="U73" s="366">
        <f t="shared" ca="1" si="67"/>
        <v>0.19185754399743862</v>
      </c>
      <c r="V73" s="344">
        <f t="shared" si="68"/>
        <v>7.0596000000000034E-2</v>
      </c>
      <c r="W73" s="344">
        <f t="shared" si="69"/>
        <v>4.0899040000000039E-2</v>
      </c>
      <c r="X73" s="344">
        <f t="shared" ca="1" si="93"/>
        <v>0.37562979777757433</v>
      </c>
      <c r="Y73" s="344">
        <f t="shared" ca="1" si="94"/>
        <v>4.3286596856008275E-2</v>
      </c>
      <c r="Z73" s="344">
        <f t="shared" si="70"/>
        <v>1.5600000000000001E-2</v>
      </c>
      <c r="AA73" s="344">
        <f t="shared" si="71"/>
        <v>5.151600000000002E-2</v>
      </c>
      <c r="AB73" s="344">
        <f t="shared" ca="1" si="95"/>
        <v>0.5975274346335826</v>
      </c>
      <c r="AC73" s="367">
        <f t="shared" ca="1" si="72"/>
        <v>105.3159327775418</v>
      </c>
      <c r="AD73" s="367">
        <f t="shared" ca="1" si="73"/>
        <v>139.29002121941662</v>
      </c>
      <c r="AE73" s="367">
        <f t="shared" ca="1" si="74"/>
        <v>113.173142240776</v>
      </c>
      <c r="AF73" s="344">
        <f t="shared" ca="1" si="75"/>
        <v>5.7278555593978293</v>
      </c>
      <c r="AG73" s="344">
        <f t="shared" ca="1" si="76"/>
        <v>5.2103508771929823</v>
      </c>
      <c r="AH73" s="368">
        <f t="shared" ca="1" si="77"/>
        <v>4.9936842105263155</v>
      </c>
      <c r="AI73" s="369">
        <f t="shared" si="78"/>
        <v>0.8666666666666667</v>
      </c>
      <c r="AJ73" s="370">
        <f t="shared" ca="1" si="79"/>
        <v>83.802198034848089</v>
      </c>
      <c r="AK73" s="371">
        <f t="shared" ca="1" si="80"/>
        <v>0.20439060064233788</v>
      </c>
      <c r="AL73" s="345">
        <f t="shared" si="81"/>
        <v>7.0596000000000034E-2</v>
      </c>
      <c r="AM73" s="345">
        <f t="shared" si="82"/>
        <v>2.044952000000002E-2</v>
      </c>
      <c r="AN73" s="345">
        <f t="shared" ca="1" si="96"/>
        <v>8.3685446804153962E-2</v>
      </c>
      <c r="AO73" s="345">
        <f t="shared" ca="1" si="97"/>
        <v>1.6175235572404262E-2</v>
      </c>
      <c r="AP73" s="345">
        <f t="shared" si="83"/>
        <v>7.8000000000000005E-3</v>
      </c>
      <c r="AQ73" s="345">
        <f t="shared" si="84"/>
        <v>5.151600000000002E-2</v>
      </c>
      <c r="AR73" s="345">
        <f t="shared" ca="1" si="98"/>
        <v>0.25022220237655829</v>
      </c>
      <c r="AS73" s="372">
        <f t="shared" ca="1" si="85"/>
        <v>93.507554880802985</v>
      </c>
      <c r="AT73" s="372">
        <f t="shared" ca="1" si="86"/>
        <v>132.33724831381679</v>
      </c>
      <c r="AU73" s="372">
        <f t="shared" ca="1" si="87"/>
        <v>107.52401425497615</v>
      </c>
      <c r="AV73" s="345">
        <f t="shared" ca="1" si="88"/>
        <v>5.890897024937245</v>
      </c>
      <c r="AW73" s="345">
        <f t="shared" ca="1" si="89"/>
        <v>5.1020175438596489</v>
      </c>
      <c r="AX73" s="373">
        <f t="shared" ca="1" si="90"/>
        <v>4.9936842105263155</v>
      </c>
    </row>
    <row r="74" spans="1:50" s="374" customFormat="1" ht="12.75" customHeight="1">
      <c r="A74" s="341">
        <f t="shared" si="49"/>
        <v>85</v>
      </c>
      <c r="B74" s="342">
        <f t="shared" si="50"/>
        <v>6.1250000000000027</v>
      </c>
      <c r="C74" s="359">
        <f t="shared" si="51"/>
        <v>2.6</v>
      </c>
      <c r="D74" s="360">
        <f t="shared" ca="1" si="52"/>
        <v>93.5</v>
      </c>
      <c r="E74" s="349">
        <f t="shared" ca="1" si="53"/>
        <v>0.12696702692029052</v>
      </c>
      <c r="F74" s="343">
        <f t="shared" si="54"/>
        <v>6.798750000000002E-2</v>
      </c>
      <c r="G74" s="343">
        <f t="shared" si="55"/>
        <v>5.6898697916666727E-2</v>
      </c>
      <c r="H74" s="343">
        <f t="shared" ca="1" si="56"/>
        <v>0.9599276808495093</v>
      </c>
      <c r="I74" s="343">
        <f t="shared" ca="1" si="57"/>
        <v>6.673294037991237E-2</v>
      </c>
      <c r="J74" s="343">
        <f t="shared" si="58"/>
        <v>2.3399999999999997E-2</v>
      </c>
      <c r="K74" s="343">
        <f t="shared" si="59"/>
        <v>4.9612500000000025E-2</v>
      </c>
      <c r="L74" s="343">
        <f t="shared" ca="1" si="91"/>
        <v>1.2245593191460886</v>
      </c>
      <c r="M74" s="362">
        <f t="shared" ca="1" si="92"/>
        <v>126.63501685096702</v>
      </c>
      <c r="N74" s="362">
        <f t="shared" ca="1" si="60"/>
        <v>151.84269792184938</v>
      </c>
      <c r="O74" s="362">
        <f t="shared" ca="1" si="61"/>
        <v>123.37219206150263</v>
      </c>
      <c r="P74" s="343">
        <f t="shared" ca="1" si="62"/>
        <v>5.3152023511650386</v>
      </c>
      <c r="Q74" s="361">
        <f t="shared" ca="1" si="63"/>
        <v>5.3152023511650386</v>
      </c>
      <c r="R74" s="363">
        <f t="shared" ca="1" si="64"/>
        <v>4.9902023511650384</v>
      </c>
      <c r="S74" s="364">
        <f t="shared" si="65"/>
        <v>1.7333333333333334</v>
      </c>
      <c r="T74" s="365">
        <f t="shared" ca="1" si="66"/>
        <v>93.239001228200834</v>
      </c>
      <c r="U74" s="366">
        <f t="shared" ca="1" si="67"/>
        <v>0.15569035292699418</v>
      </c>
      <c r="V74" s="344">
        <f t="shared" si="68"/>
        <v>6.798750000000002E-2</v>
      </c>
      <c r="W74" s="344">
        <f t="shared" si="69"/>
        <v>3.793246527777782E-2</v>
      </c>
      <c r="X74" s="344">
        <f t="shared" ca="1" si="93"/>
        <v>0.3900021524884591</v>
      </c>
      <c r="Y74" s="344">
        <f t="shared" ca="1" si="94"/>
        <v>2.8280054904491848E-2</v>
      </c>
      <c r="Z74" s="344">
        <f t="shared" si="70"/>
        <v>1.5600000000000001E-2</v>
      </c>
      <c r="AA74" s="344">
        <f t="shared" si="71"/>
        <v>4.9612500000000025E-2</v>
      </c>
      <c r="AB74" s="344">
        <f t="shared" ca="1" si="95"/>
        <v>0.58941467267072878</v>
      </c>
      <c r="AC74" s="367">
        <f t="shared" ca="1" si="72"/>
        <v>105.04009887080478</v>
      </c>
      <c r="AD74" s="367">
        <f t="shared" ca="1" si="73"/>
        <v>139.12761021512986</v>
      </c>
      <c r="AE74" s="367">
        <f t="shared" ca="1" si="74"/>
        <v>113.041183299793</v>
      </c>
      <c r="AF74" s="344">
        <f t="shared" ca="1" si="75"/>
        <v>5.5048844326264392</v>
      </c>
      <c r="AG74" s="344">
        <f t="shared" ca="1" si="76"/>
        <v>5.2103508771929823</v>
      </c>
      <c r="AH74" s="368">
        <f t="shared" ca="1" si="77"/>
        <v>4.9936842105263155</v>
      </c>
      <c r="AI74" s="369">
        <f t="shared" si="78"/>
        <v>0.8666666666666667</v>
      </c>
      <c r="AJ74" s="370">
        <f t="shared" ca="1" si="79"/>
        <v>87.07537674932324</v>
      </c>
      <c r="AK74" s="371">
        <f t="shared" ca="1" si="80"/>
        <v>0.17145273530441407</v>
      </c>
      <c r="AL74" s="345">
        <f t="shared" si="81"/>
        <v>6.798750000000002E-2</v>
      </c>
      <c r="AM74" s="345">
        <f t="shared" si="82"/>
        <v>1.896623263888891E-2</v>
      </c>
      <c r="AN74" s="345">
        <f t="shared" ca="1" si="96"/>
        <v>8.6753407563786564E-2</v>
      </c>
      <c r="AO74" s="345">
        <f t="shared" ca="1" si="97"/>
        <v>1.2876833271732785E-2</v>
      </c>
      <c r="AP74" s="345">
        <f t="shared" si="83"/>
        <v>7.8000000000000005E-3</v>
      </c>
      <c r="AQ74" s="345">
        <f t="shared" si="84"/>
        <v>4.9612500000000025E-2</v>
      </c>
      <c r="AR74" s="345">
        <f t="shared" ca="1" si="98"/>
        <v>0.24399647347440831</v>
      </c>
      <c r="AS74" s="372">
        <f t="shared" ca="1" si="85"/>
        <v>93.295880098129885</v>
      </c>
      <c r="AT74" s="372">
        <f t="shared" ca="1" si="86"/>
        <v>132.21261420177888</v>
      </c>
      <c r="AU74" s="372">
        <f t="shared" ca="1" si="87"/>
        <v>107.42274903894534</v>
      </c>
      <c r="AV74" s="345">
        <f t="shared" ca="1" si="88"/>
        <v>5.6677540285155166</v>
      </c>
      <c r="AW74" s="345">
        <f t="shared" ca="1" si="89"/>
        <v>5.1020175438596489</v>
      </c>
      <c r="AX74" s="373">
        <f t="shared" ca="1" si="90"/>
        <v>4.9936842105263155</v>
      </c>
    </row>
    <row r="75" spans="1:50" s="374" customFormat="1" ht="12.75" customHeight="1">
      <c r="A75" s="341">
        <f t="shared" si="49"/>
        <v>85</v>
      </c>
      <c r="B75" s="342">
        <f t="shared" si="50"/>
        <v>5.8900000000000023</v>
      </c>
      <c r="C75" s="359">
        <f t="shared" si="51"/>
        <v>2.6</v>
      </c>
      <c r="D75" s="360">
        <f t="shared" ca="1" si="52"/>
        <v>93.5</v>
      </c>
      <c r="E75" s="349">
        <f t="shared" ca="1" si="53"/>
        <v>8.3045460535539295E-2</v>
      </c>
      <c r="F75" s="343">
        <f t="shared" si="54"/>
        <v>6.537900000000002E-2</v>
      </c>
      <c r="G75" s="343">
        <f t="shared" si="55"/>
        <v>5.2616351666666714E-2</v>
      </c>
      <c r="H75" s="343">
        <f t="shared" ca="1" si="56"/>
        <v>0.95851440239595087</v>
      </c>
      <c r="I75" s="343">
        <f t="shared" ca="1" si="57"/>
        <v>6.663469107565427E-2</v>
      </c>
      <c r="J75" s="343">
        <f t="shared" si="58"/>
        <v>2.3399999999999997E-2</v>
      </c>
      <c r="K75" s="343">
        <f t="shared" si="59"/>
        <v>4.7709000000000022E-2</v>
      </c>
      <c r="L75" s="343">
        <f t="shared" ca="1" si="91"/>
        <v>1.214253445138272</v>
      </c>
      <c r="M75" s="362">
        <f t="shared" ca="1" si="92"/>
        <v>126.28461713470125</v>
      </c>
      <c r="N75" s="362">
        <f t="shared" ca="1" si="60"/>
        <v>151.6363825689121</v>
      </c>
      <c r="O75" s="362">
        <f t="shared" ca="1" si="61"/>
        <v>123.20456083724108</v>
      </c>
      <c r="P75" s="343">
        <f t="shared" ca="1" si="62"/>
        <v>5.0924837421459479</v>
      </c>
      <c r="Q75" s="361">
        <f t="shared" ca="1" si="63"/>
        <v>5.0924837421459479</v>
      </c>
      <c r="R75" s="363">
        <f t="shared" ca="1" si="64"/>
        <v>4.7674837421459477</v>
      </c>
      <c r="S75" s="364">
        <f t="shared" si="65"/>
        <v>1.7333333333333334</v>
      </c>
      <c r="T75" s="365">
        <f t="shared" ca="1" si="66"/>
        <v>93.5</v>
      </c>
      <c r="U75" s="366">
        <f t="shared" ca="1" si="67"/>
        <v>0.11219326842057561</v>
      </c>
      <c r="V75" s="344">
        <f t="shared" si="68"/>
        <v>6.537900000000002E-2</v>
      </c>
      <c r="W75" s="344">
        <f t="shared" si="69"/>
        <v>3.5077567777777804E-2</v>
      </c>
      <c r="X75" s="344">
        <f t="shared" ca="1" si="93"/>
        <v>0.3905184945655048</v>
      </c>
      <c r="Y75" s="344">
        <f t="shared" ca="1" si="94"/>
        <v>2.7148344541986943E-2</v>
      </c>
      <c r="Z75" s="344">
        <f t="shared" si="70"/>
        <v>1.5600000000000001E-2</v>
      </c>
      <c r="AA75" s="344">
        <f t="shared" si="71"/>
        <v>4.7709000000000022E-2</v>
      </c>
      <c r="AB75" s="344">
        <f t="shared" ca="1" si="95"/>
        <v>0.58143240688526954</v>
      </c>
      <c r="AC75" s="367">
        <f t="shared" ca="1" si="72"/>
        <v>104.76870183409916</v>
      </c>
      <c r="AD75" s="367">
        <f t="shared" ca="1" si="73"/>
        <v>138.96781163991758</v>
      </c>
      <c r="AE75" s="367">
        <f t="shared" ca="1" si="74"/>
        <v>112.91134695743304</v>
      </c>
      <c r="AF75" s="344">
        <f t="shared" ca="1" si="75"/>
        <v>5.2819088200966267</v>
      </c>
      <c r="AG75" s="344">
        <f t="shared" ca="1" si="76"/>
        <v>5.2103508771929823</v>
      </c>
      <c r="AH75" s="368">
        <f t="shared" ca="1" si="77"/>
        <v>4.9936842105263155</v>
      </c>
      <c r="AI75" s="369">
        <f t="shared" si="78"/>
        <v>0.8666666666666667</v>
      </c>
      <c r="AJ75" s="370">
        <f t="shared" ca="1" si="79"/>
        <v>90.614840253276057</v>
      </c>
      <c r="AK75" s="371">
        <f t="shared" ca="1" si="80"/>
        <v>0.13583753710561555</v>
      </c>
      <c r="AL75" s="345">
        <f t="shared" si="81"/>
        <v>6.537900000000002E-2</v>
      </c>
      <c r="AM75" s="345">
        <f t="shared" si="82"/>
        <v>1.7538783888888902E-2</v>
      </c>
      <c r="AN75" s="345">
        <f t="shared" ca="1" si="96"/>
        <v>9.0086514783405167E-2</v>
      </c>
      <c r="AO75" s="345">
        <f t="shared" ca="1" si="97"/>
        <v>9.3304400240036729E-3</v>
      </c>
      <c r="AP75" s="345">
        <f t="shared" si="83"/>
        <v>7.8000000000000005E-3</v>
      </c>
      <c r="AQ75" s="345">
        <f t="shared" si="84"/>
        <v>4.7709000000000022E-2</v>
      </c>
      <c r="AR75" s="345">
        <f t="shared" ca="1" si="98"/>
        <v>0.23784373869629782</v>
      </c>
      <c r="AS75" s="372">
        <f t="shared" ca="1" si="85"/>
        <v>93.086687115674124</v>
      </c>
      <c r="AT75" s="372">
        <f t="shared" ca="1" si="86"/>
        <v>132.08944137370892</v>
      </c>
      <c r="AU75" s="372">
        <f t="shared" ca="1" si="87"/>
        <v>107.32267111613851</v>
      </c>
      <c r="AV75" s="345">
        <f t="shared" ca="1" si="88"/>
        <v>5.4446097775206148</v>
      </c>
      <c r="AW75" s="345">
        <f t="shared" ca="1" si="89"/>
        <v>5.1020175438596489</v>
      </c>
      <c r="AX75" s="373">
        <f t="shared" ca="1" si="90"/>
        <v>4.9936842105263155</v>
      </c>
    </row>
    <row r="76" spans="1:50" s="374" customFormat="1" ht="12.75" customHeight="1">
      <c r="A76" s="341">
        <f t="shared" si="49"/>
        <v>85</v>
      </c>
      <c r="B76" s="342">
        <f t="shared" si="50"/>
        <v>5.655000000000002</v>
      </c>
      <c r="C76" s="359">
        <f t="shared" si="51"/>
        <v>2.6</v>
      </c>
      <c r="D76" s="360">
        <f t="shared" ca="1" si="52"/>
        <v>93.5</v>
      </c>
      <c r="E76" s="349">
        <f t="shared" ca="1" si="53"/>
        <v>3.9123324769813159E-2</v>
      </c>
      <c r="F76" s="343">
        <f t="shared" si="54"/>
        <v>6.2770500000000021E-2</v>
      </c>
      <c r="G76" s="343">
        <f t="shared" si="55"/>
        <v>4.850152125000004E-2</v>
      </c>
      <c r="H76" s="343">
        <f t="shared" ca="1" si="56"/>
        <v>0.95717862827227451</v>
      </c>
      <c r="I76" s="343">
        <f t="shared" ca="1" si="57"/>
        <v>6.6541829772938807E-2</v>
      </c>
      <c r="J76" s="343">
        <f t="shared" si="58"/>
        <v>2.3399999999999997E-2</v>
      </c>
      <c r="K76" s="343">
        <f t="shared" si="59"/>
        <v>4.5805500000000013E-2</v>
      </c>
      <c r="L76" s="343">
        <f t="shared" ca="1" si="91"/>
        <v>1.2041979792952133</v>
      </c>
      <c r="M76" s="362">
        <f t="shared" ca="1" si="92"/>
        <v>125.94273129603725</v>
      </c>
      <c r="N76" s="362">
        <f t="shared" ca="1" si="60"/>
        <v>151.43508018710673</v>
      </c>
      <c r="O76" s="362">
        <f t="shared" ca="1" si="61"/>
        <v>123.04100265202422</v>
      </c>
      <c r="P76" s="343">
        <f t="shared" ca="1" si="62"/>
        <v>4.8697522215930853</v>
      </c>
      <c r="Q76" s="361">
        <f t="shared" ca="1" si="63"/>
        <v>4.8697522215930853</v>
      </c>
      <c r="R76" s="363">
        <f t="shared" ca="1" si="64"/>
        <v>4.5447522215930851</v>
      </c>
      <c r="S76" s="364">
        <f t="shared" si="65"/>
        <v>1.7333333333333334</v>
      </c>
      <c r="T76" s="365">
        <f t="shared" ca="1" si="66"/>
        <v>93.5</v>
      </c>
      <c r="U76" s="366">
        <f t="shared" ca="1" si="67"/>
        <v>6.8260118424783078E-2</v>
      </c>
      <c r="V76" s="344">
        <f t="shared" si="68"/>
        <v>6.2770500000000021E-2</v>
      </c>
      <c r="W76" s="344">
        <f t="shared" si="69"/>
        <v>3.2334347500000027E-2</v>
      </c>
      <c r="X76" s="344">
        <f t="shared" ca="1" si="93"/>
        <v>0.38999297496080265</v>
      </c>
      <c r="Y76" s="344">
        <f t="shared" ca="1" si="94"/>
        <v>2.7111811093531713E-2</v>
      </c>
      <c r="Z76" s="344">
        <f t="shared" si="70"/>
        <v>1.5600000000000001E-2</v>
      </c>
      <c r="AA76" s="344">
        <f t="shared" si="71"/>
        <v>4.5805500000000013E-2</v>
      </c>
      <c r="AB76" s="344">
        <f t="shared" ca="1" si="95"/>
        <v>0.57361513355433436</v>
      </c>
      <c r="AC76" s="367">
        <f t="shared" ca="1" si="72"/>
        <v>104.50291454084737</v>
      </c>
      <c r="AD76" s="367">
        <f t="shared" ca="1" si="73"/>
        <v>138.81131608165094</v>
      </c>
      <c r="AE76" s="367">
        <f t="shared" ca="1" si="74"/>
        <v>112.78419431634138</v>
      </c>
      <c r="AF76" s="344">
        <f t="shared" ca="1" si="75"/>
        <v>5.0589275360114661</v>
      </c>
      <c r="AG76" s="344">
        <f t="shared" ca="1" si="76"/>
        <v>5.0589275360114661</v>
      </c>
      <c r="AH76" s="368">
        <f t="shared" ca="1" si="77"/>
        <v>4.8422608693447993</v>
      </c>
      <c r="AI76" s="369">
        <f t="shared" si="78"/>
        <v>0.8666666666666667</v>
      </c>
      <c r="AJ76" s="370">
        <f t="shared" ca="1" si="79"/>
        <v>93.5</v>
      </c>
      <c r="AK76" s="371">
        <f t="shared" ca="1" si="80"/>
        <v>9.6222184578366843E-2</v>
      </c>
      <c r="AL76" s="345">
        <f t="shared" si="81"/>
        <v>6.2770500000000021E-2</v>
      </c>
      <c r="AM76" s="345">
        <f t="shared" si="82"/>
        <v>1.6167173750000013E-2</v>
      </c>
      <c r="AN76" s="345">
        <f t="shared" ca="1" si="96"/>
        <v>9.277472182739474E-2</v>
      </c>
      <c r="AO76" s="345">
        <f t="shared" ca="1" si="97"/>
        <v>6.4495795922787733E-3</v>
      </c>
      <c r="AP76" s="345">
        <f t="shared" si="83"/>
        <v>7.8000000000000005E-3</v>
      </c>
      <c r="AQ76" s="345">
        <f t="shared" si="84"/>
        <v>4.5805500000000013E-2</v>
      </c>
      <c r="AR76" s="345">
        <f t="shared" ca="1" si="98"/>
        <v>0.23176747516967355</v>
      </c>
      <c r="AS76" s="372">
        <f t="shared" ca="1" si="85"/>
        <v>92.880094155768901</v>
      </c>
      <c r="AT76" s="372">
        <f t="shared" ca="1" si="86"/>
        <v>131.96779943891673</v>
      </c>
      <c r="AU76" s="372">
        <f t="shared" ca="1" si="87"/>
        <v>107.22383704411985</v>
      </c>
      <c r="AV76" s="345">
        <f t="shared" ca="1" si="88"/>
        <v>5.2214642121900487</v>
      </c>
      <c r="AW76" s="345">
        <f t="shared" ca="1" si="89"/>
        <v>5.1020175438596489</v>
      </c>
      <c r="AX76" s="373">
        <f t="shared" ca="1" si="90"/>
        <v>4.9936842105263155</v>
      </c>
    </row>
    <row r="77" spans="1:50" s="374" customFormat="1" ht="12.75" customHeight="1">
      <c r="A77" s="341">
        <f t="shared" si="49"/>
        <v>85</v>
      </c>
      <c r="B77" s="342">
        <f t="shared" si="50"/>
        <v>5.4200000000000017</v>
      </c>
      <c r="C77" s="359">
        <f t="shared" si="51"/>
        <v>2.6</v>
      </c>
      <c r="D77" s="360">
        <f t="shared" ca="1" si="52"/>
        <v>93.5</v>
      </c>
      <c r="E77" s="349">
        <f t="shared" ca="1" si="53"/>
        <v>0</v>
      </c>
      <c r="F77" s="343">
        <f t="shared" si="54"/>
        <v>6.0162000000000014E-2</v>
      </c>
      <c r="G77" s="343">
        <f t="shared" si="55"/>
        <v>4.4554206666666693E-2</v>
      </c>
      <c r="H77" s="343">
        <f t="shared" ca="1" si="56"/>
        <v>0.95591982937853959</v>
      </c>
      <c r="I77" s="343">
        <f t="shared" ca="1" si="57"/>
        <v>6.6454319689417132E-2</v>
      </c>
      <c r="J77" s="343">
        <f t="shared" si="58"/>
        <v>2.3399999999999997E-2</v>
      </c>
      <c r="K77" s="343">
        <f t="shared" si="59"/>
        <v>4.390200000000001E-2</v>
      </c>
      <c r="L77" s="343">
        <f t="shared" ca="1" si="91"/>
        <v>1.1943923557346237</v>
      </c>
      <c r="M77" s="362">
        <f t="shared" ca="1" si="92"/>
        <v>125.6093400949772</v>
      </c>
      <c r="N77" s="362">
        <f t="shared" ca="1" si="60"/>
        <v>151.23877944792258</v>
      </c>
      <c r="O77" s="362">
        <f t="shared" ca="1" si="61"/>
        <v>122.88150830143709</v>
      </c>
      <c r="P77" s="343">
        <f t="shared" ca="1" si="62"/>
        <v>4.6470078186844468</v>
      </c>
      <c r="Q77" s="361">
        <f t="shared" ca="1" si="63"/>
        <v>4.6470078186844468</v>
      </c>
      <c r="R77" s="363">
        <f t="shared" ca="1" si="64"/>
        <v>4.3220078186844466</v>
      </c>
      <c r="S77" s="364">
        <f t="shared" si="65"/>
        <v>1.7333333333333334</v>
      </c>
      <c r="T77" s="365">
        <f t="shared" ca="1" si="66"/>
        <v>93.5</v>
      </c>
      <c r="U77" s="366">
        <f t="shared" ca="1" si="67"/>
        <v>2.4326716032885751E-2</v>
      </c>
      <c r="V77" s="344">
        <f t="shared" si="68"/>
        <v>6.0162000000000014E-2</v>
      </c>
      <c r="W77" s="344">
        <f t="shared" si="69"/>
        <v>2.9702804444444463E-2</v>
      </c>
      <c r="X77" s="344">
        <f t="shared" ca="1" si="93"/>
        <v>0.38951871651836967</v>
      </c>
      <c r="Y77" s="344">
        <f t="shared" ca="1" si="94"/>
        <v>2.7078841255287707E-2</v>
      </c>
      <c r="Z77" s="344">
        <f t="shared" si="70"/>
        <v>1.5600000000000001E-2</v>
      </c>
      <c r="AA77" s="344">
        <f t="shared" si="71"/>
        <v>4.390200000000001E-2</v>
      </c>
      <c r="AB77" s="344">
        <f t="shared" ca="1" si="95"/>
        <v>0.56596436221810176</v>
      </c>
      <c r="AC77" s="367">
        <f t="shared" ca="1" si="72"/>
        <v>104.24278831541545</v>
      </c>
      <c r="AD77" s="367">
        <f t="shared" ca="1" si="73"/>
        <v>138.65815376011662</v>
      </c>
      <c r="AE77" s="367">
        <f t="shared" ca="1" si="74"/>
        <v>112.65974993009476</v>
      </c>
      <c r="AF77" s="344">
        <f t="shared" ca="1" si="75"/>
        <v>4.8359405284810677</v>
      </c>
      <c r="AG77" s="344">
        <f t="shared" ca="1" si="76"/>
        <v>4.8359405284810677</v>
      </c>
      <c r="AH77" s="368">
        <f t="shared" ca="1" si="77"/>
        <v>4.6192738618144009</v>
      </c>
      <c r="AI77" s="369">
        <f t="shared" si="78"/>
        <v>0.8666666666666667</v>
      </c>
      <c r="AJ77" s="370">
        <f t="shared" ca="1" si="79"/>
        <v>93.5</v>
      </c>
      <c r="AK77" s="371">
        <f t="shared" ca="1" si="80"/>
        <v>5.2281724336938902E-2</v>
      </c>
      <c r="AL77" s="345">
        <f t="shared" si="81"/>
        <v>6.0162000000000014E-2</v>
      </c>
      <c r="AM77" s="345">
        <f t="shared" si="82"/>
        <v>1.4851402222222232E-2</v>
      </c>
      <c r="AN77" s="345">
        <f t="shared" ca="1" si="96"/>
        <v>9.2623389953037288E-2</v>
      </c>
      <c r="AO77" s="345">
        <f t="shared" ca="1" si="97"/>
        <v>6.4390591945961704E-3</v>
      </c>
      <c r="AP77" s="345">
        <f t="shared" si="83"/>
        <v>7.8000000000000005E-3</v>
      </c>
      <c r="AQ77" s="345">
        <f t="shared" si="84"/>
        <v>4.390200000000001E-2</v>
      </c>
      <c r="AR77" s="345">
        <f t="shared" ca="1" si="98"/>
        <v>0.22577785136985573</v>
      </c>
      <c r="AS77" s="372">
        <f t="shared" ca="1" si="85"/>
        <v>92.676446946575098</v>
      </c>
      <c r="AT77" s="372">
        <f t="shared" ca="1" si="86"/>
        <v>131.84789196214342</v>
      </c>
      <c r="AU77" s="372">
        <f t="shared" ca="1" si="87"/>
        <v>107.12641221924153</v>
      </c>
      <c r="AV77" s="345">
        <f t="shared" ca="1" si="88"/>
        <v>4.998317157755003</v>
      </c>
      <c r="AW77" s="345">
        <f t="shared" ca="1" si="89"/>
        <v>4.998317157755003</v>
      </c>
      <c r="AX77" s="373">
        <f t="shared" ca="1" si="90"/>
        <v>4.8899838244216696</v>
      </c>
    </row>
    <row r="78" spans="1:50" s="374" customFormat="1" ht="12.75" customHeight="1">
      <c r="A78" s="341">
        <f t="shared" si="49"/>
        <v>85</v>
      </c>
      <c r="B78" s="342">
        <f t="shared" si="50"/>
        <v>5.1850000000000014</v>
      </c>
      <c r="C78" s="359">
        <f t="shared" si="51"/>
        <v>2.6</v>
      </c>
      <c r="D78" s="360">
        <f t="shared" ca="1" si="52"/>
        <v>93.5</v>
      </c>
      <c r="E78" s="349">
        <f t="shared" ca="1" si="53"/>
        <v>0</v>
      </c>
      <c r="F78" s="343">
        <f t="shared" si="54"/>
        <v>5.7553500000000007E-2</v>
      </c>
      <c r="G78" s="343">
        <f t="shared" si="55"/>
        <v>4.0774407916666686E-2</v>
      </c>
      <c r="H78" s="343">
        <f t="shared" ca="1" si="56"/>
        <v>0.95470643135762145</v>
      </c>
      <c r="I78" s="343">
        <f t="shared" ca="1" si="57"/>
        <v>6.6369965816305179E-2</v>
      </c>
      <c r="J78" s="343">
        <f t="shared" si="58"/>
        <v>2.3399999999999997E-2</v>
      </c>
      <c r="K78" s="343">
        <f t="shared" si="59"/>
        <v>4.1998500000000008E-2</v>
      </c>
      <c r="L78" s="343">
        <f t="shared" ca="1" si="91"/>
        <v>1.1848028050905937</v>
      </c>
      <c r="M78" s="362">
        <f t="shared" ca="1" si="92"/>
        <v>125.28329537308019</v>
      </c>
      <c r="N78" s="362">
        <f t="shared" ca="1" si="60"/>
        <v>151.04680431566962</v>
      </c>
      <c r="O78" s="362">
        <f t="shared" ca="1" si="61"/>
        <v>122.72552850648157</v>
      </c>
      <c r="P78" s="343">
        <f t="shared" ca="1" si="62"/>
        <v>4.4242522746344539</v>
      </c>
      <c r="Q78" s="361">
        <f t="shared" ca="1" si="63"/>
        <v>4.4242522746344539</v>
      </c>
      <c r="R78" s="363">
        <f t="shared" ca="1" si="64"/>
        <v>4.0992522746344537</v>
      </c>
      <c r="S78" s="364">
        <f t="shared" si="65"/>
        <v>1.7333333333333334</v>
      </c>
      <c r="T78" s="365">
        <f t="shared" ca="1" si="66"/>
        <v>93.5</v>
      </c>
      <c r="U78" s="366">
        <f t="shared" ca="1" si="67"/>
        <v>0</v>
      </c>
      <c r="V78" s="344">
        <f t="shared" si="68"/>
        <v>5.7553500000000007E-2</v>
      </c>
      <c r="W78" s="344">
        <f t="shared" si="69"/>
        <v>2.7182938611111124E-2</v>
      </c>
      <c r="X78" s="344">
        <f t="shared" ca="1" si="93"/>
        <v>0.38909115524371979</v>
      </c>
      <c r="Y78" s="344">
        <f t="shared" ca="1" si="94"/>
        <v>2.7049117744215791E-2</v>
      </c>
      <c r="Z78" s="344">
        <f t="shared" si="70"/>
        <v>1.5600000000000001E-2</v>
      </c>
      <c r="AA78" s="344">
        <f t="shared" si="71"/>
        <v>4.1998500000000008E-2</v>
      </c>
      <c r="AB78" s="344">
        <f t="shared" ca="1" si="95"/>
        <v>0.55847521159904667</v>
      </c>
      <c r="AC78" s="367">
        <f t="shared" ca="1" si="72"/>
        <v>103.98815719436759</v>
      </c>
      <c r="AD78" s="367">
        <f t="shared" ca="1" si="73"/>
        <v>138.50822695604364</v>
      </c>
      <c r="AE78" s="367">
        <f t="shared" ca="1" si="74"/>
        <v>112.53793440178546</v>
      </c>
      <c r="AF78" s="344">
        <f t="shared" ca="1" si="75"/>
        <v>4.612947965297562</v>
      </c>
      <c r="AG78" s="344">
        <f t="shared" ca="1" si="76"/>
        <v>4.612947965297562</v>
      </c>
      <c r="AH78" s="368">
        <f t="shared" ca="1" si="77"/>
        <v>4.3962812986308952</v>
      </c>
      <c r="AI78" s="369">
        <f t="shared" si="78"/>
        <v>0.8666666666666667</v>
      </c>
      <c r="AJ78" s="370">
        <f t="shared" ca="1" si="79"/>
        <v>93.5</v>
      </c>
      <c r="AK78" s="371">
        <f t="shared" ca="1" si="80"/>
        <v>8.3411884080195429E-3</v>
      </c>
      <c r="AL78" s="345">
        <f t="shared" si="81"/>
        <v>5.7553500000000007E-2</v>
      </c>
      <c r="AM78" s="345">
        <f t="shared" si="82"/>
        <v>1.3591469305555562E-2</v>
      </c>
      <c r="AN78" s="345">
        <f t="shared" ca="1" si="96"/>
        <v>9.2513217934994063E-2</v>
      </c>
      <c r="AO78" s="345">
        <f t="shared" ca="1" si="97"/>
        <v>6.4314001772990464E-3</v>
      </c>
      <c r="AP78" s="345">
        <f t="shared" si="83"/>
        <v>7.8000000000000005E-3</v>
      </c>
      <c r="AQ78" s="345">
        <f t="shared" si="84"/>
        <v>4.1998500000000008E-2</v>
      </c>
      <c r="AR78" s="345">
        <f t="shared" ca="1" si="98"/>
        <v>0.21988808741784871</v>
      </c>
      <c r="AS78" s="372">
        <f t="shared" ca="1" si="85"/>
        <v>92.476194972206855</v>
      </c>
      <c r="AT78" s="372">
        <f t="shared" ca="1" si="86"/>
        <v>131.7299835996354</v>
      </c>
      <c r="AU78" s="372">
        <f t="shared" ca="1" si="87"/>
        <v>107.03061167470376</v>
      </c>
      <c r="AV78" s="345">
        <f t="shared" ca="1" si="88"/>
        <v>4.7751683869970636</v>
      </c>
      <c r="AW78" s="345">
        <f t="shared" ca="1" si="89"/>
        <v>4.7751683869970636</v>
      </c>
      <c r="AX78" s="373">
        <f t="shared" ca="1" si="90"/>
        <v>4.6668350536637302</v>
      </c>
    </row>
    <row r="79" spans="1:50" s="374" customFormat="1" ht="12.75" customHeight="1">
      <c r="A79" s="341">
        <f t="shared" si="49"/>
        <v>85</v>
      </c>
      <c r="B79" s="342">
        <f t="shared" si="50"/>
        <v>4.9500000000000011</v>
      </c>
      <c r="C79" s="359">
        <f t="shared" si="51"/>
        <v>2.6</v>
      </c>
      <c r="D79" s="360">
        <f t="shared" ca="1" si="52"/>
        <v>93.5</v>
      </c>
      <c r="E79" s="349">
        <f t="shared" ca="1" si="53"/>
        <v>0</v>
      </c>
      <c r="F79" s="343">
        <f t="shared" si="54"/>
        <v>5.4945000000000008E-2</v>
      </c>
      <c r="G79" s="343">
        <f t="shared" si="55"/>
        <v>3.7162125000000011E-2</v>
      </c>
      <c r="H79" s="343">
        <f t="shared" ca="1" si="56"/>
        <v>0.95351754712276693</v>
      </c>
      <c r="I79" s="343">
        <f t="shared" ca="1" si="57"/>
        <v>6.6287316110138814E-2</v>
      </c>
      <c r="J79" s="343">
        <f t="shared" si="58"/>
        <v>2.3399999999999997E-2</v>
      </c>
      <c r="K79" s="343">
        <f t="shared" si="59"/>
        <v>4.0095000000000013E-2</v>
      </c>
      <c r="L79" s="343">
        <f t="shared" ca="1" si="91"/>
        <v>1.1754069882329057</v>
      </c>
      <c r="M79" s="362">
        <f t="shared" ca="1" si="92"/>
        <v>124.96383759991879</v>
      </c>
      <c r="N79" s="362">
        <f t="shared" ca="1" si="60"/>
        <v>150.8587075788322</v>
      </c>
      <c r="O79" s="362">
        <f t="shared" ca="1" si="61"/>
        <v>122.57269990780115</v>
      </c>
      <c r="P79" s="343">
        <f t="shared" ca="1" si="62"/>
        <v>4.2014867412922721</v>
      </c>
      <c r="Q79" s="361">
        <f t="shared" ca="1" si="63"/>
        <v>4.2014867412922721</v>
      </c>
      <c r="R79" s="363">
        <f t="shared" ca="1" si="64"/>
        <v>3.8764867412922719</v>
      </c>
      <c r="S79" s="364">
        <f t="shared" si="65"/>
        <v>1.7333333333333334</v>
      </c>
      <c r="T79" s="365">
        <f t="shared" ca="1" si="66"/>
        <v>93.5</v>
      </c>
      <c r="U79" s="366">
        <f t="shared" ca="1" si="67"/>
        <v>0</v>
      </c>
      <c r="V79" s="344">
        <f t="shared" si="68"/>
        <v>5.4945000000000008E-2</v>
      </c>
      <c r="W79" s="344">
        <f t="shared" si="69"/>
        <v>2.4774750000000009E-2</v>
      </c>
      <c r="X79" s="344">
        <f t="shared" ca="1" si="93"/>
        <v>0.38867707900503129</v>
      </c>
      <c r="Y79" s="344">
        <f t="shared" ca="1" si="94"/>
        <v>2.7020331695536914E-2</v>
      </c>
      <c r="Z79" s="344">
        <f t="shared" si="70"/>
        <v>1.5600000000000001E-2</v>
      </c>
      <c r="AA79" s="344">
        <f t="shared" si="71"/>
        <v>4.0095000000000013E-2</v>
      </c>
      <c r="AB79" s="344">
        <f t="shared" ca="1" si="95"/>
        <v>0.55111216070056823</v>
      </c>
      <c r="AC79" s="367">
        <f t="shared" ca="1" si="72"/>
        <v>103.73781346381932</v>
      </c>
      <c r="AD79" s="367">
        <f t="shared" ca="1" si="73"/>
        <v>138.36082456749682</v>
      </c>
      <c r="AE79" s="367">
        <f t="shared" ca="1" si="74"/>
        <v>112.41816996109117</v>
      </c>
      <c r="AF79" s="344">
        <f t="shared" ca="1" si="75"/>
        <v>4.3899510674822277</v>
      </c>
      <c r="AG79" s="344">
        <f t="shared" ca="1" si="76"/>
        <v>4.3899510674822277</v>
      </c>
      <c r="AH79" s="368">
        <f t="shared" ca="1" si="77"/>
        <v>4.173284400815561</v>
      </c>
      <c r="AI79" s="369">
        <f t="shared" si="78"/>
        <v>0.8666666666666667</v>
      </c>
      <c r="AJ79" s="370">
        <f t="shared" ca="1" si="79"/>
        <v>93.5</v>
      </c>
      <c r="AK79" s="371">
        <f t="shared" ca="1" si="80"/>
        <v>0</v>
      </c>
      <c r="AL79" s="345">
        <f t="shared" si="81"/>
        <v>5.4945000000000008E-2</v>
      </c>
      <c r="AM79" s="345">
        <f t="shared" si="82"/>
        <v>1.2387375000000004E-2</v>
      </c>
      <c r="AN79" s="345">
        <f t="shared" ca="1" si="96"/>
        <v>9.2430901994195361E-2</v>
      </c>
      <c r="AO79" s="345">
        <f t="shared" ca="1" si="97"/>
        <v>6.4256776787408477E-3</v>
      </c>
      <c r="AP79" s="345">
        <f t="shared" si="83"/>
        <v>7.8000000000000005E-3</v>
      </c>
      <c r="AQ79" s="345">
        <f t="shared" si="84"/>
        <v>4.0095000000000013E-2</v>
      </c>
      <c r="AR79" s="345">
        <f t="shared" ca="1" si="98"/>
        <v>0.21408395467293626</v>
      </c>
      <c r="AS79" s="372">
        <f t="shared" ca="1" si="85"/>
        <v>92.278854458879835</v>
      </c>
      <c r="AT79" s="372">
        <f t="shared" ca="1" si="86"/>
        <v>131.61378950538844</v>
      </c>
      <c r="AU79" s="372">
        <f t="shared" ca="1" si="87"/>
        <v>106.93620397312812</v>
      </c>
      <c r="AV79" s="345">
        <f t="shared" ca="1" si="88"/>
        <v>4.5520181444683967</v>
      </c>
      <c r="AW79" s="345">
        <f t="shared" ca="1" si="89"/>
        <v>4.5520181444683967</v>
      </c>
      <c r="AX79" s="373">
        <f t="shared" ca="1" si="90"/>
        <v>4.4436848111350633</v>
      </c>
    </row>
    <row r="80" spans="1:50" s="374" customFormat="1" ht="12.75" customHeight="1">
      <c r="A80" s="341">
        <f t="shared" si="49"/>
        <v>85</v>
      </c>
      <c r="B80" s="342">
        <f t="shared" si="50"/>
        <v>4.7150000000000007</v>
      </c>
      <c r="C80" s="359">
        <f t="shared" si="51"/>
        <v>2.6</v>
      </c>
      <c r="D80" s="360">
        <f t="shared" ca="1" si="52"/>
        <v>93.5</v>
      </c>
      <c r="E80" s="349">
        <f t="shared" ca="1" si="53"/>
        <v>0</v>
      </c>
      <c r="F80" s="343">
        <f t="shared" si="54"/>
        <v>5.2336500000000008E-2</v>
      </c>
      <c r="G80" s="343">
        <f t="shared" si="55"/>
        <v>3.3717357916666676E-2</v>
      </c>
      <c r="H80" s="343">
        <f t="shared" ca="1" si="56"/>
        <v>0.95235317667397579</v>
      </c>
      <c r="I80" s="343">
        <f t="shared" ca="1" si="57"/>
        <v>6.6206370570918036E-2</v>
      </c>
      <c r="J80" s="343">
        <f t="shared" si="58"/>
        <v>2.3399999999999997E-2</v>
      </c>
      <c r="K80" s="343">
        <f t="shared" si="59"/>
        <v>3.8191500000000003E-2</v>
      </c>
      <c r="L80" s="343">
        <f t="shared" ca="1" si="91"/>
        <v>1.1662049051615604</v>
      </c>
      <c r="M80" s="362">
        <f t="shared" ca="1" si="92"/>
        <v>124.65096677549306</v>
      </c>
      <c r="N80" s="362">
        <f t="shared" ca="1" si="60"/>
        <v>150.67448923741031</v>
      </c>
      <c r="O80" s="362">
        <f t="shared" ca="1" si="61"/>
        <v>122.42302250539589</v>
      </c>
      <c r="P80" s="343">
        <f t="shared" ca="1" si="62"/>
        <v>3.9787112186578955</v>
      </c>
      <c r="Q80" s="361">
        <f t="shared" ca="1" si="63"/>
        <v>3.9787112186578955</v>
      </c>
      <c r="R80" s="363">
        <f t="shared" ca="1" si="64"/>
        <v>3.6537112186578953</v>
      </c>
      <c r="S80" s="364">
        <f t="shared" si="65"/>
        <v>1.7333333333333334</v>
      </c>
      <c r="T80" s="365">
        <f t="shared" ca="1" si="66"/>
        <v>93.5</v>
      </c>
      <c r="U80" s="366">
        <f t="shared" ca="1" si="67"/>
        <v>0</v>
      </c>
      <c r="V80" s="344">
        <f t="shared" si="68"/>
        <v>5.2336500000000008E-2</v>
      </c>
      <c r="W80" s="344">
        <f t="shared" si="69"/>
        <v>2.2478238611111118E-2</v>
      </c>
      <c r="X80" s="344">
        <f t="shared" ca="1" si="93"/>
        <v>0.38826968508191601</v>
      </c>
      <c r="Y80" s="344">
        <f t="shared" ca="1" si="94"/>
        <v>2.6992010192860443E-2</v>
      </c>
      <c r="Z80" s="344">
        <f t="shared" si="70"/>
        <v>1.5600000000000001E-2</v>
      </c>
      <c r="AA80" s="344">
        <f t="shared" si="71"/>
        <v>3.8191500000000003E-2</v>
      </c>
      <c r="AB80" s="344">
        <f t="shared" ca="1" si="95"/>
        <v>0.54386793388588761</v>
      </c>
      <c r="AC80" s="367">
        <f t="shared" ca="1" si="72"/>
        <v>103.49150975212018</v>
      </c>
      <c r="AD80" s="367">
        <f t="shared" ca="1" si="73"/>
        <v>138.21580094204836</v>
      </c>
      <c r="AE80" s="367">
        <f t="shared" ca="1" si="74"/>
        <v>112.3003382654143</v>
      </c>
      <c r="AF80" s="344">
        <f t="shared" ca="1" si="75"/>
        <v>4.1669500851324255</v>
      </c>
      <c r="AG80" s="344">
        <f t="shared" ca="1" si="76"/>
        <v>4.1669500851324255</v>
      </c>
      <c r="AH80" s="368">
        <f t="shared" ca="1" si="77"/>
        <v>3.9502834184657587</v>
      </c>
      <c r="AI80" s="369">
        <f t="shared" si="78"/>
        <v>0.8666666666666667</v>
      </c>
      <c r="AJ80" s="370">
        <f t="shared" ca="1" si="79"/>
        <v>93.5</v>
      </c>
      <c r="AK80" s="371">
        <f t="shared" ca="1" si="80"/>
        <v>0</v>
      </c>
      <c r="AL80" s="345">
        <f t="shared" si="81"/>
        <v>5.2336500000000008E-2</v>
      </c>
      <c r="AM80" s="345">
        <f t="shared" si="82"/>
        <v>1.1239119305555559E-2</v>
      </c>
      <c r="AN80" s="345">
        <f t="shared" ca="1" si="96"/>
        <v>9.2350108109108361E-2</v>
      </c>
      <c r="AO80" s="345">
        <f t="shared" ca="1" si="97"/>
        <v>6.4200609915422866E-3</v>
      </c>
      <c r="AP80" s="345">
        <f t="shared" si="83"/>
        <v>7.8000000000000005E-3</v>
      </c>
      <c r="AQ80" s="345">
        <f t="shared" si="84"/>
        <v>3.8191500000000003E-2</v>
      </c>
      <c r="AR80" s="345">
        <f t="shared" ca="1" si="98"/>
        <v>0.20833728840620624</v>
      </c>
      <c r="AS80" s="372">
        <f t="shared" ca="1" si="85"/>
        <v>92.083467805811011</v>
      </c>
      <c r="AT80" s="372">
        <f t="shared" ca="1" si="86"/>
        <v>131.49874584406152</v>
      </c>
      <c r="AU80" s="372">
        <f t="shared" ca="1" si="87"/>
        <v>106.8427309983</v>
      </c>
      <c r="AV80" s="345">
        <f t="shared" ca="1" si="88"/>
        <v>4.3288669142451308</v>
      </c>
      <c r="AW80" s="345">
        <f t="shared" ca="1" si="89"/>
        <v>4.3288669142451308</v>
      </c>
      <c r="AX80" s="373">
        <f t="shared" ca="1" si="90"/>
        <v>4.2205335809117974</v>
      </c>
    </row>
    <row r="81" spans="1:50" s="374" customFormat="1" ht="12.75" customHeight="1">
      <c r="A81" s="341">
        <f t="shared" si="49"/>
        <v>85</v>
      </c>
      <c r="B81" s="342">
        <f t="shared" si="50"/>
        <v>4.4800000000000004</v>
      </c>
      <c r="C81" s="359">
        <f t="shared" si="51"/>
        <v>2.6</v>
      </c>
      <c r="D81" s="360">
        <f t="shared" ca="1" si="52"/>
        <v>93.5</v>
      </c>
      <c r="E81" s="349">
        <f t="shared" ca="1" si="53"/>
        <v>0</v>
      </c>
      <c r="F81" s="343">
        <f t="shared" si="54"/>
        <v>4.9728000000000001E-2</v>
      </c>
      <c r="G81" s="343">
        <f t="shared" si="55"/>
        <v>3.0440106666666675E-2</v>
      </c>
      <c r="H81" s="343">
        <f t="shared" ca="1" si="56"/>
        <v>0.95121332001124825</v>
      </c>
      <c r="I81" s="343">
        <f t="shared" ca="1" si="57"/>
        <v>6.6127129198642859E-2</v>
      </c>
      <c r="J81" s="343">
        <f t="shared" si="58"/>
        <v>2.3399999999999997E-2</v>
      </c>
      <c r="K81" s="343">
        <f t="shared" si="59"/>
        <v>3.6288000000000001E-2</v>
      </c>
      <c r="L81" s="343">
        <f t="shared" ca="1" si="91"/>
        <v>1.157196555876558</v>
      </c>
      <c r="M81" s="362">
        <f t="shared" ca="1" si="92"/>
        <v>124.34468289980298</v>
      </c>
      <c r="N81" s="362">
        <f t="shared" ca="1" si="60"/>
        <v>150.494149291404</v>
      </c>
      <c r="O81" s="362">
        <f t="shared" ca="1" si="61"/>
        <v>122.27649629926574</v>
      </c>
      <c r="P81" s="343">
        <f t="shared" ca="1" si="62"/>
        <v>3.7559257067313276</v>
      </c>
      <c r="Q81" s="361">
        <f t="shared" ca="1" si="63"/>
        <v>3.7559257067313276</v>
      </c>
      <c r="R81" s="363">
        <f t="shared" ca="1" si="64"/>
        <v>3.4309257067313275</v>
      </c>
      <c r="S81" s="364">
        <f t="shared" si="65"/>
        <v>1.7333333333333334</v>
      </c>
      <c r="T81" s="365">
        <f t="shared" ca="1" si="66"/>
        <v>93.5</v>
      </c>
      <c r="U81" s="366">
        <f t="shared" ca="1" si="67"/>
        <v>0</v>
      </c>
      <c r="V81" s="344">
        <f t="shared" si="68"/>
        <v>4.9728000000000001E-2</v>
      </c>
      <c r="W81" s="344">
        <f t="shared" si="69"/>
        <v>2.0293404444444451E-2</v>
      </c>
      <c r="X81" s="344">
        <f t="shared" ca="1" si="93"/>
        <v>0.38786897347437377</v>
      </c>
      <c r="Y81" s="344">
        <f t="shared" ca="1" si="94"/>
        <v>2.6964153236186388E-2</v>
      </c>
      <c r="Z81" s="344">
        <f t="shared" si="70"/>
        <v>1.5600000000000001E-2</v>
      </c>
      <c r="AA81" s="344">
        <f t="shared" si="71"/>
        <v>3.6288000000000001E-2</v>
      </c>
      <c r="AB81" s="344">
        <f t="shared" ca="1" si="95"/>
        <v>0.53674253115500459</v>
      </c>
      <c r="AC81" s="367">
        <f t="shared" ca="1" si="72"/>
        <v>103.24924605927015</v>
      </c>
      <c r="AD81" s="367">
        <f t="shared" ca="1" si="73"/>
        <v>138.07315607969826</v>
      </c>
      <c r="AE81" s="367">
        <f t="shared" ca="1" si="74"/>
        <v>112.18443931475484</v>
      </c>
      <c r="AF81" s="344">
        <f t="shared" ca="1" si="75"/>
        <v>3.9439450182481508</v>
      </c>
      <c r="AG81" s="344">
        <f t="shared" ca="1" si="76"/>
        <v>3.9439450182481508</v>
      </c>
      <c r="AH81" s="368">
        <f t="shared" ca="1" si="77"/>
        <v>3.727278351581484</v>
      </c>
      <c r="AI81" s="369">
        <f t="shared" si="78"/>
        <v>0.8666666666666667</v>
      </c>
      <c r="AJ81" s="370">
        <f t="shared" ca="1" si="79"/>
        <v>93.5</v>
      </c>
      <c r="AK81" s="371">
        <f t="shared" ca="1" si="80"/>
        <v>0</v>
      </c>
      <c r="AL81" s="345">
        <f t="shared" si="81"/>
        <v>4.9728000000000001E-2</v>
      </c>
      <c r="AM81" s="345">
        <f t="shared" si="82"/>
        <v>1.0146702222222225E-2</v>
      </c>
      <c r="AN81" s="345">
        <f t="shared" ca="1" si="96"/>
        <v>9.2270111258391047E-2</v>
      </c>
      <c r="AO81" s="345">
        <f t="shared" ca="1" si="97"/>
        <v>6.4144997131501741E-3</v>
      </c>
      <c r="AP81" s="345">
        <f t="shared" si="83"/>
        <v>7.8000000000000005E-3</v>
      </c>
      <c r="AQ81" s="345">
        <f t="shared" si="84"/>
        <v>3.6288000000000001E-2</v>
      </c>
      <c r="AR81" s="345">
        <f t="shared" ca="1" si="98"/>
        <v>0.20264731319376345</v>
      </c>
      <c r="AS81" s="372">
        <f t="shared" ca="1" si="85"/>
        <v>91.890008648587951</v>
      </c>
      <c r="AT81" s="372">
        <f t="shared" ca="1" si="86"/>
        <v>131.38483709228859</v>
      </c>
      <c r="AU81" s="372">
        <f t="shared" ca="1" si="87"/>
        <v>106.75018013748448</v>
      </c>
      <c r="AV81" s="345">
        <f t="shared" ca="1" si="88"/>
        <v>4.1057147096547242</v>
      </c>
      <c r="AW81" s="345">
        <f t="shared" ca="1" si="89"/>
        <v>4.1057147096547242</v>
      </c>
      <c r="AX81" s="373">
        <f t="shared" ca="1" si="90"/>
        <v>3.9973813763213908</v>
      </c>
    </row>
    <row r="82" spans="1:50" s="374" customFormat="1" ht="12.75" customHeight="1">
      <c r="A82" s="341">
        <f t="shared" si="49"/>
        <v>85</v>
      </c>
      <c r="B82" s="342">
        <f t="shared" si="50"/>
        <v>4.2450000000000001</v>
      </c>
      <c r="C82" s="359">
        <f t="shared" si="51"/>
        <v>2.6</v>
      </c>
      <c r="D82" s="360">
        <f t="shared" ca="1" si="52"/>
        <v>93.5</v>
      </c>
      <c r="E82" s="349">
        <f t="shared" ca="1" si="53"/>
        <v>0</v>
      </c>
      <c r="F82" s="343">
        <f t="shared" si="54"/>
        <v>4.7119499999999995E-2</v>
      </c>
      <c r="G82" s="343">
        <f t="shared" si="55"/>
        <v>2.7330371250000002E-2</v>
      </c>
      <c r="H82" s="343">
        <f t="shared" ca="1" si="56"/>
        <v>0.95009797713458399</v>
      </c>
      <c r="I82" s="343">
        <f t="shared" ca="1" si="57"/>
        <v>6.604959199331327E-2</v>
      </c>
      <c r="J82" s="343">
        <f t="shared" si="58"/>
        <v>2.3399999999999997E-2</v>
      </c>
      <c r="K82" s="343">
        <f t="shared" si="59"/>
        <v>3.4384499999999998E-2</v>
      </c>
      <c r="L82" s="343">
        <f t="shared" ca="1" si="91"/>
        <v>1.1483819403778974</v>
      </c>
      <c r="M82" s="362">
        <f t="shared" ca="1" si="92"/>
        <v>124.04498597284851</v>
      </c>
      <c r="N82" s="362">
        <f t="shared" ca="1" si="60"/>
        <v>150.3176877408132</v>
      </c>
      <c r="O82" s="362">
        <f t="shared" ca="1" si="61"/>
        <v>122.13312128941072</v>
      </c>
      <c r="P82" s="343">
        <f t="shared" ca="1" si="62"/>
        <v>3.5331302055125677</v>
      </c>
      <c r="Q82" s="361">
        <f t="shared" ca="1" si="63"/>
        <v>3.5331302055125677</v>
      </c>
      <c r="R82" s="363">
        <f t="shared" ca="1" si="64"/>
        <v>3.2081302055125676</v>
      </c>
      <c r="S82" s="364">
        <f t="shared" si="65"/>
        <v>1.7333333333333334</v>
      </c>
      <c r="T82" s="365">
        <f t="shared" ca="1" si="66"/>
        <v>93.5</v>
      </c>
      <c r="U82" s="366">
        <f t="shared" ca="1" si="67"/>
        <v>0</v>
      </c>
      <c r="V82" s="344">
        <f t="shared" si="68"/>
        <v>4.7119499999999995E-2</v>
      </c>
      <c r="W82" s="344">
        <f t="shared" si="69"/>
        <v>1.8220247500000002E-2</v>
      </c>
      <c r="X82" s="344">
        <f t="shared" ca="1" si="93"/>
        <v>0.38747494418240463</v>
      </c>
      <c r="Y82" s="344">
        <f t="shared" ca="1" si="94"/>
        <v>2.6936760825514737E-2</v>
      </c>
      <c r="Z82" s="344">
        <f t="shared" si="70"/>
        <v>1.5600000000000001E-2</v>
      </c>
      <c r="AA82" s="344">
        <f t="shared" si="71"/>
        <v>3.4384499999999998E-2</v>
      </c>
      <c r="AB82" s="344">
        <f t="shared" ca="1" si="95"/>
        <v>0.52973595250791938</v>
      </c>
      <c r="AC82" s="367">
        <f t="shared" ca="1" si="72"/>
        <v>103.01102238526926</v>
      </c>
      <c r="AD82" s="367">
        <f t="shared" ca="1" si="73"/>
        <v>137.93288998044653</v>
      </c>
      <c r="AE82" s="367">
        <f t="shared" ca="1" si="74"/>
        <v>112.07047310911281</v>
      </c>
      <c r="AF82" s="344">
        <f t="shared" ca="1" si="75"/>
        <v>3.7209358668294086</v>
      </c>
      <c r="AG82" s="344">
        <f t="shared" ca="1" si="76"/>
        <v>3.7209358668294086</v>
      </c>
      <c r="AH82" s="368">
        <f t="shared" ca="1" si="77"/>
        <v>3.5042692001627418</v>
      </c>
      <c r="AI82" s="369">
        <f t="shared" si="78"/>
        <v>0.8666666666666667</v>
      </c>
      <c r="AJ82" s="370">
        <f t="shared" ca="1" si="79"/>
        <v>93.5</v>
      </c>
      <c r="AK82" s="371">
        <f t="shared" ca="1" si="80"/>
        <v>0</v>
      </c>
      <c r="AL82" s="345">
        <f t="shared" si="81"/>
        <v>4.7119499999999995E-2</v>
      </c>
      <c r="AM82" s="345">
        <f t="shared" si="82"/>
        <v>9.1101237500000008E-3</v>
      </c>
      <c r="AN82" s="345">
        <f t="shared" ca="1" si="96"/>
        <v>9.2190911442043361E-2</v>
      </c>
      <c r="AO82" s="345">
        <f t="shared" ca="1" si="97"/>
        <v>6.4089938435645056E-3</v>
      </c>
      <c r="AP82" s="345">
        <f t="shared" si="83"/>
        <v>7.8000000000000005E-3</v>
      </c>
      <c r="AQ82" s="345">
        <f t="shared" si="84"/>
        <v>3.4384499999999998E-2</v>
      </c>
      <c r="AR82" s="345">
        <f t="shared" ca="1" si="98"/>
        <v>0.19701402903560783</v>
      </c>
      <c r="AS82" s="372">
        <f t="shared" ca="1" si="85"/>
        <v>91.698476987210668</v>
      </c>
      <c r="AT82" s="372">
        <f t="shared" ca="1" si="86"/>
        <v>131.27206325006964</v>
      </c>
      <c r="AU82" s="372">
        <f t="shared" ca="1" si="87"/>
        <v>106.65855139068159</v>
      </c>
      <c r="AV82" s="345">
        <f t="shared" ca="1" si="88"/>
        <v>3.8825615306971799</v>
      </c>
      <c r="AW82" s="345">
        <f t="shared" ca="1" si="89"/>
        <v>3.8825615306971799</v>
      </c>
      <c r="AX82" s="373">
        <f t="shared" ca="1" si="90"/>
        <v>3.7742281973638465</v>
      </c>
    </row>
    <row r="83" spans="1:50" s="374" customFormat="1" ht="12.75" customHeight="1">
      <c r="A83" s="341">
        <f t="shared" si="49"/>
        <v>85</v>
      </c>
      <c r="B83" s="342">
        <f t="shared" si="50"/>
        <v>4.01</v>
      </c>
      <c r="C83" s="359">
        <f t="shared" si="51"/>
        <v>2.6</v>
      </c>
      <c r="D83" s="360">
        <f t="shared" ca="1" si="52"/>
        <v>93.5</v>
      </c>
      <c r="E83" s="349">
        <f t="shared" ca="1" si="53"/>
        <v>0</v>
      </c>
      <c r="F83" s="343">
        <f t="shared" si="54"/>
        <v>4.4510999999999995E-2</v>
      </c>
      <c r="G83" s="343">
        <f t="shared" si="55"/>
        <v>2.4388151666666667E-2</v>
      </c>
      <c r="H83" s="343">
        <f t="shared" ca="1" si="56"/>
        <v>0.94900714804398345</v>
      </c>
      <c r="I83" s="343">
        <f t="shared" ca="1" si="57"/>
        <v>6.5973758954929282E-2</v>
      </c>
      <c r="J83" s="343">
        <f t="shared" si="58"/>
        <v>2.3399999999999997E-2</v>
      </c>
      <c r="K83" s="343">
        <f t="shared" si="59"/>
        <v>3.2480999999999996E-2</v>
      </c>
      <c r="L83" s="343">
        <f t="shared" ca="1" si="91"/>
        <v>1.1397610586655793</v>
      </c>
      <c r="M83" s="362">
        <f t="shared" ca="1" si="92"/>
        <v>123.7518759946297</v>
      </c>
      <c r="N83" s="362">
        <f t="shared" ca="1" si="60"/>
        <v>150.14510458563797</v>
      </c>
      <c r="O83" s="362">
        <f t="shared" ca="1" si="61"/>
        <v>121.99289747583086</v>
      </c>
      <c r="P83" s="343">
        <f t="shared" ca="1" si="62"/>
        <v>3.3103247150016157</v>
      </c>
      <c r="Q83" s="361">
        <f t="shared" ca="1" si="63"/>
        <v>3.3103247150016157</v>
      </c>
      <c r="R83" s="363">
        <f t="shared" ca="1" si="64"/>
        <v>2.9853247150016156</v>
      </c>
      <c r="S83" s="364">
        <f t="shared" si="65"/>
        <v>1.7333333333333334</v>
      </c>
      <c r="T83" s="365">
        <f t="shared" ca="1" si="66"/>
        <v>93.5</v>
      </c>
      <c r="U83" s="366">
        <f t="shared" ca="1" si="67"/>
        <v>0</v>
      </c>
      <c r="V83" s="344">
        <f t="shared" si="68"/>
        <v>4.4510999999999995E-2</v>
      </c>
      <c r="W83" s="344">
        <f t="shared" si="69"/>
        <v>1.6258767777777777E-2</v>
      </c>
      <c r="X83" s="344">
        <f t="shared" ca="1" si="93"/>
        <v>0.38708759720600866</v>
      </c>
      <c r="Y83" s="344">
        <f t="shared" ca="1" si="94"/>
        <v>2.6909832960845495E-2</v>
      </c>
      <c r="Z83" s="344">
        <f t="shared" si="70"/>
        <v>1.5600000000000001E-2</v>
      </c>
      <c r="AA83" s="344">
        <f t="shared" si="71"/>
        <v>3.2480999999999996E-2</v>
      </c>
      <c r="AB83" s="344">
        <f t="shared" ca="1" si="95"/>
        <v>0.52284819794463189</v>
      </c>
      <c r="AC83" s="367">
        <f t="shared" ca="1" si="72"/>
        <v>102.77683873011748</v>
      </c>
      <c r="AD83" s="367">
        <f t="shared" ca="1" si="73"/>
        <v>137.79500264429316</v>
      </c>
      <c r="AE83" s="367">
        <f t="shared" ca="1" si="74"/>
        <v>111.95843964848819</v>
      </c>
      <c r="AF83" s="344">
        <f t="shared" ca="1" si="75"/>
        <v>3.4979226308761953</v>
      </c>
      <c r="AG83" s="344">
        <f t="shared" ca="1" si="76"/>
        <v>3.4979226308761953</v>
      </c>
      <c r="AH83" s="368">
        <f t="shared" ca="1" si="77"/>
        <v>3.2812559642095285</v>
      </c>
      <c r="AI83" s="369">
        <f t="shared" si="78"/>
        <v>0.8666666666666667</v>
      </c>
      <c r="AJ83" s="370">
        <f t="shared" ca="1" si="79"/>
        <v>93.5</v>
      </c>
      <c r="AK83" s="371">
        <f t="shared" ca="1" si="80"/>
        <v>0</v>
      </c>
      <c r="AL83" s="345">
        <f t="shared" si="81"/>
        <v>4.4510999999999995E-2</v>
      </c>
      <c r="AM83" s="345">
        <f t="shared" si="82"/>
        <v>8.1293838888888883E-3</v>
      </c>
      <c r="AN83" s="345">
        <f t="shared" ca="1" si="96"/>
        <v>9.2112508660065345E-2</v>
      </c>
      <c r="AO83" s="345">
        <f t="shared" ca="1" si="97"/>
        <v>6.4035433827852855E-3</v>
      </c>
      <c r="AP83" s="345">
        <f t="shared" si="83"/>
        <v>7.8000000000000005E-3</v>
      </c>
      <c r="AQ83" s="345">
        <f t="shared" si="84"/>
        <v>3.2480999999999996E-2</v>
      </c>
      <c r="AR83" s="345">
        <f t="shared" ca="1" si="98"/>
        <v>0.19143743593173951</v>
      </c>
      <c r="AS83" s="372">
        <f t="shared" ca="1" si="85"/>
        <v>91.508872821679148</v>
      </c>
      <c r="AT83" s="372">
        <f t="shared" ca="1" si="86"/>
        <v>131.16042431740468</v>
      </c>
      <c r="AU83" s="372">
        <f t="shared" ca="1" si="87"/>
        <v>106.56784475789131</v>
      </c>
      <c r="AV83" s="345">
        <f t="shared" ca="1" si="88"/>
        <v>3.6594073773724949</v>
      </c>
      <c r="AW83" s="345">
        <f t="shared" ca="1" si="89"/>
        <v>3.6594073773724949</v>
      </c>
      <c r="AX83" s="373">
        <f t="shared" ca="1" si="90"/>
        <v>3.5510740440391615</v>
      </c>
    </row>
    <row r="84" spans="1:50" s="374" customFormat="1" ht="12.75" customHeight="1">
      <c r="A84" s="341">
        <f t="shared" si="49"/>
        <v>85</v>
      </c>
      <c r="B84" s="342">
        <f t="shared" si="50"/>
        <v>3.7749999999999995</v>
      </c>
      <c r="C84" s="359">
        <f t="shared" si="51"/>
        <v>2.6</v>
      </c>
      <c r="D84" s="360">
        <f t="shared" ca="1" si="52"/>
        <v>93.5</v>
      </c>
      <c r="E84" s="349">
        <f t="shared" ca="1" si="53"/>
        <v>0</v>
      </c>
      <c r="F84" s="343">
        <f t="shared" si="54"/>
        <v>4.1902499999999995E-2</v>
      </c>
      <c r="G84" s="343">
        <f t="shared" si="55"/>
        <v>2.1613447916666664E-2</v>
      </c>
      <c r="H84" s="343">
        <f t="shared" ca="1" si="56"/>
        <v>0.9479408327394464</v>
      </c>
      <c r="I84" s="343">
        <f t="shared" ca="1" si="57"/>
        <v>6.5899630083490868E-2</v>
      </c>
      <c r="J84" s="343">
        <f t="shared" si="58"/>
        <v>2.3399999999999997E-2</v>
      </c>
      <c r="K84" s="343">
        <f t="shared" si="59"/>
        <v>3.0577499999999997E-2</v>
      </c>
      <c r="L84" s="343">
        <f t="shared" ca="1" si="91"/>
        <v>1.1313339107396039</v>
      </c>
      <c r="M84" s="362">
        <f t="shared" ca="1" si="92"/>
        <v>123.46535296514654</v>
      </c>
      <c r="N84" s="362">
        <f t="shared" ca="1" si="60"/>
        <v>149.97639982587827</v>
      </c>
      <c r="O84" s="362">
        <f t="shared" ca="1" si="61"/>
        <v>121.85582485852611</v>
      </c>
      <c r="P84" s="343">
        <f t="shared" ca="1" si="62"/>
        <v>3.0875092351984721</v>
      </c>
      <c r="Q84" s="361">
        <f t="shared" ca="1" si="63"/>
        <v>3.0875092351984721</v>
      </c>
      <c r="R84" s="363">
        <f t="shared" ca="1" si="64"/>
        <v>2.7625092351984719</v>
      </c>
      <c r="S84" s="364">
        <f t="shared" si="65"/>
        <v>1.7333333333333334</v>
      </c>
      <c r="T84" s="365">
        <f t="shared" ca="1" si="66"/>
        <v>93.5</v>
      </c>
      <c r="U84" s="366">
        <f t="shared" ca="1" si="67"/>
        <v>0</v>
      </c>
      <c r="V84" s="344">
        <f t="shared" si="68"/>
        <v>4.1902499999999995E-2</v>
      </c>
      <c r="W84" s="344">
        <f t="shared" si="69"/>
        <v>1.4408965277777776E-2</v>
      </c>
      <c r="X84" s="344">
        <f t="shared" ca="1" si="93"/>
        <v>0.38670693254518579</v>
      </c>
      <c r="Y84" s="344">
        <f t="shared" ca="1" si="94"/>
        <v>2.6883369642178669E-2</v>
      </c>
      <c r="Z84" s="344">
        <f t="shared" si="70"/>
        <v>1.5600000000000001E-2</v>
      </c>
      <c r="AA84" s="344">
        <f t="shared" si="71"/>
        <v>3.0577499999999997E-2</v>
      </c>
      <c r="AB84" s="344">
        <f t="shared" ca="1" si="95"/>
        <v>0.51607926746514221</v>
      </c>
      <c r="AC84" s="367">
        <f t="shared" ca="1" si="72"/>
        <v>102.54669509381483</v>
      </c>
      <c r="AD84" s="367">
        <f t="shared" ca="1" si="73"/>
        <v>137.65949407123816</v>
      </c>
      <c r="AE84" s="367">
        <f t="shared" ca="1" si="74"/>
        <v>111.84833893288102</v>
      </c>
      <c r="AF84" s="344">
        <f t="shared" ca="1" si="75"/>
        <v>3.2749053103885108</v>
      </c>
      <c r="AG84" s="344">
        <f t="shared" ca="1" si="76"/>
        <v>3.2749053103885108</v>
      </c>
      <c r="AH84" s="368">
        <f t="shared" ca="1" si="77"/>
        <v>3.0582386437218441</v>
      </c>
      <c r="AI84" s="369">
        <f t="shared" si="78"/>
        <v>0.8666666666666667</v>
      </c>
      <c r="AJ84" s="370">
        <f t="shared" ca="1" si="79"/>
        <v>93.5</v>
      </c>
      <c r="AK84" s="371">
        <f t="shared" ca="1" si="80"/>
        <v>0</v>
      </c>
      <c r="AL84" s="345">
        <f t="shared" si="81"/>
        <v>4.1902499999999995E-2</v>
      </c>
      <c r="AM84" s="345">
        <f t="shared" si="82"/>
        <v>7.2044826388888879E-3</v>
      </c>
      <c r="AN84" s="345">
        <f t="shared" ca="1" si="96"/>
        <v>9.2034902912456987E-2</v>
      </c>
      <c r="AO84" s="345">
        <f t="shared" ca="1" si="97"/>
        <v>6.3981483308125121E-3</v>
      </c>
      <c r="AP84" s="345">
        <f t="shared" si="83"/>
        <v>7.8000000000000005E-3</v>
      </c>
      <c r="AQ84" s="345">
        <f t="shared" si="84"/>
        <v>3.0577499999999997E-2</v>
      </c>
      <c r="AR84" s="345">
        <f t="shared" ca="1" si="98"/>
        <v>0.1859175338821584</v>
      </c>
      <c r="AS84" s="372">
        <f t="shared" ca="1" si="85"/>
        <v>91.321196151993391</v>
      </c>
      <c r="AT84" s="372">
        <f t="shared" ca="1" si="86"/>
        <v>131.04992029429371</v>
      </c>
      <c r="AU84" s="372">
        <f t="shared" ca="1" si="87"/>
        <v>106.47806023911365</v>
      </c>
      <c r="AV84" s="345">
        <f t="shared" ca="1" si="88"/>
        <v>3.4362522496806696</v>
      </c>
      <c r="AW84" s="345">
        <f t="shared" ca="1" si="89"/>
        <v>3.4362522496806696</v>
      </c>
      <c r="AX84" s="373">
        <f t="shared" ca="1" si="90"/>
        <v>3.3279189163473362</v>
      </c>
    </row>
    <row r="85" spans="1:50" s="374" customFormat="1" ht="12.75" customHeight="1">
      <c r="A85" s="341">
        <f t="shared" si="49"/>
        <v>85</v>
      </c>
      <c r="B85" s="342">
        <f t="shared" si="50"/>
        <v>3.5399999999999996</v>
      </c>
      <c r="C85" s="359">
        <f t="shared" si="51"/>
        <v>2.6</v>
      </c>
      <c r="D85" s="360">
        <f t="shared" ca="1" si="52"/>
        <v>93.5</v>
      </c>
      <c r="E85" s="349">
        <f t="shared" ca="1" si="53"/>
        <v>0</v>
      </c>
      <c r="F85" s="343">
        <f t="shared" si="54"/>
        <v>3.9293999999999996E-2</v>
      </c>
      <c r="G85" s="343">
        <f t="shared" si="55"/>
        <v>1.9006259999999997E-2</v>
      </c>
      <c r="H85" s="343">
        <f t="shared" ca="1" si="56"/>
        <v>0.94689903122097274</v>
      </c>
      <c r="I85" s="343">
        <f t="shared" ca="1" si="57"/>
        <v>6.5827205378998041E-2</v>
      </c>
      <c r="J85" s="343">
        <f t="shared" si="58"/>
        <v>2.3399999999999997E-2</v>
      </c>
      <c r="K85" s="343">
        <f t="shared" si="59"/>
        <v>2.8673999999999995E-2</v>
      </c>
      <c r="L85" s="343">
        <f t="shared" ca="1" si="91"/>
        <v>1.1231004965999711</v>
      </c>
      <c r="M85" s="362">
        <f t="shared" ca="1" si="92"/>
        <v>123.18541688439902</v>
      </c>
      <c r="N85" s="362">
        <f t="shared" ca="1" si="60"/>
        <v>149.81157346153412</v>
      </c>
      <c r="O85" s="362">
        <f t="shared" ca="1" si="61"/>
        <v>121.72190343749649</v>
      </c>
      <c r="P85" s="343">
        <f t="shared" ca="1" si="62"/>
        <v>2.8646837661031355</v>
      </c>
      <c r="Q85" s="361">
        <f t="shared" ca="1" si="63"/>
        <v>2.8646837661031355</v>
      </c>
      <c r="R85" s="363">
        <f t="shared" ca="1" si="64"/>
        <v>2.5396837661031353</v>
      </c>
      <c r="S85" s="364">
        <f t="shared" si="65"/>
        <v>1.7333333333333334</v>
      </c>
      <c r="T85" s="365">
        <f t="shared" ca="1" si="66"/>
        <v>93.5</v>
      </c>
      <c r="U85" s="366">
        <f t="shared" ca="1" si="67"/>
        <v>0</v>
      </c>
      <c r="V85" s="344">
        <f t="shared" si="68"/>
        <v>3.9293999999999996E-2</v>
      </c>
      <c r="W85" s="344">
        <f t="shared" si="69"/>
        <v>1.2670839999999999E-2</v>
      </c>
      <c r="X85" s="344">
        <f t="shared" ca="1" si="93"/>
        <v>0.38633295019993608</v>
      </c>
      <c r="Y85" s="344">
        <f t="shared" ca="1" si="94"/>
        <v>2.6857370869514247E-2</v>
      </c>
      <c r="Z85" s="344">
        <f t="shared" si="70"/>
        <v>1.5600000000000001E-2</v>
      </c>
      <c r="AA85" s="344">
        <f t="shared" si="71"/>
        <v>2.8673999999999995E-2</v>
      </c>
      <c r="AB85" s="344">
        <f t="shared" ca="1" si="95"/>
        <v>0.50942916106945035</v>
      </c>
      <c r="AC85" s="367">
        <f t="shared" ca="1" si="72"/>
        <v>102.32059147636132</v>
      </c>
      <c r="AD85" s="367">
        <f t="shared" ca="1" si="73"/>
        <v>137.52636426128154</v>
      </c>
      <c r="AE85" s="367">
        <f t="shared" ca="1" si="74"/>
        <v>111.74017096229126</v>
      </c>
      <c r="AF85" s="344">
        <f t="shared" ca="1" si="75"/>
        <v>3.0518839053663576</v>
      </c>
      <c r="AG85" s="344">
        <f t="shared" ca="1" si="76"/>
        <v>3.0518839053663576</v>
      </c>
      <c r="AH85" s="368">
        <f t="shared" ca="1" si="77"/>
        <v>2.8352172386996908</v>
      </c>
      <c r="AI85" s="369">
        <f t="shared" si="78"/>
        <v>0.8666666666666667</v>
      </c>
      <c r="AJ85" s="370">
        <f t="shared" ca="1" si="79"/>
        <v>93.5</v>
      </c>
      <c r="AK85" s="371">
        <f t="shared" ca="1" si="80"/>
        <v>0</v>
      </c>
      <c r="AL85" s="345">
        <f t="shared" si="81"/>
        <v>3.9293999999999996E-2</v>
      </c>
      <c r="AM85" s="345">
        <f t="shared" si="82"/>
        <v>6.3354199999999996E-3</v>
      </c>
      <c r="AN85" s="345">
        <f t="shared" ca="1" si="96"/>
        <v>9.1958094199218299E-2</v>
      </c>
      <c r="AO85" s="345">
        <f t="shared" ca="1" si="97"/>
        <v>6.3928086876461855E-3</v>
      </c>
      <c r="AP85" s="345">
        <f t="shared" si="83"/>
        <v>7.8000000000000005E-3</v>
      </c>
      <c r="AQ85" s="345">
        <f t="shared" si="84"/>
        <v>2.8673999999999995E-2</v>
      </c>
      <c r="AR85" s="345">
        <f t="shared" ca="1" si="98"/>
        <v>0.1804543228868645</v>
      </c>
      <c r="AS85" s="372">
        <f t="shared" ca="1" si="85"/>
        <v>91.135446978153396</v>
      </c>
      <c r="AT85" s="372">
        <f t="shared" ca="1" si="86"/>
        <v>130.94055118073672</v>
      </c>
      <c r="AU85" s="372">
        <f t="shared" ca="1" si="87"/>
        <v>106.38919783434859</v>
      </c>
      <c r="AV85" s="345">
        <f t="shared" ca="1" si="88"/>
        <v>3.2130961476217044</v>
      </c>
      <c r="AW85" s="345">
        <f t="shared" ca="1" si="89"/>
        <v>3.2130961476217044</v>
      </c>
      <c r="AX85" s="373">
        <f t="shared" ca="1" si="90"/>
        <v>3.104762814288371</v>
      </c>
    </row>
    <row r="86" spans="1:50" s="374" customFormat="1" ht="12.75" customHeight="1">
      <c r="A86" s="341">
        <f t="shared" si="49"/>
        <v>85</v>
      </c>
      <c r="B86" s="342">
        <f t="shared" si="50"/>
        <v>3.3049999999999997</v>
      </c>
      <c r="C86" s="359">
        <f t="shared" si="51"/>
        <v>2.6</v>
      </c>
      <c r="D86" s="360">
        <f t="shared" ca="1" si="52"/>
        <v>93.5</v>
      </c>
      <c r="E86" s="349">
        <f t="shared" ca="1" si="53"/>
        <v>0</v>
      </c>
      <c r="F86" s="343">
        <f t="shared" si="54"/>
        <v>3.6685499999999996E-2</v>
      </c>
      <c r="G86" s="343">
        <f t="shared" si="55"/>
        <v>1.6566587916666663E-2</v>
      </c>
      <c r="H86" s="343">
        <f t="shared" ca="1" si="56"/>
        <v>0.94588174348856269</v>
      </c>
      <c r="I86" s="343">
        <f t="shared" ca="1" si="57"/>
        <v>6.575648484145083E-2</v>
      </c>
      <c r="J86" s="343">
        <f t="shared" si="58"/>
        <v>2.3399999999999997E-2</v>
      </c>
      <c r="K86" s="343">
        <f t="shared" si="59"/>
        <v>2.6770499999999999E-2</v>
      </c>
      <c r="L86" s="343">
        <f t="shared" ca="1" si="91"/>
        <v>1.1150608162466804</v>
      </c>
      <c r="M86" s="362">
        <f t="shared" ca="1" si="92"/>
        <v>122.91206775238713</v>
      </c>
      <c r="N86" s="362">
        <f t="shared" ca="1" si="60"/>
        <v>149.65062549260554</v>
      </c>
      <c r="O86" s="362">
        <f t="shared" ca="1" si="61"/>
        <v>121.59113321274201</v>
      </c>
      <c r="P86" s="343">
        <f t="shared" ca="1" si="62"/>
        <v>2.6418483077156072</v>
      </c>
      <c r="Q86" s="361">
        <f t="shared" ca="1" si="63"/>
        <v>2.6418483077156072</v>
      </c>
      <c r="R86" s="363">
        <f t="shared" ca="1" si="64"/>
        <v>2.316848307715607</v>
      </c>
      <c r="S86" s="364">
        <f t="shared" si="65"/>
        <v>1.7333333333333334</v>
      </c>
      <c r="T86" s="365">
        <f t="shared" ca="1" si="66"/>
        <v>93.5</v>
      </c>
      <c r="U86" s="366">
        <f t="shared" ca="1" si="67"/>
        <v>0</v>
      </c>
      <c r="V86" s="344">
        <f t="shared" si="68"/>
        <v>3.6685499999999996E-2</v>
      </c>
      <c r="W86" s="344">
        <f t="shared" si="69"/>
        <v>1.1044391944444442E-2</v>
      </c>
      <c r="X86" s="344">
        <f t="shared" ca="1" si="93"/>
        <v>0.38596565017025941</v>
      </c>
      <c r="Y86" s="344">
        <f t="shared" ca="1" si="94"/>
        <v>2.6831836642852238E-2</v>
      </c>
      <c r="Z86" s="344">
        <f t="shared" si="70"/>
        <v>1.5600000000000001E-2</v>
      </c>
      <c r="AA86" s="344">
        <f t="shared" si="71"/>
        <v>2.6770499999999999E-2</v>
      </c>
      <c r="AB86" s="344">
        <f t="shared" ca="1" si="95"/>
        <v>0.50289787875755609</v>
      </c>
      <c r="AC86" s="367">
        <f t="shared" ca="1" si="72"/>
        <v>102.09852787775691</v>
      </c>
      <c r="AD86" s="367">
        <f t="shared" ca="1" si="73"/>
        <v>137.39561321442326</v>
      </c>
      <c r="AE86" s="367">
        <f t="shared" ca="1" si="74"/>
        <v>111.63393573671891</v>
      </c>
      <c r="AF86" s="344">
        <f t="shared" ca="1" si="75"/>
        <v>2.8288584158097336</v>
      </c>
      <c r="AG86" s="344">
        <f t="shared" ca="1" si="76"/>
        <v>2.8288584158097336</v>
      </c>
      <c r="AH86" s="368">
        <f t="shared" ca="1" si="77"/>
        <v>2.6121917491430668</v>
      </c>
      <c r="AI86" s="369">
        <f t="shared" si="78"/>
        <v>0.8666666666666667</v>
      </c>
      <c r="AJ86" s="370">
        <f t="shared" ca="1" si="79"/>
        <v>93.5</v>
      </c>
      <c r="AK86" s="371">
        <f t="shared" ca="1" si="80"/>
        <v>0</v>
      </c>
      <c r="AL86" s="345">
        <f t="shared" si="81"/>
        <v>3.6685499999999996E-2</v>
      </c>
      <c r="AM86" s="345">
        <f t="shared" si="82"/>
        <v>5.5221959722222208E-3</v>
      </c>
      <c r="AN86" s="345">
        <f t="shared" ca="1" si="96"/>
        <v>9.188208252034924E-2</v>
      </c>
      <c r="AO86" s="345">
        <f t="shared" ca="1" si="97"/>
        <v>6.3875244532863055E-3</v>
      </c>
      <c r="AP86" s="345">
        <f t="shared" si="83"/>
        <v>7.8000000000000005E-3</v>
      </c>
      <c r="AQ86" s="345">
        <f t="shared" si="84"/>
        <v>2.6770499999999999E-2</v>
      </c>
      <c r="AR86" s="345">
        <f t="shared" ca="1" si="98"/>
        <v>0.17504780294585776</v>
      </c>
      <c r="AS86" s="372">
        <f t="shared" ca="1" si="85"/>
        <v>90.951625300159165</v>
      </c>
      <c r="AT86" s="372">
        <f t="shared" ca="1" si="86"/>
        <v>130.83231697673372</v>
      </c>
      <c r="AU86" s="372">
        <f t="shared" ca="1" si="87"/>
        <v>106.30125754359615</v>
      </c>
      <c r="AV86" s="345">
        <f t="shared" ca="1" si="88"/>
        <v>2.9899390711955993</v>
      </c>
      <c r="AW86" s="345">
        <f t="shared" ca="1" si="89"/>
        <v>2.9899390711955993</v>
      </c>
      <c r="AX86" s="373">
        <f t="shared" ca="1" si="90"/>
        <v>2.8816057378622659</v>
      </c>
    </row>
    <row r="87" spans="1:50" s="374" customFormat="1" ht="12.75" customHeight="1">
      <c r="A87" s="341">
        <f t="shared" si="49"/>
        <v>85</v>
      </c>
      <c r="B87" s="342">
        <f t="shared" si="50"/>
        <v>3.07</v>
      </c>
      <c r="C87" s="359">
        <f t="shared" si="51"/>
        <v>2.6</v>
      </c>
      <c r="D87" s="360">
        <f t="shared" ca="1" si="52"/>
        <v>93.5</v>
      </c>
      <c r="E87" s="349">
        <f t="shared" ca="1" si="53"/>
        <v>0</v>
      </c>
      <c r="F87" s="343">
        <f t="shared" si="54"/>
        <v>3.4076999999999996E-2</v>
      </c>
      <c r="G87" s="343">
        <f t="shared" si="55"/>
        <v>1.4294431666666666E-2</v>
      </c>
      <c r="H87" s="343">
        <f t="shared" ca="1" si="56"/>
        <v>0.94488896954221613</v>
      </c>
      <c r="I87" s="343">
        <f t="shared" ca="1" si="57"/>
        <v>6.5687468470849192E-2</v>
      </c>
      <c r="J87" s="343">
        <f t="shared" si="58"/>
        <v>2.3399999999999997E-2</v>
      </c>
      <c r="K87" s="343">
        <f t="shared" si="59"/>
        <v>2.4866999999999997E-2</v>
      </c>
      <c r="L87" s="343">
        <f t="shared" ca="1" si="91"/>
        <v>1.1072148696797321</v>
      </c>
      <c r="M87" s="362">
        <f t="shared" ca="1" si="92"/>
        <v>122.64530556911089</v>
      </c>
      <c r="N87" s="362">
        <f t="shared" ca="1" si="60"/>
        <v>149.4935559190925</v>
      </c>
      <c r="O87" s="362">
        <f t="shared" ca="1" si="61"/>
        <v>121.46351418426266</v>
      </c>
      <c r="P87" s="343">
        <f t="shared" ca="1" si="62"/>
        <v>2.4190028600358873</v>
      </c>
      <c r="Q87" s="361">
        <f t="shared" ca="1" si="63"/>
        <v>2.4190028600358873</v>
      </c>
      <c r="R87" s="363">
        <f t="shared" ca="1" si="64"/>
        <v>2.0940028600358871</v>
      </c>
      <c r="S87" s="364">
        <f t="shared" si="65"/>
        <v>1.7333333333333334</v>
      </c>
      <c r="T87" s="365">
        <f t="shared" ca="1" si="66"/>
        <v>93.5</v>
      </c>
      <c r="U87" s="366">
        <f t="shared" ca="1" si="67"/>
        <v>0</v>
      </c>
      <c r="V87" s="344">
        <f t="shared" si="68"/>
        <v>3.4076999999999996E-2</v>
      </c>
      <c r="W87" s="344">
        <f t="shared" si="69"/>
        <v>9.5296211111111119E-3</v>
      </c>
      <c r="X87" s="344">
        <f t="shared" ca="1" si="93"/>
        <v>0.38560503245615591</v>
      </c>
      <c r="Y87" s="344">
        <f t="shared" ca="1" si="94"/>
        <v>2.6806766962192634E-2</v>
      </c>
      <c r="Z87" s="344">
        <f t="shared" si="70"/>
        <v>1.5600000000000001E-2</v>
      </c>
      <c r="AA87" s="344">
        <f t="shared" si="71"/>
        <v>2.4866999999999997E-2</v>
      </c>
      <c r="AB87" s="344">
        <f t="shared" ca="1" si="95"/>
        <v>0.4964854205294596</v>
      </c>
      <c r="AC87" s="367">
        <f t="shared" ca="1" si="72"/>
        <v>101.88050429800163</v>
      </c>
      <c r="AD87" s="367">
        <f t="shared" ca="1" si="73"/>
        <v>137.26724093066335</v>
      </c>
      <c r="AE87" s="367">
        <f t="shared" ca="1" si="74"/>
        <v>111.52963325616398</v>
      </c>
      <c r="AF87" s="344">
        <f t="shared" ca="1" si="75"/>
        <v>2.6058288417186399</v>
      </c>
      <c r="AG87" s="344">
        <f t="shared" ca="1" si="76"/>
        <v>2.6058288417186399</v>
      </c>
      <c r="AH87" s="368">
        <f t="shared" ca="1" si="77"/>
        <v>2.3891621750519731</v>
      </c>
      <c r="AI87" s="369">
        <f t="shared" si="78"/>
        <v>0.8666666666666667</v>
      </c>
      <c r="AJ87" s="370">
        <f t="shared" ca="1" si="79"/>
        <v>93.5</v>
      </c>
      <c r="AK87" s="371">
        <f t="shared" ca="1" si="80"/>
        <v>0</v>
      </c>
      <c r="AL87" s="345">
        <f t="shared" si="81"/>
        <v>3.4076999999999996E-2</v>
      </c>
      <c r="AM87" s="345">
        <f t="shared" si="82"/>
        <v>4.764810555555556E-3</v>
      </c>
      <c r="AN87" s="345">
        <f t="shared" ca="1" si="96"/>
        <v>9.1806867875849865E-2</v>
      </c>
      <c r="AO87" s="345">
        <f t="shared" ca="1" si="97"/>
        <v>6.3822956277328723E-3</v>
      </c>
      <c r="AP87" s="345">
        <f t="shared" si="83"/>
        <v>7.8000000000000005E-3</v>
      </c>
      <c r="AQ87" s="345">
        <f t="shared" si="84"/>
        <v>2.4866999999999997E-2</v>
      </c>
      <c r="AR87" s="345">
        <f t="shared" ca="1" si="98"/>
        <v>0.16969797405913831</v>
      </c>
      <c r="AS87" s="372">
        <f t="shared" ca="1" si="85"/>
        <v>90.769731118010696</v>
      </c>
      <c r="AT87" s="372">
        <f t="shared" ca="1" si="86"/>
        <v>130.72521768228469</v>
      </c>
      <c r="AU87" s="372">
        <f t="shared" ca="1" si="87"/>
        <v>106.21423936685632</v>
      </c>
      <c r="AV87" s="345">
        <f t="shared" ca="1" si="88"/>
        <v>2.7667810204023544</v>
      </c>
      <c r="AW87" s="345">
        <f t="shared" ca="1" si="89"/>
        <v>2.7667810204023544</v>
      </c>
      <c r="AX87" s="373">
        <f t="shared" ca="1" si="90"/>
        <v>2.658447687069021</v>
      </c>
    </row>
    <row r="88" spans="1:50" s="374" customFormat="1" ht="12.75" customHeight="1">
      <c r="A88" s="341">
        <f t="shared" si="49"/>
        <v>85</v>
      </c>
      <c r="B88" s="342">
        <f t="shared" si="50"/>
        <v>2.835</v>
      </c>
      <c r="C88" s="359">
        <f t="shared" si="51"/>
        <v>2.6</v>
      </c>
      <c r="D88" s="360">
        <f t="shared" ca="1" si="52"/>
        <v>93.5</v>
      </c>
      <c r="E88" s="349">
        <f t="shared" ca="1" si="53"/>
        <v>0</v>
      </c>
      <c r="F88" s="343">
        <f t="shared" si="54"/>
        <v>3.1468499999999996E-2</v>
      </c>
      <c r="G88" s="343">
        <f t="shared" si="55"/>
        <v>1.218979125E-2</v>
      </c>
      <c r="H88" s="343">
        <f t="shared" ca="1" si="56"/>
        <v>0.94392070938193295</v>
      </c>
      <c r="I88" s="343">
        <f t="shared" ca="1" si="57"/>
        <v>6.5620156267193142E-2</v>
      </c>
      <c r="J88" s="343">
        <f t="shared" si="58"/>
        <v>2.3399999999999997E-2</v>
      </c>
      <c r="K88" s="343">
        <f t="shared" si="59"/>
        <v>2.2963499999999998E-2</v>
      </c>
      <c r="L88" s="343">
        <f t="shared" ca="1" si="91"/>
        <v>1.0995626568991261</v>
      </c>
      <c r="M88" s="362">
        <f t="shared" ca="1" si="92"/>
        <v>122.38513033457029</v>
      </c>
      <c r="N88" s="362">
        <f t="shared" ca="1" si="60"/>
        <v>149.34036474099497</v>
      </c>
      <c r="O88" s="362">
        <f t="shared" ca="1" si="61"/>
        <v>121.33904635205843</v>
      </c>
      <c r="P88" s="343">
        <f t="shared" ca="1" si="62"/>
        <v>2.1961474230639748</v>
      </c>
      <c r="Q88" s="361">
        <f t="shared" ca="1" si="63"/>
        <v>2.1961474230639748</v>
      </c>
      <c r="R88" s="363">
        <f t="shared" ca="1" si="64"/>
        <v>1.8711474230639749</v>
      </c>
      <c r="S88" s="364">
        <f t="shared" si="65"/>
        <v>1.7333333333333334</v>
      </c>
      <c r="T88" s="365">
        <f t="shared" ca="1" si="66"/>
        <v>93.5</v>
      </c>
      <c r="U88" s="366">
        <f t="shared" ca="1" si="67"/>
        <v>0</v>
      </c>
      <c r="V88" s="344">
        <f t="shared" si="68"/>
        <v>3.1468499999999996E-2</v>
      </c>
      <c r="W88" s="344">
        <f t="shared" si="69"/>
        <v>8.1265274999999994E-3</v>
      </c>
      <c r="X88" s="344">
        <f t="shared" ca="1" si="93"/>
        <v>0.38525109705762561</v>
      </c>
      <c r="Y88" s="344">
        <f t="shared" ca="1" si="94"/>
        <v>2.6782161827535445E-2</v>
      </c>
      <c r="Z88" s="344">
        <f t="shared" si="70"/>
        <v>1.5600000000000001E-2</v>
      </c>
      <c r="AA88" s="344">
        <f t="shared" si="71"/>
        <v>2.2963499999999998E-2</v>
      </c>
      <c r="AB88" s="344">
        <f t="shared" ca="1" si="95"/>
        <v>0.49019178638516103</v>
      </c>
      <c r="AC88" s="367">
        <f t="shared" ca="1" si="72"/>
        <v>101.66652073709548</v>
      </c>
      <c r="AD88" s="367">
        <f t="shared" ca="1" si="73"/>
        <v>137.14124741000182</v>
      </c>
      <c r="AE88" s="367">
        <f t="shared" ca="1" si="74"/>
        <v>111.42726352062648</v>
      </c>
      <c r="AF88" s="344">
        <f t="shared" ca="1" si="75"/>
        <v>2.3827951830930756</v>
      </c>
      <c r="AG88" s="344">
        <f t="shared" ca="1" si="76"/>
        <v>2.3827951830930756</v>
      </c>
      <c r="AH88" s="368">
        <f t="shared" ca="1" si="77"/>
        <v>2.1661285164264088</v>
      </c>
      <c r="AI88" s="369">
        <f t="shared" si="78"/>
        <v>0.8666666666666667</v>
      </c>
      <c r="AJ88" s="370">
        <f t="shared" ca="1" si="79"/>
        <v>93.5</v>
      </c>
      <c r="AK88" s="371">
        <f t="shared" ca="1" si="80"/>
        <v>0</v>
      </c>
      <c r="AL88" s="345">
        <f t="shared" si="81"/>
        <v>3.1468499999999996E-2</v>
      </c>
      <c r="AM88" s="345">
        <f t="shared" si="82"/>
        <v>4.0632637499999997E-3</v>
      </c>
      <c r="AN88" s="345">
        <f t="shared" ca="1" si="96"/>
        <v>9.1732450265720133E-2</v>
      </c>
      <c r="AO88" s="345">
        <f t="shared" ca="1" si="97"/>
        <v>6.3771222109858857E-3</v>
      </c>
      <c r="AP88" s="345">
        <f t="shared" si="83"/>
        <v>7.8000000000000005E-3</v>
      </c>
      <c r="AQ88" s="345">
        <f t="shared" si="84"/>
        <v>2.2963499999999998E-2</v>
      </c>
      <c r="AR88" s="345">
        <f t="shared" ca="1" si="98"/>
        <v>0.16440483622670601</v>
      </c>
      <c r="AS88" s="372">
        <f t="shared" ca="1" si="85"/>
        <v>90.589764431708005</v>
      </c>
      <c r="AT88" s="372">
        <f t="shared" ca="1" si="86"/>
        <v>130.61925329738966</v>
      </c>
      <c r="AU88" s="372">
        <f t="shared" ca="1" si="87"/>
        <v>106.12814330412911</v>
      </c>
      <c r="AV88" s="345">
        <f t="shared" ca="1" si="88"/>
        <v>2.5436219952419701</v>
      </c>
      <c r="AW88" s="345">
        <f t="shared" ca="1" si="89"/>
        <v>2.5436219952419701</v>
      </c>
      <c r="AX88" s="373">
        <f t="shared" ca="1" si="90"/>
        <v>2.4352886619086367</v>
      </c>
    </row>
    <row r="89" spans="1:50" s="310" customFormat="1" ht="12.75" customHeight="1" thickBot="1">
      <c r="A89" s="375">
        <f t="shared" si="49"/>
        <v>85</v>
      </c>
      <c r="B89" s="376">
        <f>Constants!$C$7</f>
        <v>2.6</v>
      </c>
      <c r="C89" s="377">
        <f t="shared" si="51"/>
        <v>2.6</v>
      </c>
      <c r="D89" s="378">
        <f t="shared" ca="1" si="52"/>
        <v>93.5</v>
      </c>
      <c r="E89" s="379">
        <f t="shared" ca="1" si="53"/>
        <v>0</v>
      </c>
      <c r="F89" s="380">
        <f t="shared" si="54"/>
        <v>2.886E-2</v>
      </c>
      <c r="G89" s="380">
        <f t="shared" si="55"/>
        <v>1.0252666666666667E-2</v>
      </c>
      <c r="H89" s="380">
        <f t="shared" ca="1" si="56"/>
        <v>0.9429769630077135</v>
      </c>
      <c r="I89" s="380">
        <f t="shared" ca="1" si="57"/>
        <v>6.5554548230482693E-2</v>
      </c>
      <c r="J89" s="380">
        <f t="shared" si="58"/>
        <v>2.3399999999999997E-2</v>
      </c>
      <c r="K89" s="380">
        <f t="shared" si="59"/>
        <v>2.1060000000000002E-2</v>
      </c>
      <c r="L89" s="380">
        <f ca="1">SUM(F89:K89)</f>
        <v>1.092104177904863</v>
      </c>
      <c r="M89" s="381">
        <f t="shared" ca="1" si="92"/>
        <v>122.13154204876534</v>
      </c>
      <c r="N89" s="381">
        <f t="shared" ca="1" si="60"/>
        <v>149.19105195831304</v>
      </c>
      <c r="O89" s="381">
        <f t="shared" ca="1" si="61"/>
        <v>121.21772971612934</v>
      </c>
      <c r="P89" s="380">
        <f t="shared" ca="1" si="62"/>
        <v>1.9732819967998698</v>
      </c>
      <c r="Q89" s="379">
        <f t="shared" ca="1" si="63"/>
        <v>1.9732819967998698</v>
      </c>
      <c r="R89" s="382">
        <f t="shared" ca="1" si="64"/>
        <v>1.6482819967998699</v>
      </c>
      <c r="S89" s="383">
        <f t="shared" si="65"/>
        <v>1.7333333333333334</v>
      </c>
      <c r="T89" s="365">
        <f t="shared" ca="1" si="66"/>
        <v>93.5</v>
      </c>
      <c r="U89" s="366">
        <f t="shared" ca="1" si="67"/>
        <v>0</v>
      </c>
      <c r="V89" s="384">
        <f t="shared" si="68"/>
        <v>2.886E-2</v>
      </c>
      <c r="W89" s="384">
        <f t="shared" si="69"/>
        <v>6.8351111111111112E-3</v>
      </c>
      <c r="X89" s="384">
        <f t="shared" ca="1" si="93"/>
        <v>0.38490384397466837</v>
      </c>
      <c r="Y89" s="384">
        <f t="shared" ca="1" si="94"/>
        <v>2.6758021238880662E-2</v>
      </c>
      <c r="Z89" s="384">
        <f t="shared" si="70"/>
        <v>1.5600000000000001E-2</v>
      </c>
      <c r="AA89" s="384">
        <f t="shared" si="71"/>
        <v>2.1060000000000002E-2</v>
      </c>
      <c r="AB89" s="384">
        <f t="shared" ca="1" si="95"/>
        <v>0.48401697632466018</v>
      </c>
      <c r="AC89" s="385">
        <f t="shared" ca="1" si="72"/>
        <v>101.45657719503845</v>
      </c>
      <c r="AD89" s="385">
        <f t="shared" ca="1" si="73"/>
        <v>137.01763265243864</v>
      </c>
      <c r="AE89" s="385">
        <f t="shared" ca="1" si="74"/>
        <v>111.32682653010639</v>
      </c>
      <c r="AF89" s="384">
        <f t="shared" ca="1" si="75"/>
        <v>2.1597574399330415</v>
      </c>
      <c r="AG89" s="384">
        <f t="shared" ca="1" si="76"/>
        <v>2.1597574399330415</v>
      </c>
      <c r="AH89" s="386">
        <f t="shared" ca="1" si="77"/>
        <v>1.9430907732663747</v>
      </c>
      <c r="AI89" s="387">
        <f t="shared" si="78"/>
        <v>0.8666666666666667</v>
      </c>
      <c r="AJ89" s="388">
        <f t="shared" ca="1" si="79"/>
        <v>93.5</v>
      </c>
      <c r="AK89" s="389">
        <f t="shared" ca="1" si="80"/>
        <v>0</v>
      </c>
      <c r="AL89" s="390">
        <f t="shared" si="81"/>
        <v>2.886E-2</v>
      </c>
      <c r="AM89" s="390">
        <f t="shared" si="82"/>
        <v>3.4175555555555556E-3</v>
      </c>
      <c r="AN89" s="390">
        <f t="shared" ca="1" si="96"/>
        <v>9.1658829689960072E-2</v>
      </c>
      <c r="AO89" s="390">
        <f t="shared" ca="1" si="97"/>
        <v>6.3720042030453476E-3</v>
      </c>
      <c r="AP89" s="390">
        <f t="shared" si="83"/>
        <v>7.8000000000000005E-3</v>
      </c>
      <c r="AQ89" s="390">
        <f t="shared" si="84"/>
        <v>2.1060000000000002E-2</v>
      </c>
      <c r="AR89" s="390">
        <f t="shared" ca="1" si="98"/>
        <v>0.15916838944856099</v>
      </c>
      <c r="AS89" s="391">
        <f t="shared" ca="1" si="85"/>
        <v>90.411725241251077</v>
      </c>
      <c r="AT89" s="391">
        <f t="shared" ca="1" si="86"/>
        <v>130.51442382204863</v>
      </c>
      <c r="AU89" s="391">
        <f t="shared" ca="1" si="87"/>
        <v>106.04296935541451</v>
      </c>
      <c r="AV89" s="390">
        <f t="shared" ca="1" si="88"/>
        <v>2.320461995714445</v>
      </c>
      <c r="AW89" s="390">
        <f t="shared" ca="1" si="89"/>
        <v>2.320461995714445</v>
      </c>
      <c r="AX89" s="392">
        <f t="shared" ca="1" si="90"/>
        <v>2.2121286623811116</v>
      </c>
    </row>
    <row r="90" spans="1:50">
      <c r="AV90" s="134" t="s">
        <v>197</v>
      </c>
      <c r="AW90" s="134"/>
      <c r="AX90" s="134">
        <f>(Design!C4-Constants!C7)/40</f>
        <v>0.23500000000000001</v>
      </c>
    </row>
    <row r="114" spans="2:10" ht="15.75" thickBot="1"/>
    <row r="115" spans="2:10">
      <c r="B115" s="172" t="s">
        <v>199</v>
      </c>
      <c r="C115" s="153"/>
      <c r="D115" s="149"/>
      <c r="E115" s="149"/>
      <c r="G115" s="200">
        <f>Design!B4</f>
        <v>4</v>
      </c>
      <c r="H115" s="201">
        <v>1</v>
      </c>
      <c r="I115" s="223"/>
      <c r="J115" s="223"/>
    </row>
    <row r="116" spans="2:10" ht="15.75" thickBot="1">
      <c r="B116" s="170" t="s">
        <v>222</v>
      </c>
      <c r="C116" s="154"/>
      <c r="D116" s="150"/>
      <c r="E116" s="152"/>
      <c r="G116" s="202">
        <f>Design!B4</f>
        <v>4</v>
      </c>
      <c r="H116" s="203">
        <v>5</v>
      </c>
      <c r="I116" s="223"/>
      <c r="J116" s="223"/>
    </row>
    <row r="117" spans="2:10">
      <c r="B117" s="549" t="s">
        <v>200</v>
      </c>
      <c r="C117" s="549"/>
      <c r="D117" s="133">
        <v>0</v>
      </c>
      <c r="E117" s="11"/>
    </row>
  </sheetData>
  <sheetProtection password="83AF" sheet="1" objects="1" scenarios="1"/>
  <mergeCells count="2">
    <mergeCell ref="A1:AX1"/>
    <mergeCell ref="B117:C117"/>
  </mergeCells>
  <pageMargins left="0.7" right="0.7" top="0.75" bottom="0.75" header="0.3" footer="0.3"/>
  <pageSetup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I65"/>
  <sheetViews>
    <sheetView topLeftCell="A27" zoomScaleNormal="100" workbookViewId="0">
      <selection activeCell="C37" sqref="C37"/>
    </sheetView>
  </sheetViews>
  <sheetFormatPr defaultRowHeight="15"/>
  <cols>
    <col min="1" max="1" width="22.7109375" style="1" customWidth="1"/>
    <col min="2" max="5" width="9.140625" style="1"/>
    <col min="6" max="6" width="18.7109375" customWidth="1"/>
  </cols>
  <sheetData>
    <row r="1" spans="1:9" ht="24" customHeight="1" thickBot="1">
      <c r="A1" s="548" t="s">
        <v>173</v>
      </c>
      <c r="B1" s="548"/>
      <c r="C1" s="548"/>
      <c r="D1" s="548"/>
      <c r="E1" s="548"/>
      <c r="F1" s="548"/>
      <c r="G1" s="548"/>
      <c r="H1" s="548"/>
      <c r="I1" s="548"/>
    </row>
    <row r="2" spans="1:9" s="2" customFormat="1" ht="18" customHeight="1" thickBot="1">
      <c r="A2" s="25" t="s">
        <v>1</v>
      </c>
      <c r="B2" s="313" t="s">
        <v>31</v>
      </c>
      <c r="C2" s="313" t="s">
        <v>32</v>
      </c>
      <c r="D2" s="313" t="s">
        <v>33</v>
      </c>
      <c r="E2" s="26" t="s">
        <v>34</v>
      </c>
      <c r="F2" s="552" t="s">
        <v>36</v>
      </c>
      <c r="G2" s="552"/>
      <c r="H2" s="552"/>
      <c r="I2" s="553"/>
    </row>
    <row r="3" spans="1:9" ht="15.75" thickBot="1">
      <c r="A3" s="27" t="s">
        <v>21</v>
      </c>
      <c r="B3" s="448">
        <v>0.79200000000000004</v>
      </c>
      <c r="C3" s="448">
        <v>0.8</v>
      </c>
      <c r="D3" s="448">
        <v>0.80800000000000005</v>
      </c>
      <c r="E3" s="28" t="s">
        <v>2</v>
      </c>
      <c r="F3" s="29" t="s">
        <v>319</v>
      </c>
      <c r="G3" s="30"/>
      <c r="H3" s="30"/>
      <c r="I3" s="31"/>
    </row>
    <row r="4" spans="1:9" ht="15.75" thickBot="1">
      <c r="A4" s="27" t="s">
        <v>25</v>
      </c>
      <c r="B4" s="314">
        <f>100*(VFB_min-VFB_typ)/VFB_typ</f>
        <v>-1.0000000000000009</v>
      </c>
      <c r="C4" s="315" t="s">
        <v>22</v>
      </c>
      <c r="D4" s="314">
        <f>100*(VFB_max-VFB_typ)/VFB_typ</f>
        <v>1.0000000000000009</v>
      </c>
      <c r="E4" s="34" t="s">
        <v>24</v>
      </c>
      <c r="F4" s="29" t="s">
        <v>48</v>
      </c>
      <c r="G4" s="30"/>
      <c r="H4" s="30"/>
      <c r="I4" s="31"/>
    </row>
    <row r="5" spans="1:9" ht="15.75" thickBot="1">
      <c r="A5" s="27" t="s">
        <v>77</v>
      </c>
      <c r="B5" s="33" t="s">
        <v>22</v>
      </c>
      <c r="C5" s="433">
        <v>4</v>
      </c>
      <c r="D5" s="33" t="s">
        <v>22</v>
      </c>
      <c r="E5" s="34" t="s">
        <v>65</v>
      </c>
      <c r="F5" s="29" t="s">
        <v>95</v>
      </c>
      <c r="G5" s="30"/>
      <c r="H5" s="30"/>
      <c r="I5" s="31"/>
    </row>
    <row r="6" spans="1:9" ht="18.75" thickBot="1">
      <c r="A6" s="27" t="s">
        <v>195</v>
      </c>
      <c r="B6" s="33" t="s">
        <v>22</v>
      </c>
      <c r="C6" s="433">
        <v>35</v>
      </c>
      <c r="D6" s="312" t="s">
        <v>22</v>
      </c>
      <c r="E6" s="34" t="s">
        <v>111</v>
      </c>
      <c r="F6" s="29" t="s">
        <v>196</v>
      </c>
      <c r="G6" s="30"/>
      <c r="H6" s="30"/>
      <c r="I6" s="31"/>
    </row>
    <row r="7" spans="1:9" ht="15.75" thickBot="1">
      <c r="A7" s="27" t="s">
        <v>191</v>
      </c>
      <c r="B7" s="33" t="s">
        <v>22</v>
      </c>
      <c r="C7" s="444">
        <v>2.6</v>
      </c>
      <c r="D7" s="450">
        <v>2.9</v>
      </c>
      <c r="E7" s="34" t="s">
        <v>2</v>
      </c>
      <c r="F7" s="29" t="s">
        <v>57</v>
      </c>
      <c r="G7" s="30"/>
      <c r="H7" s="30"/>
      <c r="I7" s="31"/>
    </row>
    <row r="8" spans="1:9" ht="15.75" thickBot="1">
      <c r="A8" s="27" t="s">
        <v>35</v>
      </c>
      <c r="B8" s="449">
        <v>200</v>
      </c>
      <c r="C8" s="434">
        <v>800</v>
      </c>
      <c r="D8" s="311" t="s">
        <v>22</v>
      </c>
      <c r="E8" s="34" t="s">
        <v>20</v>
      </c>
      <c r="F8" s="29" t="s">
        <v>57</v>
      </c>
      <c r="G8" s="30"/>
      <c r="H8" s="30"/>
      <c r="I8" s="31"/>
    </row>
    <row r="9" spans="1:9" ht="15.75" thickBot="1">
      <c r="A9" s="27" t="s">
        <v>154</v>
      </c>
      <c r="B9" s="33" t="s">
        <v>22</v>
      </c>
      <c r="C9" s="435">
        <v>0.5</v>
      </c>
      <c r="D9" s="33" t="s">
        <v>22</v>
      </c>
      <c r="E9" s="33" t="s">
        <v>22</v>
      </c>
      <c r="F9" s="29" t="s">
        <v>155</v>
      </c>
      <c r="G9" s="30"/>
      <c r="H9" s="30"/>
      <c r="I9" s="31"/>
    </row>
    <row r="10" spans="1:9" ht="15.75" thickBot="1">
      <c r="A10" s="27" t="s">
        <v>10</v>
      </c>
      <c r="B10" s="33" t="s">
        <v>22</v>
      </c>
      <c r="C10" s="447">
        <v>65</v>
      </c>
      <c r="D10" s="33" t="s">
        <v>22</v>
      </c>
      <c r="E10" s="34" t="s">
        <v>11</v>
      </c>
      <c r="F10" s="29" t="s">
        <v>57</v>
      </c>
      <c r="G10" s="30"/>
      <c r="H10" s="30"/>
      <c r="I10" s="31"/>
    </row>
    <row r="11" spans="1:9" ht="15.75" thickBot="1">
      <c r="A11" s="27" t="s">
        <v>12</v>
      </c>
      <c r="B11" s="436">
        <v>550</v>
      </c>
      <c r="C11" s="436">
        <v>750</v>
      </c>
      <c r="D11" s="436">
        <v>950</v>
      </c>
      <c r="E11" s="34" t="s">
        <v>106</v>
      </c>
      <c r="F11" s="29" t="s">
        <v>57</v>
      </c>
      <c r="G11" s="30"/>
      <c r="H11" s="30"/>
      <c r="I11" s="31"/>
    </row>
    <row r="12" spans="1:9" ht="15.75" thickBot="1">
      <c r="A12" s="27" t="s">
        <v>83</v>
      </c>
      <c r="B12" s="32">
        <f>POWER(10,AVOL/20)/(gmEA_max/1000000)/1000000</f>
        <v>1.8718730631988678</v>
      </c>
      <c r="C12" s="32">
        <f>POWER(10,AVOL/20)/(gm_typ/1000000)/1000000</f>
        <v>2.3710392133852327</v>
      </c>
      <c r="D12" s="32">
        <f>POWER(10,$C$10/20)/(B11/1000000)/1000000</f>
        <v>3.2332352909798621</v>
      </c>
      <c r="E12" s="34" t="s">
        <v>84</v>
      </c>
      <c r="F12" s="29" t="s">
        <v>48</v>
      </c>
      <c r="G12" s="30"/>
      <c r="H12" s="30"/>
      <c r="I12" s="31"/>
    </row>
    <row r="13" spans="1:9" ht="15.75" thickBot="1">
      <c r="A13" s="27" t="s">
        <v>0</v>
      </c>
      <c r="B13" s="33" t="s">
        <v>22</v>
      </c>
      <c r="C13" s="436">
        <v>6.3</v>
      </c>
      <c r="D13" s="33" t="s">
        <v>22</v>
      </c>
      <c r="E13" s="34" t="s">
        <v>3</v>
      </c>
      <c r="F13" s="29" t="s">
        <v>57</v>
      </c>
      <c r="G13" s="299"/>
      <c r="H13" s="30"/>
      <c r="I13" s="31"/>
    </row>
    <row r="14" spans="1:9" ht="18" customHeight="1" thickBot="1">
      <c r="A14" s="554" t="s">
        <v>282</v>
      </c>
      <c r="B14" s="33">
        <f>0.8*C14</f>
        <v>4.4800000000000006E-2</v>
      </c>
      <c r="C14" s="436">
        <v>5.6000000000000001E-2</v>
      </c>
      <c r="D14" s="33">
        <f>1.2*C14</f>
        <v>6.7199999999999996E-2</v>
      </c>
      <c r="E14" s="557" t="s">
        <v>281</v>
      </c>
      <c r="F14" s="216" t="s">
        <v>55</v>
      </c>
      <c r="G14" s="569">
        <v>0.1</v>
      </c>
      <c r="H14" s="30" t="s">
        <v>16</v>
      </c>
      <c r="I14" s="31"/>
    </row>
    <row r="15" spans="1:9" ht="15" customHeight="1" thickBot="1">
      <c r="A15" s="555"/>
      <c r="B15" s="436">
        <v>0.09</v>
      </c>
      <c r="C15" s="436">
        <v>0.24</v>
      </c>
      <c r="D15" s="436">
        <v>0.41</v>
      </c>
      <c r="E15" s="558"/>
      <c r="F15" s="216" t="s">
        <v>55</v>
      </c>
      <c r="G15" s="569">
        <v>0.41499999999999998</v>
      </c>
      <c r="H15" s="30" t="s">
        <v>16</v>
      </c>
      <c r="I15" s="31"/>
    </row>
    <row r="16" spans="1:9" ht="15.75" thickBot="1">
      <c r="A16" s="556"/>
      <c r="B16" s="312">
        <f>0.8*SE2_typ</f>
        <v>1.1599999999999999</v>
      </c>
      <c r="C16" s="436">
        <v>1.45</v>
      </c>
      <c r="D16" s="312">
        <f>1.2*SE2_typ</f>
        <v>1.74</v>
      </c>
      <c r="E16" s="559"/>
      <c r="F16" s="216" t="s">
        <v>55</v>
      </c>
      <c r="G16" s="569">
        <v>2.2000000000000002</v>
      </c>
      <c r="H16" s="30" t="s">
        <v>280</v>
      </c>
      <c r="I16" s="31"/>
    </row>
    <row r="17" spans="1:9" ht="15.75" thickBot="1">
      <c r="A17" s="27" t="s">
        <v>189</v>
      </c>
      <c r="B17" s="437">
        <v>0.25</v>
      </c>
      <c r="C17" s="311" t="s">
        <v>22</v>
      </c>
      <c r="D17" s="437">
        <v>2.2000000000000002</v>
      </c>
      <c r="E17" s="34" t="s">
        <v>16</v>
      </c>
      <c r="F17" s="29" t="s">
        <v>55</v>
      </c>
      <c r="G17" s="568"/>
      <c r="H17" s="30"/>
      <c r="I17" s="31"/>
    </row>
    <row r="18" spans="1:9" ht="15.75" thickBot="1">
      <c r="A18" s="27" t="s">
        <v>39</v>
      </c>
      <c r="B18" s="433">
        <v>-10</v>
      </c>
      <c r="C18" s="312" t="s">
        <v>22</v>
      </c>
      <c r="D18" s="438">
        <v>10</v>
      </c>
      <c r="E18" s="34" t="s">
        <v>24</v>
      </c>
      <c r="F18" s="29" t="s">
        <v>55</v>
      </c>
      <c r="G18" s="30"/>
      <c r="H18" s="30"/>
      <c r="I18" s="31"/>
    </row>
    <row r="19" spans="1:9" ht="18.75" thickBot="1">
      <c r="A19" s="27" t="s">
        <v>101</v>
      </c>
      <c r="B19" s="311" t="s">
        <v>22</v>
      </c>
      <c r="C19" s="433">
        <v>95</v>
      </c>
      <c r="D19" s="439">
        <v>135</v>
      </c>
      <c r="E19" s="34" t="s">
        <v>4</v>
      </c>
      <c r="F19" s="29" t="s">
        <v>99</v>
      </c>
      <c r="G19" s="30"/>
      <c r="H19" s="30"/>
      <c r="I19" s="31"/>
    </row>
    <row r="20" spans="1:9" ht="18.75" thickBot="1">
      <c r="A20" s="27" t="s">
        <v>102</v>
      </c>
      <c r="B20" s="33" t="s">
        <v>22</v>
      </c>
      <c r="C20" s="433">
        <v>100</v>
      </c>
      <c r="D20" s="439">
        <v>135</v>
      </c>
      <c r="E20" s="34" t="s">
        <v>4</v>
      </c>
      <c r="F20" s="29" t="s">
        <v>100</v>
      </c>
      <c r="G20" s="30"/>
      <c r="H20" s="30"/>
      <c r="I20" s="31"/>
    </row>
    <row r="21" spans="1:9" ht="15.75" thickBot="1">
      <c r="A21" s="27" t="s">
        <v>262</v>
      </c>
      <c r="B21" s="33" t="s">
        <v>22</v>
      </c>
      <c r="C21" s="441">
        <v>15</v>
      </c>
      <c r="D21" s="311" t="s">
        <v>22</v>
      </c>
      <c r="E21" s="34" t="s">
        <v>4</v>
      </c>
      <c r="F21" s="29" t="s">
        <v>325</v>
      </c>
      <c r="G21" s="30"/>
      <c r="H21" s="30"/>
      <c r="I21" s="31"/>
    </row>
    <row r="22" spans="1:9" ht="15.75" thickBot="1">
      <c r="A22" s="27" t="s">
        <v>186</v>
      </c>
      <c r="B22" s="33" t="s">
        <v>22</v>
      </c>
      <c r="C22" s="440">
        <v>3</v>
      </c>
      <c r="D22" s="33" t="s">
        <v>22</v>
      </c>
      <c r="E22" s="34" t="s">
        <v>5</v>
      </c>
      <c r="F22" s="29" t="s">
        <v>57</v>
      </c>
      <c r="G22" s="30"/>
      <c r="H22" s="30"/>
      <c r="I22" s="31"/>
    </row>
    <row r="23" spans="1:9" ht="18" customHeight="1" thickBot="1">
      <c r="A23" s="214" t="s">
        <v>260</v>
      </c>
      <c r="B23" s="74" t="s">
        <v>22</v>
      </c>
      <c r="C23" s="443">
        <v>80</v>
      </c>
      <c r="D23" s="442">
        <f>1.15*RdsHS_typ</f>
        <v>92</v>
      </c>
      <c r="E23" s="215" t="s">
        <v>96</v>
      </c>
      <c r="F23" s="216" t="s">
        <v>56</v>
      </c>
      <c r="G23" s="77"/>
      <c r="H23" s="77"/>
      <c r="I23" s="78"/>
    </row>
    <row r="24" spans="1:9" ht="18" customHeight="1" thickBot="1">
      <c r="A24" s="214" t="s">
        <v>261</v>
      </c>
      <c r="B24" s="74" t="s">
        <v>22</v>
      </c>
      <c r="C24" s="443">
        <v>65</v>
      </c>
      <c r="D24" s="442">
        <f>1.15*RdsLS_typ</f>
        <v>74.75</v>
      </c>
      <c r="E24" s="215" t="s">
        <v>96</v>
      </c>
      <c r="F24" s="216" t="s">
        <v>56</v>
      </c>
      <c r="G24" s="77"/>
      <c r="H24" s="77"/>
      <c r="I24" s="78"/>
    </row>
    <row r="25" spans="1:9" ht="15.75" thickBot="1">
      <c r="A25" s="27" t="s">
        <v>104</v>
      </c>
      <c r="B25" s="33" t="s">
        <v>22</v>
      </c>
      <c r="C25" s="444">
        <v>0.64</v>
      </c>
      <c r="D25" s="33" t="s">
        <v>22</v>
      </c>
      <c r="E25" s="34" t="s">
        <v>105</v>
      </c>
      <c r="F25" s="29" t="s">
        <v>56</v>
      </c>
      <c r="G25" s="30"/>
      <c r="H25" s="30"/>
      <c r="I25" s="31"/>
    </row>
    <row r="26" spans="1:9" ht="18.75" thickBot="1">
      <c r="A26" s="27" t="s">
        <v>268</v>
      </c>
      <c r="B26" s="33" t="s">
        <v>22</v>
      </c>
      <c r="C26" s="316">
        <v>0.6</v>
      </c>
      <c r="D26" s="312" t="s">
        <v>22</v>
      </c>
      <c r="E26" s="34" t="s">
        <v>2</v>
      </c>
      <c r="F26" s="29" t="s">
        <v>56</v>
      </c>
      <c r="G26" s="30"/>
      <c r="H26" s="30"/>
      <c r="I26" s="31"/>
    </row>
    <row r="27" spans="1:9" ht="15.75" thickBot="1">
      <c r="A27" s="27" t="s">
        <v>266</v>
      </c>
      <c r="B27" s="33" t="s">
        <v>22</v>
      </c>
      <c r="C27" s="33" t="s">
        <v>22</v>
      </c>
      <c r="D27" s="445">
        <v>5.8</v>
      </c>
      <c r="E27" s="34" t="s">
        <v>9</v>
      </c>
      <c r="F27" s="29" t="s">
        <v>56</v>
      </c>
      <c r="G27" s="30"/>
      <c r="H27" s="30"/>
      <c r="I27" s="31"/>
    </row>
    <row r="28" spans="1:9" ht="15.75" thickBot="1">
      <c r="A28" s="27" t="s">
        <v>267</v>
      </c>
      <c r="B28" s="33" t="s">
        <v>22</v>
      </c>
      <c r="C28" s="312" t="s">
        <v>22</v>
      </c>
      <c r="D28" s="446">
        <v>10.4</v>
      </c>
      <c r="E28" s="34" t="s">
        <v>9</v>
      </c>
      <c r="F28" s="29" t="s">
        <v>56</v>
      </c>
      <c r="G28" s="30"/>
      <c r="H28" s="30"/>
      <c r="I28" s="31"/>
    </row>
    <row r="29" spans="1:9" ht="15.75" thickBot="1">
      <c r="A29" s="27" t="s">
        <v>7</v>
      </c>
      <c r="B29" s="33" t="s">
        <v>22</v>
      </c>
      <c r="C29" s="428">
        <v>0.75</v>
      </c>
      <c r="D29" s="311" t="s">
        <v>22</v>
      </c>
      <c r="E29" s="34" t="s">
        <v>6</v>
      </c>
      <c r="F29" s="29" t="s">
        <v>176</v>
      </c>
      <c r="G29" s="30"/>
      <c r="H29" s="30"/>
      <c r="I29" s="31"/>
    </row>
    <row r="30" spans="1:9" ht="15.75" thickBot="1">
      <c r="A30" s="27" t="s">
        <v>8</v>
      </c>
      <c r="B30" s="33" t="s">
        <v>22</v>
      </c>
      <c r="C30" s="428">
        <v>1</v>
      </c>
      <c r="D30" s="33" t="s">
        <v>22</v>
      </c>
      <c r="E30" s="34" t="s">
        <v>6</v>
      </c>
      <c r="F30" s="29" t="s">
        <v>176</v>
      </c>
      <c r="G30" s="30"/>
      <c r="H30" s="30"/>
      <c r="I30" s="31"/>
    </row>
    <row r="31" spans="1:9" ht="15.75" thickBot="1">
      <c r="A31" s="27" t="s">
        <v>38</v>
      </c>
      <c r="B31" s="33" t="s">
        <v>22</v>
      </c>
      <c r="C31" s="446">
        <v>20</v>
      </c>
      <c r="D31" s="33" t="s">
        <v>22</v>
      </c>
      <c r="E31" s="34" t="s">
        <v>107</v>
      </c>
      <c r="F31" s="29" t="s">
        <v>57</v>
      </c>
      <c r="G31" s="30"/>
      <c r="H31" s="30"/>
      <c r="I31" s="31"/>
    </row>
    <row r="32" spans="1:9" ht="15.75" thickBot="1">
      <c r="A32" s="27"/>
      <c r="B32" s="312"/>
      <c r="C32" s="312"/>
      <c r="D32" s="312"/>
      <c r="E32" s="34"/>
      <c r="F32" s="29"/>
      <c r="G32" s="30"/>
      <c r="H32" s="30"/>
      <c r="I32" s="31"/>
    </row>
    <row r="33" spans="1:9" ht="18.75" thickBot="1">
      <c r="A33" s="27">
        <v>5</v>
      </c>
      <c r="B33" s="428">
        <v>3.5</v>
      </c>
      <c r="C33" s="433">
        <v>4</v>
      </c>
      <c r="D33" s="433">
        <v>4.5</v>
      </c>
      <c r="E33" s="34" t="s">
        <v>13</v>
      </c>
      <c r="F33" s="29" t="s">
        <v>174</v>
      </c>
      <c r="G33" s="30"/>
      <c r="H33" s="30"/>
      <c r="I33" s="31"/>
    </row>
    <row r="34" spans="1:9" ht="18.75" thickBot="1">
      <c r="A34" s="27">
        <v>90</v>
      </c>
      <c r="B34" s="428">
        <v>2.4</v>
      </c>
      <c r="C34" s="433">
        <v>3.2</v>
      </c>
      <c r="D34" s="433">
        <v>4</v>
      </c>
      <c r="E34" s="34" t="s">
        <v>13</v>
      </c>
      <c r="F34" s="29" t="s">
        <v>175</v>
      </c>
      <c r="G34" s="30"/>
      <c r="H34" s="30"/>
      <c r="I34" s="31"/>
    </row>
    <row r="35" spans="1:9" ht="15.75" thickBot="1">
      <c r="A35" s="100" t="s">
        <v>143</v>
      </c>
      <c r="B35" s="311" t="s">
        <v>22</v>
      </c>
      <c r="C35" s="451">
        <v>-1.29E-2</v>
      </c>
      <c r="D35" s="311" t="s">
        <v>22</v>
      </c>
      <c r="E35" s="34" t="s">
        <v>145</v>
      </c>
      <c r="F35" s="29" t="s">
        <v>337</v>
      </c>
      <c r="G35" s="30"/>
      <c r="H35" s="30"/>
      <c r="I35" s="31"/>
    </row>
    <row r="36" spans="1:9" ht="15.75" thickBot="1">
      <c r="A36" s="100" t="s">
        <v>144</v>
      </c>
      <c r="B36" s="33" t="s">
        <v>22</v>
      </c>
      <c r="C36" s="451">
        <v>3.5647000000000002</v>
      </c>
      <c r="D36" s="33" t="s">
        <v>22</v>
      </c>
      <c r="E36" s="34" t="s">
        <v>13</v>
      </c>
      <c r="F36" s="29" t="s">
        <v>338</v>
      </c>
      <c r="G36" s="30"/>
      <c r="H36" s="30"/>
      <c r="I36" s="31"/>
    </row>
    <row r="37" spans="1:9" ht="15.75" thickBot="1">
      <c r="A37" s="148" t="s">
        <v>218</v>
      </c>
      <c r="B37" s="36" t="s">
        <v>22</v>
      </c>
      <c r="C37" s="452">
        <v>0.39300000000000002</v>
      </c>
      <c r="D37" s="36" t="s">
        <v>22</v>
      </c>
      <c r="E37" s="37" t="s">
        <v>219</v>
      </c>
      <c r="F37" s="38" t="s">
        <v>225</v>
      </c>
      <c r="G37" s="39"/>
      <c r="H37" s="39"/>
      <c r="I37" s="40"/>
    </row>
    <row r="38" spans="1:9" ht="15.75" thickBot="1"/>
    <row r="39" spans="1:9" s="12" customFormat="1" ht="18" customHeight="1">
      <c r="A39" s="41" t="s">
        <v>122</v>
      </c>
      <c r="B39" s="42"/>
      <c r="C39" s="42"/>
      <c r="D39" s="42"/>
      <c r="E39" s="42"/>
      <c r="F39" s="43"/>
      <c r="G39" s="44"/>
    </row>
    <row r="40" spans="1:9">
      <c r="A40" s="27" t="s">
        <v>108</v>
      </c>
      <c r="B40" s="34">
        <v>3.3</v>
      </c>
      <c r="C40" s="34" t="s">
        <v>2</v>
      </c>
      <c r="D40" s="45" t="s">
        <v>123</v>
      </c>
      <c r="E40" s="34"/>
      <c r="F40" s="30"/>
      <c r="G40" s="31"/>
    </row>
    <row r="41" spans="1:9" ht="18">
      <c r="A41" s="27" t="s">
        <v>156</v>
      </c>
      <c r="B41" s="34">
        <v>2</v>
      </c>
      <c r="C41" s="34" t="s">
        <v>13</v>
      </c>
      <c r="D41" s="45" t="s">
        <v>157</v>
      </c>
      <c r="E41" s="34"/>
      <c r="F41" s="30"/>
      <c r="G41" s="31"/>
    </row>
    <row r="42" spans="1:9">
      <c r="A42" s="27" t="s">
        <v>113</v>
      </c>
      <c r="B42" s="34">
        <v>1.1000000000000001</v>
      </c>
      <c r="C42" s="34" t="s">
        <v>13</v>
      </c>
      <c r="D42" s="45" t="s">
        <v>150</v>
      </c>
      <c r="E42" s="34"/>
      <c r="F42" s="30"/>
      <c r="G42" s="31"/>
    </row>
    <row r="43" spans="1:9" ht="18">
      <c r="A43" s="27" t="s">
        <v>158</v>
      </c>
      <c r="B43" s="98">
        <f>100*Trans_stepCurrent/Trans_maxCurrent</f>
        <v>55.000000000000007</v>
      </c>
      <c r="C43" s="34" t="s">
        <v>24</v>
      </c>
      <c r="D43" s="45" t="s">
        <v>161</v>
      </c>
      <c r="E43" s="34"/>
      <c r="F43" s="30"/>
      <c r="G43" s="31"/>
    </row>
    <row r="44" spans="1:9">
      <c r="A44" s="27" t="s">
        <v>109</v>
      </c>
      <c r="B44" s="34">
        <v>1</v>
      </c>
      <c r="C44" s="33" t="s">
        <v>22</v>
      </c>
      <c r="D44" s="45" t="s">
        <v>162</v>
      </c>
      <c r="E44" s="34"/>
      <c r="F44" s="30"/>
      <c r="G44" s="31"/>
    </row>
    <row r="45" spans="1:9" ht="18">
      <c r="A45" s="27" t="s">
        <v>125</v>
      </c>
      <c r="B45" s="34">
        <v>2</v>
      </c>
      <c r="C45" s="34" t="s">
        <v>16</v>
      </c>
      <c r="D45" s="45" t="s">
        <v>126</v>
      </c>
      <c r="E45" s="34"/>
      <c r="F45" s="30"/>
      <c r="G45" s="31"/>
    </row>
    <row r="46" spans="1:9">
      <c r="A46" s="27" t="s">
        <v>114</v>
      </c>
      <c r="B46" s="34">
        <v>128</v>
      </c>
      <c r="C46" s="34" t="s">
        <v>20</v>
      </c>
      <c r="D46" s="45" t="s">
        <v>258</v>
      </c>
      <c r="E46" s="34"/>
      <c r="F46" s="30"/>
      <c r="G46" s="31"/>
    </row>
    <row r="47" spans="1:9">
      <c r="A47" s="27" t="s">
        <v>110</v>
      </c>
      <c r="B47" s="34">
        <v>10</v>
      </c>
      <c r="C47" s="34" t="s">
        <v>24</v>
      </c>
      <c r="D47" s="45" t="s">
        <v>124</v>
      </c>
      <c r="E47" s="34"/>
      <c r="F47" s="30"/>
      <c r="G47" s="31"/>
    </row>
    <row r="48" spans="1:9">
      <c r="A48" s="27" t="s">
        <v>26</v>
      </c>
      <c r="B48" s="98">
        <v>6</v>
      </c>
      <c r="C48" s="34" t="s">
        <v>111</v>
      </c>
      <c r="D48" s="45" t="s">
        <v>115</v>
      </c>
      <c r="E48" s="34"/>
      <c r="F48" s="30"/>
      <c r="G48" s="31"/>
    </row>
    <row r="49" spans="1:9">
      <c r="A49" s="27" t="s">
        <v>27</v>
      </c>
      <c r="B49" s="34">
        <v>1.8</v>
      </c>
      <c r="C49" s="34" t="s">
        <v>28</v>
      </c>
      <c r="D49" s="45" t="s">
        <v>115</v>
      </c>
      <c r="E49" s="34"/>
      <c r="F49" s="30"/>
      <c r="G49" s="31"/>
    </row>
    <row r="50" spans="1:9">
      <c r="A50" s="27" t="s">
        <v>119</v>
      </c>
      <c r="B50" s="98">
        <v>0.8</v>
      </c>
      <c r="C50" s="35">
        <v>9.9600000000000009</v>
      </c>
      <c r="D50" s="33" t="s">
        <v>164</v>
      </c>
      <c r="E50" s="45" t="s">
        <v>116</v>
      </c>
      <c r="F50" s="30"/>
      <c r="G50" s="31"/>
    </row>
    <row r="51" spans="1:9">
      <c r="A51" s="27" t="s">
        <v>119</v>
      </c>
      <c r="B51" s="98">
        <v>2</v>
      </c>
      <c r="C51" s="35">
        <v>9.8000000000000007</v>
      </c>
      <c r="D51" s="33" t="s">
        <v>164</v>
      </c>
      <c r="E51" s="45" t="s">
        <v>116</v>
      </c>
      <c r="F51" s="30"/>
      <c r="G51" s="31"/>
    </row>
    <row r="52" spans="1:9">
      <c r="A52" s="27" t="s">
        <v>119</v>
      </c>
      <c r="B52" s="98">
        <v>3.3</v>
      </c>
      <c r="C52" s="35">
        <v>9.5</v>
      </c>
      <c r="D52" s="33" t="s">
        <v>164</v>
      </c>
      <c r="E52" s="45" t="s">
        <v>116</v>
      </c>
      <c r="F52" s="30"/>
      <c r="G52" s="31"/>
    </row>
    <row r="53" spans="1:9">
      <c r="A53" s="27" t="s">
        <v>119</v>
      </c>
      <c r="B53" s="98">
        <v>5</v>
      </c>
      <c r="C53" s="35">
        <v>8.85</v>
      </c>
      <c r="D53" s="33" t="s">
        <v>164</v>
      </c>
      <c r="E53" s="45" t="s">
        <v>116</v>
      </c>
      <c r="F53" s="30"/>
      <c r="G53" s="31"/>
    </row>
    <row r="54" spans="1:9">
      <c r="A54" s="27" t="s">
        <v>119</v>
      </c>
      <c r="B54" s="98">
        <v>8</v>
      </c>
      <c r="C54" s="35">
        <v>7.48</v>
      </c>
      <c r="D54" s="33" t="s">
        <v>164</v>
      </c>
      <c r="E54" s="45" t="s">
        <v>116</v>
      </c>
      <c r="F54" s="30"/>
      <c r="G54" s="31"/>
    </row>
    <row r="55" spans="1:9" ht="17.25">
      <c r="A55" s="73" t="s">
        <v>120</v>
      </c>
      <c r="B55" s="74" t="s">
        <v>22</v>
      </c>
      <c r="C55" s="75">
        <v>3.3999999999999998E-3</v>
      </c>
      <c r="D55" s="74" t="s">
        <v>165</v>
      </c>
      <c r="E55" s="76" t="s">
        <v>147</v>
      </c>
      <c r="F55" s="77"/>
      <c r="G55" s="78"/>
    </row>
    <row r="56" spans="1:9" ht="17.25">
      <c r="A56" s="73" t="s">
        <v>120</v>
      </c>
      <c r="B56" s="74" t="s">
        <v>22</v>
      </c>
      <c r="C56" s="75">
        <v>-7.4300000000000005E-2</v>
      </c>
      <c r="D56" s="74" t="s">
        <v>167</v>
      </c>
      <c r="E56" s="76" t="s">
        <v>148</v>
      </c>
      <c r="F56" s="77"/>
      <c r="G56" s="78"/>
    </row>
    <row r="57" spans="1:9">
      <c r="A57" s="73" t="s">
        <v>120</v>
      </c>
      <c r="B57" s="74" t="s">
        <v>22</v>
      </c>
      <c r="C57" s="75">
        <v>6.83E-2</v>
      </c>
      <c r="D57" s="74" t="s">
        <v>166</v>
      </c>
      <c r="E57" s="76" t="s">
        <v>149</v>
      </c>
      <c r="F57" s="77"/>
      <c r="G57" s="78"/>
    </row>
    <row r="58" spans="1:9" ht="15.75" thickBot="1">
      <c r="A58" s="79" t="s">
        <v>120</v>
      </c>
      <c r="B58" s="80" t="s">
        <v>22</v>
      </c>
      <c r="C58" s="81">
        <v>9.9469999999999992</v>
      </c>
      <c r="D58" s="80" t="s">
        <v>112</v>
      </c>
      <c r="E58" s="82" t="s">
        <v>168</v>
      </c>
      <c r="F58" s="83"/>
      <c r="G58" s="84"/>
    </row>
    <row r="59" spans="1:9" ht="15.75" thickBot="1"/>
    <row r="60" spans="1:9" ht="19.5" thickBot="1">
      <c r="A60" s="284" t="s">
        <v>1</v>
      </c>
      <c r="B60" s="285" t="s">
        <v>31</v>
      </c>
      <c r="C60" s="285" t="s">
        <v>32</v>
      </c>
      <c r="D60" s="285" t="s">
        <v>33</v>
      </c>
      <c r="E60" s="285" t="s">
        <v>34</v>
      </c>
      <c r="F60" s="550" t="s">
        <v>36</v>
      </c>
      <c r="G60" s="550"/>
      <c r="H60" s="550"/>
      <c r="I60" s="551"/>
    </row>
    <row r="61" spans="1:9">
      <c r="A61" s="300" t="s">
        <v>283</v>
      </c>
      <c r="B61" s="34"/>
      <c r="C61" s="34"/>
      <c r="D61" s="34"/>
      <c r="E61" s="34"/>
      <c r="F61" s="299"/>
      <c r="G61" s="299"/>
      <c r="H61" s="287"/>
      <c r="I61" s="288"/>
    </row>
    <row r="62" spans="1:9" ht="18.75" thickBot="1">
      <c r="A62" s="289" t="s">
        <v>284</v>
      </c>
      <c r="B62" s="306">
        <f ca="1">FORECAST((IF(ISBLANK(Fsw_Sel),Fsw_Recom,Fsw_Sel)), OFFSET(B14:B16,MATCH((IF(ISBLANK(Fsw_Sel),Fsw_Recom,Fsw_Sel)),G14:G16,1)-1,0,2), OFFSET(G14:G16,MATCH((IF(ISBLANK(Fsw_Sel),Fsw_Recom,Fsw_Sel)),G14:G16,1)-1,0,2))</f>
        <v>0.14095238095238088</v>
      </c>
      <c r="C62" s="306">
        <f ca="1">FORECAST((IF(ISBLANK(Fsw_Sel),Fsw_Recom,Fsw_Sel)), OFFSET(C14:C16,MATCH((IF(ISBLANK(Fsw_Sel),Fsw_Recom,Fsw_Sel)),G14:G16,1)-1,0,2), OFFSET(G14:G16,MATCH((IF(ISBLANK(Fsw_Sel),Fsw_Recom,Fsw_Sel)),G14:G16,1)-1,0,2))</f>
        <v>0.29761904761904762</v>
      </c>
      <c r="D62" s="306">
        <f ca="1">FORECAST((IF(ISBLANK(Fsw_Sel),Fsw_Recom,Fsw_Sel)), OFFSET(D14:D16,MATCH((IF(ISBLANK(Fsw_Sel),Fsw_Recom,Fsw_Sel)),G14:G16,1)-1,0,2), OFFSET(G14:G16,MATCH((IF(ISBLANK(Fsw_Sel),Fsw_Recom,Fsw_Sel)),G14:G16,1)-1,0,2))</f>
        <v>0.47333333333333316</v>
      </c>
      <c r="E62" s="290" t="s">
        <v>281</v>
      </c>
      <c r="F62" s="298" t="s">
        <v>339</v>
      </c>
      <c r="G62" s="82"/>
      <c r="H62" s="83"/>
      <c r="I62" s="295"/>
    </row>
    <row r="63" spans="1:9" ht="15.75" thickBot="1">
      <c r="A63" s="286"/>
      <c r="B63" s="286"/>
      <c r="C63" s="286"/>
      <c r="D63" s="286"/>
      <c r="E63" s="286"/>
      <c r="F63" s="287"/>
      <c r="G63" s="287"/>
      <c r="H63" s="296"/>
      <c r="I63" s="297"/>
    </row>
    <row r="64" spans="1:9" ht="15.75">
      <c r="A64" s="301"/>
      <c r="B64" s="302"/>
      <c r="C64" s="302"/>
      <c r="D64" s="302"/>
      <c r="E64" s="302"/>
      <c r="F64" s="302"/>
      <c r="G64" s="302"/>
      <c r="H64" s="303"/>
      <c r="I64" s="304"/>
    </row>
    <row r="65" spans="1:9" ht="15.75" thickBot="1">
      <c r="A65" s="291"/>
      <c r="B65" s="305"/>
      <c r="C65" s="305"/>
      <c r="D65" s="305"/>
      <c r="E65" s="290"/>
      <c r="F65" s="292"/>
      <c r="G65" s="292"/>
      <c r="H65" s="293"/>
      <c r="I65" s="294"/>
    </row>
  </sheetData>
  <sheetProtection password="83AF" sheet="1" objects="1" scenarios="1"/>
  <mergeCells count="5">
    <mergeCell ref="F60:I60"/>
    <mergeCell ref="F2:I2"/>
    <mergeCell ref="A1:I1"/>
    <mergeCell ref="A14:A16"/>
    <mergeCell ref="E14:E16"/>
  </mergeCells>
  <pageMargins left="0.7" right="0.7" top="0.75" bottom="0.75" header="0.3" footer="0.3"/>
  <pageSetup orientation="portrait" r:id="rId1"/>
  <ignoredErrors>
    <ignoredError sqref="B62:D62" formulaRange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3:I25"/>
  <sheetViews>
    <sheetView topLeftCell="A7" workbookViewId="0">
      <selection activeCell="C7" sqref="C7 B17"/>
    </sheetView>
  </sheetViews>
  <sheetFormatPr defaultRowHeight="15"/>
  <cols>
    <col min="1" max="1" width="27.5703125" customWidth="1"/>
    <col min="4" max="4" width="13.42578125" bestFit="1" customWidth="1"/>
    <col min="9" max="9" width="9.5703125" customWidth="1"/>
  </cols>
  <sheetData>
    <row r="3" spans="1:9" ht="15.75" thickBot="1"/>
    <row r="4" spans="1:9" ht="19.5" thickBot="1">
      <c r="A4" s="99" t="s">
        <v>130</v>
      </c>
      <c r="B4" s="50" t="s">
        <v>31</v>
      </c>
      <c r="C4" s="50" t="s">
        <v>32</v>
      </c>
      <c r="D4" s="50" t="s">
        <v>33</v>
      </c>
      <c r="E4" s="51" t="s">
        <v>34</v>
      </c>
      <c r="F4" s="498" t="s">
        <v>36</v>
      </c>
      <c r="G4" s="499"/>
      <c r="H4" s="499"/>
      <c r="I4" s="500"/>
    </row>
    <row r="5" spans="1:9" ht="15.75" thickBot="1">
      <c r="A5" s="139" t="s">
        <v>320</v>
      </c>
      <c r="B5" s="247">
        <f>Vload_typ*(1-0.015)</f>
        <v>4.9249999999999998</v>
      </c>
      <c r="C5" s="308">
        <f>Vout</f>
        <v>5</v>
      </c>
      <c r="D5" s="309">
        <f>Vload_typ*(1+0.015)</f>
        <v>5.0749999999999993</v>
      </c>
      <c r="E5" s="72" t="s">
        <v>2</v>
      </c>
      <c r="F5" s="468" t="s">
        <v>321</v>
      </c>
      <c r="G5" s="469"/>
      <c r="H5" s="469"/>
      <c r="I5" s="470"/>
    </row>
    <row r="6" spans="1:9" ht="15.75" thickBot="1">
      <c r="A6" s="139" t="s">
        <v>302</v>
      </c>
      <c r="B6" s="429" t="s">
        <v>22</v>
      </c>
      <c r="C6" s="432">
        <f>Vout_typ/VFB_typ</f>
        <v>6.2421052631578942</v>
      </c>
      <c r="D6" s="429" t="s">
        <v>22</v>
      </c>
      <c r="E6" s="246" t="s">
        <v>2</v>
      </c>
      <c r="F6" s="468" t="s">
        <v>308</v>
      </c>
      <c r="G6" s="469"/>
      <c r="H6" s="469"/>
      <c r="I6" s="470"/>
    </row>
    <row r="7" spans="1:9" ht="47.25" customHeight="1" thickBot="1">
      <c r="A7" s="139" t="s">
        <v>305</v>
      </c>
      <c r="B7" s="429"/>
      <c r="C7" s="464">
        <v>2.5</v>
      </c>
      <c r="D7" s="429"/>
      <c r="E7" s="246" t="s">
        <v>13</v>
      </c>
      <c r="F7" s="563" t="s">
        <v>342</v>
      </c>
      <c r="G7" s="564"/>
      <c r="H7" s="564"/>
      <c r="I7" s="565"/>
    </row>
    <row r="8" spans="1:9" ht="15.75" thickBot="1">
      <c r="A8" s="280"/>
      <c r="B8" s="430"/>
      <c r="C8" s="431"/>
      <c r="D8" s="430"/>
      <c r="E8" s="281"/>
      <c r="F8" s="282"/>
      <c r="G8" s="282"/>
      <c r="H8" s="282"/>
      <c r="I8" s="283"/>
    </row>
    <row r="11" spans="1:9" ht="15.75" thickBot="1"/>
    <row r="12" spans="1:9" ht="18.75">
      <c r="A12" s="136" t="s">
        <v>30</v>
      </c>
      <c r="B12" s="271" t="s">
        <v>29</v>
      </c>
      <c r="C12" s="271" t="s">
        <v>34</v>
      </c>
      <c r="D12" s="474" t="s">
        <v>36</v>
      </c>
      <c r="E12" s="475"/>
      <c r="F12" s="475"/>
      <c r="G12" s="475"/>
      <c r="H12" s="475"/>
      <c r="I12" s="476"/>
    </row>
    <row r="13" spans="1:9" ht="16.5" thickBot="1">
      <c r="A13" s="489" t="s">
        <v>311</v>
      </c>
      <c r="B13" s="490"/>
      <c r="C13" s="490"/>
      <c r="D13" s="490"/>
      <c r="E13" s="490"/>
      <c r="F13" s="490"/>
      <c r="G13" s="490"/>
      <c r="H13" s="490"/>
      <c r="I13" s="491"/>
    </row>
    <row r="14" spans="1:9" ht="15.75" thickBot="1">
      <c r="A14" s="53" t="s">
        <v>304</v>
      </c>
      <c r="B14" s="428">
        <v>125</v>
      </c>
      <c r="C14" s="278" t="s">
        <v>309</v>
      </c>
      <c r="D14" s="21" t="s">
        <v>329</v>
      </c>
      <c r="E14" s="16"/>
      <c r="F14" s="18"/>
      <c r="G14" s="18"/>
      <c r="H14" s="18"/>
      <c r="I14" s="54"/>
    </row>
    <row r="15" spans="1:9" ht="15.75" thickBot="1">
      <c r="A15" s="56"/>
      <c r="B15" s="57"/>
      <c r="C15" s="279"/>
      <c r="D15" s="453" t="s">
        <v>330</v>
      </c>
      <c r="E15" s="58"/>
      <c r="F15" s="60"/>
      <c r="G15" s="60"/>
      <c r="H15" s="60"/>
      <c r="I15" s="61"/>
    </row>
    <row r="16" spans="1:9" ht="16.5" thickBot="1">
      <c r="A16" s="489" t="s">
        <v>323</v>
      </c>
      <c r="B16" s="490"/>
      <c r="C16" s="490"/>
      <c r="D16" s="490"/>
      <c r="E16" s="490"/>
      <c r="F16" s="490"/>
      <c r="G16" s="490"/>
      <c r="H16" s="490"/>
      <c r="I16" s="491"/>
    </row>
    <row r="17" spans="1:9" ht="15.75" thickBot="1">
      <c r="A17" s="105" t="s">
        <v>303</v>
      </c>
      <c r="B17" s="187">
        <v>20</v>
      </c>
      <c r="C17" s="111" t="s">
        <v>309</v>
      </c>
      <c r="D17" s="21" t="s">
        <v>310</v>
      </c>
      <c r="E17" s="16"/>
      <c r="F17" s="18"/>
      <c r="G17" s="18"/>
      <c r="H17" s="18"/>
      <c r="I17" s="54"/>
    </row>
    <row r="18" spans="1:9" ht="15.75" thickBot="1">
      <c r="A18" s="109"/>
      <c r="B18" s="110"/>
      <c r="C18" s="110"/>
      <c r="D18" s="453" t="s">
        <v>330</v>
      </c>
      <c r="E18" s="58"/>
      <c r="F18" s="60"/>
      <c r="G18" s="60"/>
      <c r="H18" s="60"/>
      <c r="I18" s="61"/>
    </row>
    <row r="19" spans="1:9" ht="15.75">
      <c r="A19" s="489" t="s">
        <v>312</v>
      </c>
      <c r="B19" s="490"/>
      <c r="C19" s="490"/>
      <c r="D19" s="490"/>
      <c r="E19" s="490"/>
      <c r="F19" s="490"/>
      <c r="G19" s="490"/>
      <c r="H19" s="490"/>
      <c r="I19" s="491"/>
    </row>
    <row r="20" spans="1:9" ht="31.5" customHeight="1" thickBot="1">
      <c r="A20" s="207" t="s">
        <v>306</v>
      </c>
      <c r="B20" s="463">
        <f>IF(Rsen=0, 0,1200/(IOUT_LIM*Rsen))</f>
        <v>24</v>
      </c>
      <c r="C20" s="465" t="s">
        <v>313</v>
      </c>
      <c r="D20" s="560" t="s">
        <v>343</v>
      </c>
      <c r="E20" s="561"/>
      <c r="F20" s="561"/>
      <c r="G20" s="561"/>
      <c r="H20" s="561"/>
      <c r="I20" s="562"/>
    </row>
    <row r="21" spans="1:9">
      <c r="A21" s="460" t="s">
        <v>316</v>
      </c>
      <c r="B21" s="454">
        <v>24.3</v>
      </c>
      <c r="C21" s="466" t="s">
        <v>313</v>
      </c>
      <c r="D21" s="21" t="s">
        <v>314</v>
      </c>
      <c r="E21" s="16"/>
      <c r="F21" s="18"/>
      <c r="G21" s="18"/>
      <c r="H21" s="18"/>
      <c r="I21" s="54"/>
    </row>
    <row r="22" spans="1:9" ht="15.75" thickBot="1">
      <c r="A22" s="462" t="s">
        <v>305</v>
      </c>
      <c r="B22" s="461">
        <f>IF(Cal_RIADJ=0, "N/A",1200/(RIADJ_Equ*Rsen))</f>
        <v>2.4691358024691357</v>
      </c>
      <c r="C22" s="459" t="s">
        <v>13</v>
      </c>
      <c r="D22" s="458" t="s">
        <v>340</v>
      </c>
      <c r="E22" s="455"/>
      <c r="F22" s="456"/>
      <c r="G22" s="456"/>
      <c r="H22" s="456"/>
      <c r="I22" s="457"/>
    </row>
    <row r="23" spans="1:9" ht="15.75">
      <c r="A23" s="471" t="s">
        <v>317</v>
      </c>
      <c r="B23" s="472"/>
      <c r="C23" s="472"/>
      <c r="D23" s="472"/>
      <c r="E23" s="472"/>
      <c r="F23" s="472"/>
      <c r="G23" s="472"/>
      <c r="H23" s="472"/>
      <c r="I23" s="473"/>
    </row>
    <row r="24" spans="1:9" ht="31.5" customHeight="1" thickBot="1">
      <c r="A24" s="207" t="s">
        <v>307</v>
      </c>
      <c r="B24" s="463">
        <f>IF(Rwire=0,0,Rsen*AFB*RIADJ_Equ/Rwire)</f>
        <v>24.269305263157893</v>
      </c>
      <c r="C24" s="465" t="s">
        <v>313</v>
      </c>
      <c r="D24" s="560" t="s">
        <v>344</v>
      </c>
      <c r="E24" s="561"/>
      <c r="F24" s="561"/>
      <c r="G24" s="561"/>
      <c r="H24" s="561"/>
      <c r="I24" s="562"/>
    </row>
    <row r="25" spans="1:9" ht="15.75" thickBot="1">
      <c r="A25" s="109" t="s">
        <v>318</v>
      </c>
      <c r="B25" s="108">
        <v>24.3</v>
      </c>
      <c r="C25" s="467" t="s">
        <v>313</v>
      </c>
      <c r="D25" s="91" t="s">
        <v>314</v>
      </c>
      <c r="E25" s="58"/>
      <c r="F25" s="60"/>
      <c r="G25" s="60"/>
      <c r="H25" s="60"/>
      <c r="I25" s="61"/>
    </row>
  </sheetData>
  <sheetProtection password="83AF" sheet="1" objects="1" scenarios="1"/>
  <mergeCells count="11">
    <mergeCell ref="A19:I19"/>
    <mergeCell ref="D20:I20"/>
    <mergeCell ref="A23:I23"/>
    <mergeCell ref="D24:I24"/>
    <mergeCell ref="F4:I4"/>
    <mergeCell ref="F6:I6"/>
    <mergeCell ref="D12:I12"/>
    <mergeCell ref="A13:I13"/>
    <mergeCell ref="F7:I7"/>
    <mergeCell ref="A16:I16"/>
    <mergeCell ref="F5:I5"/>
  </mergeCells>
  <conditionalFormatting sqref="B20">
    <cfRule type="cellIs" dxfId="13" priority="17" operator="between">
      <formula>10</formula>
      <formula>34</formula>
    </cfRule>
    <cfRule type="cellIs" dxfId="12" priority="24" operator="notBetween">
      <formula>10</formula>
      <formula>34</formula>
    </cfRule>
  </conditionalFormatting>
  <conditionalFormatting sqref="D20:I20">
    <cfRule type="expression" dxfId="11" priority="11">
      <formula>NOT(AND(($B$20&gt;=10),($B$20&lt;=34)))</formula>
    </cfRule>
    <cfRule type="expression" dxfId="10" priority="13">
      <formula>AND(($B$20&gt;=10),($B$20&lt;=34))</formula>
    </cfRule>
  </conditionalFormatting>
  <conditionalFormatting sqref="B24">
    <cfRule type="cellIs" dxfId="9" priority="9" operator="between">
      <formula>10</formula>
      <formula>34</formula>
    </cfRule>
    <cfRule type="cellIs" dxfId="8" priority="10" operator="notBetween">
      <formula>10</formula>
      <formula>34</formula>
    </cfRule>
  </conditionalFormatting>
  <conditionalFormatting sqref="D24:I24">
    <cfRule type="expression" dxfId="7" priority="7">
      <formula>NOT(AND(($B$24&gt;=10),($B$24&lt;=34)))</formula>
    </cfRule>
    <cfRule type="expression" dxfId="6" priority="8">
      <formula>AND(($B$24&gt;=10),($B$24&lt;=34))</formula>
    </cfRule>
  </conditionalFormatting>
  <conditionalFormatting sqref="B21">
    <cfRule type="cellIs" dxfId="5" priority="5" operator="notBetween">
      <formula>10</formula>
      <formula>34</formula>
    </cfRule>
    <cfRule type="cellIs" dxfId="4" priority="6" operator="between">
      <formula>10</formula>
      <formula>34</formula>
    </cfRule>
  </conditionalFormatting>
  <conditionalFormatting sqref="E21:I22 D21">
    <cfRule type="expression" dxfId="3" priority="4">
      <formula>AND($B$21&gt;=10,$B$21&lt;=34)</formula>
    </cfRule>
  </conditionalFormatting>
  <conditionalFormatting sqref="D21">
    <cfRule type="expression" dxfId="2" priority="3">
      <formula>NOT(AND($B$21&gt;=10,$B$21&lt;=34))</formula>
    </cfRule>
  </conditionalFormatting>
  <conditionalFormatting sqref="D25:I25">
    <cfRule type="expression" dxfId="1" priority="2">
      <formula>AND($B$25&gt;=10,$B$25&lt;=34)</formula>
    </cfRule>
  </conditionalFormatting>
  <conditionalFormatting sqref="D25">
    <cfRule type="expression" dxfId="0" priority="1">
      <formula>NOT(AND($B$25&gt;=10,$B$25&lt;=34))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163</vt:i4>
      </vt:variant>
    </vt:vector>
  </HeadingPairs>
  <TitlesOfParts>
    <vt:vector size="169" baseType="lpstr">
      <vt:lpstr>Design</vt:lpstr>
      <vt:lpstr>Snubber</vt:lpstr>
      <vt:lpstr>Efficiency</vt:lpstr>
      <vt:lpstr>Dropout</vt:lpstr>
      <vt:lpstr>Constants</vt:lpstr>
      <vt:lpstr>Remote Regulation of A8652-53</vt:lpstr>
      <vt:lpstr>AFB</vt:lpstr>
      <vt:lpstr>AVOL</vt:lpstr>
      <vt:lpstr>Cal_RIADJ</vt:lpstr>
      <vt:lpstr>ChosenmaxDuty_max</vt:lpstr>
      <vt:lpstr>ChosenmaxDuty_typ</vt:lpstr>
      <vt:lpstr>ChosenminDuty_max</vt:lpstr>
      <vt:lpstr>ChosenminDuty_typ</vt:lpstr>
      <vt:lpstr>ChosenSE_max</vt:lpstr>
      <vt:lpstr>ChosenSE_min</vt:lpstr>
      <vt:lpstr>ChosenSE_typ</vt:lpstr>
      <vt:lpstr>Cin_Irms</vt:lpstr>
      <vt:lpstr>Cin_min</vt:lpstr>
      <vt:lpstr>Co_num_actual</vt:lpstr>
      <vt:lpstr>Co_num_est</vt:lpstr>
      <vt:lpstr>Co_tot</vt:lpstr>
      <vt:lpstr>Coeff_0V</vt:lpstr>
      <vt:lpstr>Coeff_V</vt:lpstr>
      <vt:lpstr>Coeff_V2</vt:lpstr>
      <vt:lpstr>Coeff_V3</vt:lpstr>
      <vt:lpstr>Cp_sel</vt:lpstr>
      <vt:lpstr>Csnub</vt:lpstr>
      <vt:lpstr>CSnub_Cal</vt:lpstr>
      <vt:lpstr>CSS_min</vt:lpstr>
      <vt:lpstr>CSS_sel</vt:lpstr>
      <vt:lpstr>Cz_max</vt:lpstr>
      <vt:lpstr>Cz_min</vt:lpstr>
      <vt:lpstr>D1_CAP</vt:lpstr>
      <vt:lpstr>DCR_Lo</vt:lpstr>
      <vt:lpstr>DCRLo_Sel</vt:lpstr>
      <vt:lpstr>f_p1</vt:lpstr>
      <vt:lpstr>f_z1</vt:lpstr>
      <vt:lpstr>fc_max</vt:lpstr>
      <vt:lpstr>fc_sel</vt:lpstr>
      <vt:lpstr>Fsw_max</vt:lpstr>
      <vt:lpstr>Fsw_min</vt:lpstr>
      <vt:lpstr>Fsw_Recom</vt:lpstr>
      <vt:lpstr>Fsw_Sel</vt:lpstr>
      <vt:lpstr>Fswtol_max</vt:lpstr>
      <vt:lpstr>Fswtol_min</vt:lpstr>
      <vt:lpstr>gm_typ</vt:lpstr>
      <vt:lpstr>gmEA_max</vt:lpstr>
      <vt:lpstr>gmEA_min</vt:lpstr>
      <vt:lpstr>gmEA_typ</vt:lpstr>
      <vt:lpstr>gmPower</vt:lpstr>
      <vt:lpstr>ILIM5_max</vt:lpstr>
      <vt:lpstr>ILIM5_min</vt:lpstr>
      <vt:lpstr>ILIM5_typ</vt:lpstr>
      <vt:lpstr>ILIM90_max</vt:lpstr>
      <vt:lpstr>ILIM90_min</vt:lpstr>
      <vt:lpstr>ILIM90_typ</vt:lpstr>
      <vt:lpstr>ILIMcurve_offset</vt:lpstr>
      <vt:lpstr>ILIMcurve_slope</vt:lpstr>
      <vt:lpstr>ILIMmargin_Vinmin</vt:lpstr>
      <vt:lpstr>ILIMmargin_Vintyp</vt:lpstr>
      <vt:lpstr>ILpp_max</vt:lpstr>
      <vt:lpstr>ILpp_typ</vt:lpstr>
      <vt:lpstr>Iout</vt:lpstr>
      <vt:lpstr>IOUT_LIM</vt:lpstr>
      <vt:lpstr>IQ</vt:lpstr>
      <vt:lpstr>Isat_req</vt:lpstr>
      <vt:lpstr>Lo_max</vt:lpstr>
      <vt:lpstr>Lo_min</vt:lpstr>
      <vt:lpstr>Lo_Ridley</vt:lpstr>
      <vt:lpstr>Lo_sel</vt:lpstr>
      <vt:lpstr>Lotol_max</vt:lpstr>
      <vt:lpstr>Lotol_min</vt:lpstr>
      <vt:lpstr>LX_CAP</vt:lpstr>
      <vt:lpstr>LX_Equ_Ind</vt:lpstr>
      <vt:lpstr>LX_Res_Freq</vt:lpstr>
      <vt:lpstr>LX_Res_Period</vt:lpstr>
      <vt:lpstr>ManualCout</vt:lpstr>
      <vt:lpstr>ManualCout_ESL</vt:lpstr>
      <vt:lpstr>ManualCout_ESR</vt:lpstr>
      <vt:lpstr>ManualCout_numb</vt:lpstr>
      <vt:lpstr>maxSYNC_Fsw</vt:lpstr>
      <vt:lpstr>Perc_StepCurrent</vt:lpstr>
      <vt:lpstr>Design!Print_Area</vt:lpstr>
      <vt:lpstr>Snubber!Print_Area</vt:lpstr>
      <vt:lpstr>QgHS</vt:lpstr>
      <vt:lpstr>QgLS</vt:lpstr>
      <vt:lpstr>RdsHS_max</vt:lpstr>
      <vt:lpstr>RdsHS_typ</vt:lpstr>
      <vt:lpstr>RdsLS_max</vt:lpstr>
      <vt:lpstr>RdsLS_typ</vt:lpstr>
      <vt:lpstr>RFB_combo</vt:lpstr>
      <vt:lpstr>RFB1_calc</vt:lpstr>
      <vt:lpstr>RFB1_Sel</vt:lpstr>
      <vt:lpstr>RFB1tol_max</vt:lpstr>
      <vt:lpstr>RFB2_calc</vt:lpstr>
      <vt:lpstr>RFB2_Sel</vt:lpstr>
      <vt:lpstr>RFB2tol_max</vt:lpstr>
      <vt:lpstr>RFSET</vt:lpstr>
      <vt:lpstr>RGADJ_Equ</vt:lpstr>
      <vt:lpstr>RIADJ_Equ</vt:lpstr>
      <vt:lpstr>RippleIout_percent</vt:lpstr>
      <vt:lpstr>RLoad_typ</vt:lpstr>
      <vt:lpstr>RMS_diode</vt:lpstr>
      <vt:lpstr>Rsen</vt:lpstr>
      <vt:lpstr>RSnub</vt:lpstr>
      <vt:lpstr>RSnub_Power</vt:lpstr>
      <vt:lpstr>Rth_typ</vt:lpstr>
      <vt:lpstr>Rwire</vt:lpstr>
      <vt:lpstr>Rz</vt:lpstr>
      <vt:lpstr>Rz_sel</vt:lpstr>
      <vt:lpstr>SE1_max</vt:lpstr>
      <vt:lpstr>SE1_min</vt:lpstr>
      <vt:lpstr>SE1_typ</vt:lpstr>
      <vt:lpstr>SE2_max</vt:lpstr>
      <vt:lpstr>SE2_min</vt:lpstr>
      <vt:lpstr>SE2_typ</vt:lpstr>
      <vt:lpstr>Snub_Damp_Freq</vt:lpstr>
      <vt:lpstr>Snub_Res</vt:lpstr>
      <vt:lpstr>SR_fall</vt:lpstr>
      <vt:lpstr>SR_rise</vt:lpstr>
      <vt:lpstr>SS_release</vt:lpstr>
      <vt:lpstr>SS_source</vt:lpstr>
      <vt:lpstr>SS_target</vt:lpstr>
      <vt:lpstr>SysDuty_max</vt:lpstr>
      <vt:lpstr>SysDuty_min</vt:lpstr>
      <vt:lpstr>SysDuty_typ</vt:lpstr>
      <vt:lpstr>t_SS_typ</vt:lpstr>
      <vt:lpstr>Tamb_max</vt:lpstr>
      <vt:lpstr>TCR_DCRLo</vt:lpstr>
      <vt:lpstr>TCR_Rds</vt:lpstr>
      <vt:lpstr>tnonOverlap</vt:lpstr>
      <vt:lpstr>toffmin_max</vt:lpstr>
      <vt:lpstr>toffmin_typ</vt:lpstr>
      <vt:lpstr>tonmin_max</vt:lpstr>
      <vt:lpstr>tonmin_typ</vt:lpstr>
      <vt:lpstr>Trans_Co_ESL</vt:lpstr>
      <vt:lpstr>Trans_Co_ESR</vt:lpstr>
      <vt:lpstr>Trans_Co_tol</vt:lpstr>
      <vt:lpstr>Trans_Fsw</vt:lpstr>
      <vt:lpstr>Trans_maxCurrent</vt:lpstr>
      <vt:lpstr>Trans_perc</vt:lpstr>
      <vt:lpstr>Trans_stepCurrent</vt:lpstr>
      <vt:lpstr>Trans_Vo</vt:lpstr>
      <vt:lpstr>Trans_Vopp</vt:lpstr>
      <vt:lpstr>Transnumb_Cap</vt:lpstr>
      <vt:lpstr>UVLO_hys</vt:lpstr>
      <vt:lpstr>UVLO_max</vt:lpstr>
      <vt:lpstr>UVLO_mult</vt:lpstr>
      <vt:lpstr>UVLO_typ</vt:lpstr>
      <vt:lpstr>UVLOhys_min</vt:lpstr>
      <vt:lpstr>VFB_max</vt:lpstr>
      <vt:lpstr>VFB_min</vt:lpstr>
      <vt:lpstr>VFB_typ</vt:lpstr>
      <vt:lpstr>VFBtol_max</vt:lpstr>
      <vt:lpstr>VFBtol_min</vt:lpstr>
      <vt:lpstr>Vin_max</vt:lpstr>
      <vt:lpstr>Vin_min</vt:lpstr>
      <vt:lpstr>Vin_typ</vt:lpstr>
      <vt:lpstr>Vload_max</vt:lpstr>
      <vt:lpstr>Vload_min</vt:lpstr>
      <vt:lpstr>Vload_typ</vt:lpstr>
      <vt:lpstr>Vout</vt:lpstr>
      <vt:lpstr>Vout_max</vt:lpstr>
      <vt:lpstr>Vout_min</vt:lpstr>
      <vt:lpstr>Vout_rpp</vt:lpstr>
      <vt:lpstr>Vout_target_max</vt:lpstr>
      <vt:lpstr>Vout_target_min</vt:lpstr>
      <vt:lpstr>Vout_typ</vt:lpstr>
      <vt:lpstr>VSD_LS</vt:lpstr>
    </vt:vector>
  </TitlesOfParts>
  <Company>Allegro MicroSystems,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A8652/53/54 Design Tool</dc:title>
  <dc:creator>C. Xiao</dc:creator>
  <cp:lastModifiedBy>cxiao</cp:lastModifiedBy>
  <cp:lastPrinted>2012-02-02T03:45:48Z</cp:lastPrinted>
  <dcterms:created xsi:type="dcterms:W3CDTF">2012-01-10T15:56:57Z</dcterms:created>
  <dcterms:modified xsi:type="dcterms:W3CDTF">2015-04-09T21:11:55Z</dcterms:modified>
</cp:coreProperties>
</file>