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 codeName="{526614CA-9299-8FEA-EDB2-C8A7E91AD4E6}"/>
  <workbookPr showInkAnnotation="0"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rgarvey\Documents\00 Projects\ALT80802\_Design Tool\BuckBoost\"/>
    </mc:Choice>
  </mc:AlternateContent>
  <xr:revisionPtr revIDLastSave="0" documentId="8_{AA6A7718-7904-47B6-9B6A-E9275A2D3CEE}" xr6:coauthVersionLast="31" xr6:coauthVersionMax="31" xr10:uidLastSave="{00000000-0000-0000-0000-000000000000}"/>
  <bookViews>
    <workbookView xWindow="45" yWindow="210" windowWidth="18975" windowHeight="8415" tabRatio="624" xr2:uid="{00000000-000D-0000-FFFF-FFFF00000000}"/>
  </bookViews>
  <sheets>
    <sheet name="Design" sheetId="1" r:id="rId1"/>
    <sheet name="Efficiency" sheetId="12" r:id="rId2"/>
    <sheet name="Snubber" sheetId="8" r:id="rId3"/>
    <sheet name="Constants" sheetId="2" r:id="rId4"/>
    <sheet name="Sheet1" sheetId="14" state="hidden" r:id="rId5"/>
  </sheets>
  <definedNames>
    <definedName name="AVOL_db">Constants!$C$10</definedName>
    <definedName name="BIN_2">Design!$B$86</definedName>
    <definedName name="BIN_3">Design!$B$87</definedName>
    <definedName name="BIN_4">Design!$B$88</definedName>
    <definedName name="Bin_Coeff">Design!$B$89</definedName>
    <definedName name="BIN2_Coeff">Design!$J$102</definedName>
    <definedName name="BIN3_Coeff">Design!$J$103</definedName>
    <definedName name="BIN4_Coeff">Design!$J$101</definedName>
    <definedName name="C_f1">Constants!$X$9</definedName>
    <definedName name="C_f2">Constants!$X$16</definedName>
    <definedName name="c_s1">Constants!$W$2</definedName>
    <definedName name="C_s2">Constants!$W$11</definedName>
    <definedName name="C_SNUB">Snubber!$B$16</definedName>
    <definedName name="Cout">Design!$B$56</definedName>
    <definedName name="Cp">Design!$B$83</definedName>
    <definedName name="Cz">Design!$B$81</definedName>
    <definedName name="D_max">Design!$B$40</definedName>
    <definedName name="D_typ">Design!$C$32</definedName>
    <definedName name="DCR">Efficiency!$D$27</definedName>
    <definedName name="E12_f">Constants!$S$21</definedName>
    <definedName name="E12_s">Constants!$R$10</definedName>
    <definedName name="E24_f">Constants!$S$46</definedName>
    <definedName name="E24_s">Constants!$R$23</definedName>
    <definedName name="E48_f">Constants!$S$95</definedName>
    <definedName name="E48_s">Constants!$R$48</definedName>
    <definedName name="E6_f">Constants!$S$8</definedName>
    <definedName name="E6_s">Constants!$R$3</definedName>
    <definedName name="E96_f">Constants!$U$98</definedName>
    <definedName name="E96_s">Constants!$T$3</definedName>
    <definedName name="ESR">Design!$B$57</definedName>
    <definedName name="f_SW">Efficiency!$H$27</definedName>
    <definedName name="fc">Design!$B$72</definedName>
    <definedName name="fsw">Design!$B$36</definedName>
    <definedName name="fsw_desire">Design!$C$12</definedName>
    <definedName name="fsw_tol_max">Constants!$D$17</definedName>
    <definedName name="fsw_tol_min">Constants!$B$17</definedName>
    <definedName name="giga">Constants!$B$39</definedName>
    <definedName name="gm_POWER">Constants!$C$13</definedName>
    <definedName name="gmv">Constants!$C$11</definedName>
    <definedName name="IIN_sys_max">Design!$D$33</definedName>
    <definedName name="IIN_sys_min">Design!$B$33</definedName>
    <definedName name="IIN_sys_typ">Design!$C$33</definedName>
    <definedName name="ILIM_Offset">Constants!$C$30</definedName>
    <definedName name="ILIM_PP">Constants!$C$28</definedName>
    <definedName name="ILIM_Slope">Constants!$C$29</definedName>
    <definedName name="IOUT">Design!$C$5</definedName>
    <definedName name="Iout_sys_max">Design!$D$30</definedName>
    <definedName name="Iout_sys_min">Design!$B$30</definedName>
    <definedName name="Iout_typ">Design!$C$30</definedName>
    <definedName name="Iq">Constants!$C$21</definedName>
    <definedName name="kilo">Constants!$B$37</definedName>
    <definedName name="L_buckboost">Design!$B$46</definedName>
    <definedName name="LO_DCR">Design!$B$47</definedName>
    <definedName name="Lout">Efficiency!$G$27</definedName>
    <definedName name="Max_Duty_Dropout">Efficiency!$L$4</definedName>
    <definedName name="mega">Constants!$B$38</definedName>
    <definedName name="micro">Constants!$B$35</definedName>
    <definedName name="milli">Constants!$B$36</definedName>
    <definedName name="Min_tOFF_typ">Constants!$C$20</definedName>
    <definedName name="minton_typ">Constants!$C$19</definedName>
    <definedName name="nano">Constants!$B$34</definedName>
    <definedName name="Psense_BIN1">Design!$E$99</definedName>
    <definedName name="Psense_BIN2">Design!$E$100</definedName>
    <definedName name="Psense_bin3">Design!$E$101</definedName>
    <definedName name="Psense_BIN4">Design!$E$102</definedName>
    <definedName name="Qg">Constants!$D$25</definedName>
    <definedName name="R_1">Design!$B$92</definedName>
    <definedName name="R_1k">Design!$I$100</definedName>
    <definedName name="R_2">Design!$B$93</definedName>
    <definedName name="R_2k">Design!$B$90</definedName>
    <definedName name="R_3">Design!$B$94</definedName>
    <definedName name="R_3k">Design!$I$101</definedName>
    <definedName name="Rdson">Constants!$C$22</definedName>
    <definedName name="Reset">Efficiency!$N$3</definedName>
    <definedName name="RFB_1">Design!$B$27</definedName>
    <definedName name="RLED">Design!$C$8</definedName>
    <definedName name="RO_ea_IC">Constants!$C$12</definedName>
    <definedName name="Rsense">Design!$B$95</definedName>
    <definedName name="RthJA">Design!$B$22</definedName>
    <definedName name="RthJA_IC">Design!$C$11</definedName>
    <definedName name="Rz">Design!$B$79</definedName>
    <definedName name="Se_2MHz">Constants!$C$15</definedName>
    <definedName name="Se_400kHz">Constants!$C$14</definedName>
    <definedName name="Se_p">Design!$B$42</definedName>
    <definedName name="Slew_fall">Constants!$C$27</definedName>
    <definedName name="Slew_rise">Constants!$C$26</definedName>
    <definedName name="TCR_Cu">Constants!$C$32</definedName>
    <definedName name="TCR_RdsON">Constants!$C$23</definedName>
    <definedName name="TSD">Constants!$C$31</definedName>
    <definedName name="Tsw">Design!$B$38</definedName>
    <definedName name="V_cs">Constants!$C$4</definedName>
    <definedName name="V_cs_max">Constants!$D$4</definedName>
    <definedName name="V_cs_min">Constants!$B$4</definedName>
    <definedName name="vcs_tol_max">Constants!$D$5</definedName>
    <definedName name="vcs_tol_min">Constants!$B$5</definedName>
    <definedName name="VF">Design!$C$15</definedName>
    <definedName name="Vgs">Constants!$C$24</definedName>
    <definedName name="VIN_MAX_app">Design!$D$4</definedName>
    <definedName name="VIN_MAX_IC">Constants!$D$3</definedName>
    <definedName name="VIN_MIN_IC">Constants!$B$3</definedName>
    <definedName name="Vin_nom">Design!$C$4</definedName>
    <definedName name="VOUT">Design!$C$31</definedName>
    <definedName name="ΔILo_typ">Design!$B$48</definedName>
  </definedNames>
  <calcPr calcId="179017" iterate="1" iterateCount="1000"/>
</workbook>
</file>

<file path=xl/calcChain.xml><?xml version="1.0" encoding="utf-8"?>
<calcChain xmlns="http://schemas.openxmlformats.org/spreadsheetml/2006/main">
  <c r="B37" i="1" l="1"/>
  <c r="V98" i="2" l="1"/>
  <c r="V96" i="2"/>
  <c r="V97" i="2" s="1"/>
  <c r="V93" i="2"/>
  <c r="V94" i="2" s="1"/>
  <c r="V95" i="2" s="1"/>
  <c r="V82" i="2"/>
  <c r="V83" i="2"/>
  <c r="V84" i="2" s="1"/>
  <c r="V85" i="2" s="1"/>
  <c r="V86" i="2" s="1"/>
  <c r="V87" i="2" s="1"/>
  <c r="V88" i="2" s="1"/>
  <c r="V89" i="2" s="1"/>
  <c r="V90" i="2" s="1"/>
  <c r="V91" i="2" s="1"/>
  <c r="V92" i="2" s="1"/>
  <c r="V5" i="2"/>
  <c r="V6" i="2"/>
  <c r="V7" i="2" s="1"/>
  <c r="V8" i="2" s="1"/>
  <c r="V9" i="2" s="1"/>
  <c r="V10" i="2" s="1"/>
  <c r="V11" i="2" s="1"/>
  <c r="V12" i="2" s="1"/>
  <c r="V13" i="2" s="1"/>
  <c r="V14" i="2" s="1"/>
  <c r="V15" i="2" s="1"/>
  <c r="V16" i="2" s="1"/>
  <c r="V17" i="2" s="1"/>
  <c r="V18" i="2" s="1"/>
  <c r="V19" i="2" s="1"/>
  <c r="V20" i="2" s="1"/>
  <c r="V21" i="2" s="1"/>
  <c r="V22" i="2" s="1"/>
  <c r="V23" i="2" s="1"/>
  <c r="V24" i="2" s="1"/>
  <c r="V25" i="2" s="1"/>
  <c r="V26" i="2" s="1"/>
  <c r="V27" i="2" s="1"/>
  <c r="V28" i="2" s="1"/>
  <c r="V29" i="2" s="1"/>
  <c r="V30" i="2" s="1"/>
  <c r="V31" i="2" s="1"/>
  <c r="V32" i="2" s="1"/>
  <c r="V33" i="2" s="1"/>
  <c r="V34" i="2" s="1"/>
  <c r="V35" i="2" s="1"/>
  <c r="V36" i="2" s="1"/>
  <c r="V37" i="2" s="1"/>
  <c r="V38" i="2" s="1"/>
  <c r="V39" i="2" s="1"/>
  <c r="V40" i="2" s="1"/>
  <c r="V41" i="2" s="1"/>
  <c r="V42" i="2" s="1"/>
  <c r="V43" i="2" s="1"/>
  <c r="V44" i="2" s="1"/>
  <c r="V45" i="2" s="1"/>
  <c r="V46" i="2" s="1"/>
  <c r="V47" i="2" s="1"/>
  <c r="V48" i="2" s="1"/>
  <c r="V49" i="2" s="1"/>
  <c r="V50" i="2" s="1"/>
  <c r="V51" i="2" s="1"/>
  <c r="V52" i="2" s="1"/>
  <c r="V53" i="2" s="1"/>
  <c r="V54" i="2" s="1"/>
  <c r="V55" i="2" s="1"/>
  <c r="V56" i="2" s="1"/>
  <c r="V57" i="2" s="1"/>
  <c r="V58" i="2" s="1"/>
  <c r="V59" i="2" s="1"/>
  <c r="V60" i="2" s="1"/>
  <c r="V61" i="2" s="1"/>
  <c r="V62" i="2" s="1"/>
  <c r="V63" i="2" s="1"/>
  <c r="V64" i="2" s="1"/>
  <c r="V65" i="2" s="1"/>
  <c r="V66" i="2" s="1"/>
  <c r="V67" i="2" s="1"/>
  <c r="V68" i="2" s="1"/>
  <c r="V69" i="2" s="1"/>
  <c r="V70" i="2" s="1"/>
  <c r="V71" i="2" s="1"/>
  <c r="V72" i="2" s="1"/>
  <c r="V73" i="2" s="1"/>
  <c r="V74" i="2" s="1"/>
  <c r="V75" i="2" s="1"/>
  <c r="V76" i="2" s="1"/>
  <c r="V77" i="2" s="1"/>
  <c r="V78" i="2" s="1"/>
  <c r="V79" i="2" s="1"/>
  <c r="V80" i="2" s="1"/>
  <c r="V81" i="2" s="1"/>
  <c r="V4" i="2"/>
  <c r="Q86" i="2"/>
  <c r="Q87" i="2" s="1"/>
  <c r="Q88" i="2" s="1"/>
  <c r="Q89" i="2" s="1"/>
  <c r="Q90" i="2" s="1"/>
  <c r="Q91" i="2" s="1"/>
  <c r="Q92" i="2" s="1"/>
  <c r="Q93" i="2" s="1"/>
  <c r="Q94" i="2" s="1"/>
  <c r="Q95" i="2" s="1"/>
  <c r="Q4" i="2"/>
  <c r="Q5" i="2" s="1"/>
  <c r="Q6" i="2" s="1"/>
  <c r="Q7" i="2" s="1"/>
  <c r="Q8" i="2" s="1"/>
  <c r="Q11" i="2" s="1"/>
  <c r="Q12" i="2" s="1"/>
  <c r="Q13" i="2" s="1"/>
  <c r="Q14" i="2" s="1"/>
  <c r="Q15" i="2" s="1"/>
  <c r="Q16" i="2" s="1"/>
  <c r="Q17" i="2" s="1"/>
  <c r="Q18" i="2" s="1"/>
  <c r="Q19" i="2" s="1"/>
  <c r="Q20" i="2" s="1"/>
  <c r="Q21" i="2" s="1"/>
  <c r="Q23" i="2" s="1"/>
  <c r="Q24" i="2" s="1"/>
  <c r="Q25" i="2" s="1"/>
  <c r="Q26" i="2" s="1"/>
  <c r="Q27" i="2" s="1"/>
  <c r="Q28" i="2" s="1"/>
  <c r="Q29" i="2" s="1"/>
  <c r="Q30" i="2" s="1"/>
  <c r="Q31" i="2" s="1"/>
  <c r="Q32" i="2" s="1"/>
  <c r="Q33" i="2" s="1"/>
  <c r="Q34" i="2" s="1"/>
  <c r="Q35" i="2" s="1"/>
  <c r="Q36" i="2" s="1"/>
  <c r="Q37" i="2" s="1"/>
  <c r="Q38" i="2" s="1"/>
  <c r="Q39" i="2" s="1"/>
  <c r="Q40" i="2" s="1"/>
  <c r="Q41" i="2" s="1"/>
  <c r="Q42" i="2" s="1"/>
  <c r="Q43" i="2" s="1"/>
  <c r="Q48" i="2" s="1"/>
  <c r="Q49" i="2" s="1"/>
  <c r="Q50" i="2" s="1"/>
  <c r="Q51" i="2" s="1"/>
  <c r="Q52" i="2" s="1"/>
  <c r="Q53" i="2" s="1"/>
  <c r="Q54" i="2" s="1"/>
  <c r="Q55" i="2" s="1"/>
  <c r="Q56" i="2" s="1"/>
  <c r="Q57" i="2" s="1"/>
  <c r="Q58" i="2" s="1"/>
  <c r="Q59" i="2" s="1"/>
  <c r="Q60" i="2" s="1"/>
  <c r="Q61" i="2" s="1"/>
  <c r="Q62" i="2" s="1"/>
  <c r="Q63" i="2" s="1"/>
  <c r="Q64" i="2" s="1"/>
  <c r="Q65" i="2" s="1"/>
  <c r="Q66" i="2" s="1"/>
  <c r="Q67" i="2" s="1"/>
  <c r="Q68" i="2" s="1"/>
  <c r="Q69" i="2" s="1"/>
  <c r="Q70" i="2" s="1"/>
  <c r="Q71" i="2" s="1"/>
  <c r="Q72" i="2" s="1"/>
  <c r="Q73" i="2" s="1"/>
  <c r="Q74" i="2" s="1"/>
  <c r="Q75" i="2" s="1"/>
  <c r="Q76" i="2" s="1"/>
  <c r="Q77" i="2" s="1"/>
  <c r="Q78" i="2" s="1"/>
  <c r="Q79" i="2" s="1"/>
  <c r="Q80" i="2" s="1"/>
  <c r="Q81" i="2" s="1"/>
  <c r="Q82" i="2" s="1"/>
  <c r="Q83" i="2" s="1"/>
  <c r="Q84" i="2" s="1"/>
  <c r="Q85" i="2" s="1"/>
  <c r="Q44" i="2" l="1"/>
  <c r="Q45" i="2" s="1"/>
  <c r="Q46" i="2" s="1"/>
  <c r="C31" i="1" l="1"/>
  <c r="D4" i="12" s="1"/>
  <c r="P48" i="12"/>
  <c r="P47" i="12"/>
  <c r="P46" i="12"/>
  <c r="P45" i="12"/>
  <c r="P44" i="12"/>
  <c r="P43" i="12"/>
  <c r="P42" i="12"/>
  <c r="P41" i="12"/>
  <c r="P40" i="12"/>
  <c r="P39" i="12"/>
  <c r="P38" i="12"/>
  <c r="P37" i="12"/>
  <c r="P36" i="12"/>
  <c r="P35" i="12"/>
  <c r="P34" i="12"/>
  <c r="P33" i="12"/>
  <c r="P32" i="12"/>
  <c r="P31" i="12"/>
  <c r="P30" i="12"/>
  <c r="P29" i="12"/>
  <c r="P28" i="12"/>
  <c r="P7" i="12"/>
  <c r="P8" i="12"/>
  <c r="P9" i="12"/>
  <c r="P10" i="12"/>
  <c r="P11" i="12"/>
  <c r="P12" i="12"/>
  <c r="P13" i="12"/>
  <c r="P14" i="12"/>
  <c r="P15" i="12"/>
  <c r="P16" i="12"/>
  <c r="P17" i="12"/>
  <c r="P18" i="12"/>
  <c r="P19" i="12"/>
  <c r="P20" i="12"/>
  <c r="P21" i="12"/>
  <c r="P22" i="12"/>
  <c r="P23" i="12"/>
  <c r="P24" i="12"/>
  <c r="P25" i="12"/>
  <c r="P26" i="12"/>
  <c r="P6" i="12"/>
  <c r="J101" i="1"/>
  <c r="H100" i="1" s="1"/>
  <c r="B93" i="1" l="1"/>
  <c r="J94" i="1" s="1"/>
  <c r="I100" i="1" l="1"/>
  <c r="J102" i="1" l="1"/>
  <c r="J103" i="1"/>
  <c r="H101" i="1"/>
  <c r="B92" i="1" l="1"/>
  <c r="I101" i="1" l="1"/>
  <c r="K92" i="1"/>
  <c r="H103" i="1" l="1"/>
  <c r="H102" i="1"/>
  <c r="B94" i="1"/>
  <c r="J90" i="1" s="1"/>
  <c r="I103" i="1" l="1"/>
  <c r="I102" i="1"/>
  <c r="B101" i="1" l="1"/>
  <c r="B100" i="1"/>
  <c r="B51" i="12" l="1"/>
  <c r="B36" i="1" l="1"/>
  <c r="D30" i="1"/>
  <c r="C30" i="1"/>
  <c r="B30" i="1"/>
  <c r="B50" i="12"/>
  <c r="B95" i="1" l="1"/>
  <c r="B4" i="12"/>
  <c r="C5" i="8"/>
  <c r="B48" i="12"/>
  <c r="K48" i="12" s="1"/>
  <c r="A48" i="12"/>
  <c r="B47" i="12"/>
  <c r="K47" i="12" s="1"/>
  <c r="B26" i="12"/>
  <c r="K26" i="12" s="1"/>
  <c r="K96" i="1" l="1"/>
  <c r="C100" i="1"/>
  <c r="F100" i="1" s="1"/>
  <c r="B73" i="1"/>
  <c r="A29" i="12" l="1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28" i="12"/>
  <c r="B6" i="12" l="1"/>
  <c r="K6" i="12" s="1"/>
  <c r="B28" i="12" l="1"/>
  <c r="K28" i="12" s="1"/>
  <c r="A50" i="12"/>
  <c r="B25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8" i="12"/>
  <c r="A9" i="12"/>
  <c r="A7" i="12"/>
  <c r="A51" i="12" l="1"/>
  <c r="K25" i="12"/>
  <c r="B7" i="12"/>
  <c r="K7" i="12" s="1"/>
  <c r="B29" i="12"/>
  <c r="K29" i="12" s="1"/>
  <c r="B61" i="1"/>
  <c r="B36" i="2"/>
  <c r="B30" i="12" l="1"/>
  <c r="K30" i="12" s="1"/>
  <c r="B8" i="12"/>
  <c r="K8" i="12" s="1"/>
  <c r="B39" i="2"/>
  <c r="B38" i="2"/>
  <c r="B37" i="2"/>
  <c r="B35" i="2"/>
  <c r="B34" i="2"/>
  <c r="B31" i="12" l="1"/>
  <c r="B9" i="12"/>
  <c r="K9" i="12" s="1"/>
  <c r="B32" i="12" l="1"/>
  <c r="K32" i="12" s="1"/>
  <c r="K31" i="12"/>
  <c r="B10" i="12"/>
  <c r="K10" i="12" s="1"/>
  <c r="B33" i="12"/>
  <c r="K33" i="12" s="1"/>
  <c r="F4" i="1"/>
  <c r="F6" i="1" l="1"/>
  <c r="B11" i="12"/>
  <c r="K11" i="12" s="1"/>
  <c r="O6" i="12"/>
  <c r="B34" i="12"/>
  <c r="K34" i="12" s="1"/>
  <c r="B42" i="1"/>
  <c r="B44" i="1" s="1"/>
  <c r="C39" i="1"/>
  <c r="B39" i="1"/>
  <c r="B38" i="1"/>
  <c r="L4" i="12" s="1"/>
  <c r="B26" i="1"/>
  <c r="O47" i="12" l="1"/>
  <c r="O48" i="12"/>
  <c r="O28" i="12"/>
  <c r="O29" i="12"/>
  <c r="O30" i="12"/>
  <c r="H29" i="12"/>
  <c r="H47" i="12"/>
  <c r="H30" i="12"/>
  <c r="H31" i="12"/>
  <c r="H48" i="12"/>
  <c r="H28" i="12"/>
  <c r="O31" i="12"/>
  <c r="O32" i="12"/>
  <c r="H32" i="12"/>
  <c r="H33" i="12"/>
  <c r="O33" i="12"/>
  <c r="O34" i="12"/>
  <c r="H34" i="12"/>
  <c r="H10" i="12"/>
  <c r="O10" i="12"/>
  <c r="O25" i="12"/>
  <c r="O7" i="12"/>
  <c r="H7" i="12"/>
  <c r="H8" i="12"/>
  <c r="O8" i="12"/>
  <c r="H9" i="12"/>
  <c r="O9" i="12"/>
  <c r="H11" i="12"/>
  <c r="O11" i="12"/>
  <c r="B12" i="12"/>
  <c r="K12" i="12" s="1"/>
  <c r="H26" i="12"/>
  <c r="H6" i="12"/>
  <c r="H25" i="12"/>
  <c r="O26" i="12"/>
  <c r="B35" i="12"/>
  <c r="K35" i="12" s="1"/>
  <c r="B40" i="1"/>
  <c r="B45" i="1" s="1"/>
  <c r="C99" i="1" l="1"/>
  <c r="C102" i="1"/>
  <c r="F102" i="1" s="1"/>
  <c r="C101" i="1"/>
  <c r="F101" i="1" s="1"/>
  <c r="O35" i="12"/>
  <c r="H35" i="12"/>
  <c r="O12" i="12"/>
  <c r="H12" i="12"/>
  <c r="B13" i="12"/>
  <c r="K13" i="12" s="1"/>
  <c r="B36" i="12"/>
  <c r="K36" i="12" s="1"/>
  <c r="E99" i="1" l="1"/>
  <c r="F99" i="1"/>
  <c r="D102" i="1"/>
  <c r="D101" i="1"/>
  <c r="D100" i="1"/>
  <c r="E100" i="1"/>
  <c r="E101" i="1"/>
  <c r="E102" i="1"/>
  <c r="O36" i="12"/>
  <c r="H36" i="12"/>
  <c r="O13" i="12"/>
  <c r="H13" i="12"/>
  <c r="B14" i="12"/>
  <c r="K14" i="12" s="1"/>
  <c r="B37" i="12"/>
  <c r="K37" i="12" s="1"/>
  <c r="B96" i="1" l="1"/>
  <c r="K97" i="1" s="1"/>
  <c r="O37" i="12"/>
  <c r="H37" i="12"/>
  <c r="H14" i="12"/>
  <c r="O14" i="12"/>
  <c r="B15" i="12"/>
  <c r="K15" i="12" s="1"/>
  <c r="B38" i="12"/>
  <c r="K38" i="12" s="1"/>
  <c r="O38" i="12" l="1"/>
  <c r="H38" i="12"/>
  <c r="H15" i="12"/>
  <c r="O15" i="12"/>
  <c r="B16" i="12"/>
  <c r="B39" i="12"/>
  <c r="K39" i="12" s="1"/>
  <c r="H16" i="12" l="1"/>
  <c r="K16" i="12"/>
  <c r="O39" i="12"/>
  <c r="H39" i="12"/>
  <c r="O16" i="12"/>
  <c r="B17" i="12"/>
  <c r="K17" i="12" s="1"/>
  <c r="B40" i="12"/>
  <c r="K40" i="12" s="1"/>
  <c r="O40" i="12" l="1"/>
  <c r="H40" i="12"/>
  <c r="H17" i="12"/>
  <c r="O17" i="12"/>
  <c r="B18" i="12"/>
  <c r="K18" i="12" s="1"/>
  <c r="B41" i="12"/>
  <c r="K41" i="12" s="1"/>
  <c r="O41" i="12" l="1"/>
  <c r="H41" i="12"/>
  <c r="H18" i="12"/>
  <c r="O18" i="12"/>
  <c r="B19" i="12"/>
  <c r="K19" i="12" s="1"/>
  <c r="B42" i="12"/>
  <c r="K42" i="12" s="1"/>
  <c r="O42" i="12" l="1"/>
  <c r="H42" i="12"/>
  <c r="O19" i="12"/>
  <c r="H19" i="12"/>
  <c r="B20" i="12"/>
  <c r="K20" i="12" s="1"/>
  <c r="B43" i="12"/>
  <c r="K43" i="12" s="1"/>
  <c r="O43" i="12" l="1"/>
  <c r="H43" i="12"/>
  <c r="O20" i="12"/>
  <c r="H20" i="12"/>
  <c r="B21" i="12"/>
  <c r="K21" i="12" s="1"/>
  <c r="B44" i="12"/>
  <c r="K44" i="12" s="1"/>
  <c r="O44" i="12" l="1"/>
  <c r="H44" i="12"/>
  <c r="H21" i="12"/>
  <c r="O21" i="12"/>
  <c r="B22" i="12"/>
  <c r="K22" i="12" s="1"/>
  <c r="B45" i="12"/>
  <c r="K45" i="12" s="1"/>
  <c r="O45" i="12" l="1"/>
  <c r="H45" i="12"/>
  <c r="H22" i="12"/>
  <c r="O22" i="12"/>
  <c r="B23" i="12"/>
  <c r="K23" i="12" s="1"/>
  <c r="B46" i="12"/>
  <c r="K46" i="12" s="1"/>
  <c r="O46" i="12" l="1"/>
  <c r="H46" i="12"/>
  <c r="O23" i="12"/>
  <c r="H23" i="12"/>
  <c r="B24" i="12"/>
  <c r="K24" i="12" s="1"/>
  <c r="O24" i="12" l="1"/>
  <c r="H24" i="12"/>
  <c r="B15" i="8" l="1"/>
  <c r="B12" i="8" l="1"/>
  <c r="B13" i="8" s="1"/>
  <c r="B12" i="2" l="1"/>
  <c r="D12" i="2"/>
  <c r="C12" i="2"/>
  <c r="D5" i="2"/>
  <c r="B5" i="2"/>
  <c r="B17" i="8" l="1"/>
  <c r="F5" i="1"/>
  <c r="B32" i="1"/>
  <c r="C32" i="1"/>
  <c r="D32" i="1"/>
  <c r="B33" i="1"/>
  <c r="C33" i="1"/>
  <c r="D33" i="1"/>
  <c r="B35" i="1"/>
  <c r="E36" i="1"/>
  <c r="B43" i="1"/>
  <c r="B48" i="1"/>
  <c r="B49" i="1"/>
  <c r="B50" i="1"/>
  <c r="B51" i="1"/>
  <c r="B52" i="1"/>
  <c r="B55" i="1"/>
  <c r="B58" i="1"/>
  <c r="B59" i="1"/>
  <c r="B62" i="1"/>
  <c r="B65" i="1"/>
  <c r="B67" i="1"/>
  <c r="B70" i="1"/>
  <c r="B71" i="1"/>
  <c r="B74" i="1"/>
  <c r="B75" i="1"/>
  <c r="B76" i="1"/>
  <c r="B77" i="1"/>
  <c r="B78" i="1"/>
  <c r="B80" i="1"/>
  <c r="C6" i="12"/>
  <c r="D6" i="12"/>
  <c r="E6" i="12"/>
  <c r="F6" i="12"/>
  <c r="G6" i="12"/>
  <c r="I6" i="12"/>
  <c r="J6" i="12"/>
  <c r="L6" i="12"/>
  <c r="M6" i="12"/>
  <c r="N6" i="12"/>
  <c r="Q6" i="12"/>
  <c r="R6" i="12"/>
  <c r="S6" i="12"/>
  <c r="T6" i="12"/>
  <c r="U6" i="12"/>
  <c r="V6" i="12"/>
  <c r="W6" i="12"/>
  <c r="X6" i="12"/>
  <c r="Y6" i="12"/>
  <c r="Z6" i="12"/>
  <c r="AA6" i="12"/>
  <c r="C7" i="12"/>
  <c r="D7" i="12"/>
  <c r="E7" i="12"/>
  <c r="F7" i="12"/>
  <c r="G7" i="12"/>
  <c r="I7" i="12"/>
  <c r="J7" i="12"/>
  <c r="L7" i="12"/>
  <c r="M7" i="12"/>
  <c r="N7" i="12"/>
  <c r="Q7" i="12"/>
  <c r="R7" i="12"/>
  <c r="S7" i="12"/>
  <c r="T7" i="12"/>
  <c r="U7" i="12"/>
  <c r="V7" i="12"/>
  <c r="W7" i="12"/>
  <c r="X7" i="12"/>
  <c r="Y7" i="12"/>
  <c r="Z7" i="12"/>
  <c r="AA7" i="12"/>
  <c r="C8" i="12"/>
  <c r="D8" i="12"/>
  <c r="E8" i="12"/>
  <c r="F8" i="12"/>
  <c r="G8" i="12"/>
  <c r="I8" i="12"/>
  <c r="J8" i="12"/>
  <c r="L8" i="12"/>
  <c r="M8" i="12"/>
  <c r="N8" i="12"/>
  <c r="Q8" i="12"/>
  <c r="R8" i="12"/>
  <c r="S8" i="12"/>
  <c r="T8" i="12"/>
  <c r="U8" i="12"/>
  <c r="V8" i="12"/>
  <c r="W8" i="12"/>
  <c r="X8" i="12"/>
  <c r="Y8" i="12"/>
  <c r="Z8" i="12"/>
  <c r="AA8" i="12"/>
  <c r="C9" i="12"/>
  <c r="D9" i="12"/>
  <c r="E9" i="12"/>
  <c r="F9" i="12"/>
  <c r="G9" i="12"/>
  <c r="I9" i="12"/>
  <c r="J9" i="12"/>
  <c r="L9" i="12"/>
  <c r="M9" i="12"/>
  <c r="N9" i="12"/>
  <c r="Q9" i="12"/>
  <c r="R9" i="12"/>
  <c r="S9" i="12"/>
  <c r="T9" i="12"/>
  <c r="U9" i="12"/>
  <c r="V9" i="12"/>
  <c r="W9" i="12"/>
  <c r="X9" i="12"/>
  <c r="Y9" i="12"/>
  <c r="Z9" i="12"/>
  <c r="AA9" i="12"/>
  <c r="C10" i="12"/>
  <c r="D10" i="12"/>
  <c r="E10" i="12"/>
  <c r="F10" i="12"/>
  <c r="G10" i="12"/>
  <c r="I10" i="12"/>
  <c r="J10" i="12"/>
  <c r="L10" i="12"/>
  <c r="M10" i="12"/>
  <c r="N10" i="12"/>
  <c r="Q10" i="12"/>
  <c r="R10" i="12"/>
  <c r="S10" i="12"/>
  <c r="T10" i="12"/>
  <c r="U10" i="12"/>
  <c r="V10" i="12"/>
  <c r="W10" i="12"/>
  <c r="X10" i="12"/>
  <c r="Y10" i="12"/>
  <c r="Z10" i="12"/>
  <c r="AA10" i="12"/>
  <c r="C11" i="12"/>
  <c r="D11" i="12"/>
  <c r="E11" i="12"/>
  <c r="F11" i="12"/>
  <c r="G11" i="12"/>
  <c r="I11" i="12"/>
  <c r="J11" i="12"/>
  <c r="L11" i="12"/>
  <c r="M11" i="12"/>
  <c r="N11" i="12"/>
  <c r="Q11" i="12"/>
  <c r="R11" i="12"/>
  <c r="S11" i="12"/>
  <c r="T11" i="12"/>
  <c r="U11" i="12"/>
  <c r="V11" i="12"/>
  <c r="W11" i="12"/>
  <c r="X11" i="12"/>
  <c r="Y11" i="12"/>
  <c r="Z11" i="12"/>
  <c r="AA11" i="12"/>
  <c r="C12" i="12"/>
  <c r="D12" i="12"/>
  <c r="E12" i="12"/>
  <c r="F12" i="12"/>
  <c r="G12" i="12"/>
  <c r="I12" i="12"/>
  <c r="J12" i="12"/>
  <c r="L12" i="12"/>
  <c r="M12" i="12"/>
  <c r="N12" i="12"/>
  <c r="Q12" i="12"/>
  <c r="R12" i="12"/>
  <c r="S12" i="12"/>
  <c r="T12" i="12"/>
  <c r="U12" i="12"/>
  <c r="V12" i="12"/>
  <c r="W12" i="12"/>
  <c r="X12" i="12"/>
  <c r="Y12" i="12"/>
  <c r="Z12" i="12"/>
  <c r="AA12" i="12"/>
  <c r="C13" i="12"/>
  <c r="D13" i="12"/>
  <c r="E13" i="12"/>
  <c r="F13" i="12"/>
  <c r="G13" i="12"/>
  <c r="I13" i="12"/>
  <c r="J13" i="12"/>
  <c r="L13" i="12"/>
  <c r="M13" i="12"/>
  <c r="N13" i="12"/>
  <c r="Q13" i="12"/>
  <c r="R13" i="12"/>
  <c r="S13" i="12"/>
  <c r="T13" i="12"/>
  <c r="U13" i="12"/>
  <c r="V13" i="12"/>
  <c r="W13" i="12"/>
  <c r="X13" i="12"/>
  <c r="Y13" i="12"/>
  <c r="Z13" i="12"/>
  <c r="AA13" i="12"/>
  <c r="C14" i="12"/>
  <c r="D14" i="12"/>
  <c r="E14" i="12"/>
  <c r="F14" i="12"/>
  <c r="G14" i="12"/>
  <c r="I14" i="12"/>
  <c r="J14" i="12"/>
  <c r="L14" i="12"/>
  <c r="M14" i="12"/>
  <c r="N14" i="12"/>
  <c r="Q14" i="12"/>
  <c r="R14" i="12"/>
  <c r="S14" i="12"/>
  <c r="T14" i="12"/>
  <c r="U14" i="12"/>
  <c r="V14" i="12"/>
  <c r="W14" i="12"/>
  <c r="X14" i="12"/>
  <c r="Y14" i="12"/>
  <c r="Z14" i="12"/>
  <c r="AA14" i="12"/>
  <c r="C15" i="12"/>
  <c r="D15" i="12"/>
  <c r="E15" i="12"/>
  <c r="F15" i="12"/>
  <c r="G15" i="12"/>
  <c r="I15" i="12"/>
  <c r="J15" i="12"/>
  <c r="L15" i="12"/>
  <c r="M15" i="12"/>
  <c r="N15" i="12"/>
  <c r="Q15" i="12"/>
  <c r="R15" i="12"/>
  <c r="S15" i="12"/>
  <c r="T15" i="12"/>
  <c r="U15" i="12"/>
  <c r="V15" i="12"/>
  <c r="W15" i="12"/>
  <c r="X15" i="12"/>
  <c r="Y15" i="12"/>
  <c r="Z15" i="12"/>
  <c r="AA15" i="12"/>
  <c r="C16" i="12"/>
  <c r="D16" i="12"/>
  <c r="E16" i="12"/>
  <c r="F16" i="12"/>
  <c r="G16" i="12"/>
  <c r="I16" i="12"/>
  <c r="J16" i="12"/>
  <c r="L16" i="12"/>
  <c r="M16" i="12"/>
  <c r="N16" i="12"/>
  <c r="Q16" i="12"/>
  <c r="R16" i="12"/>
  <c r="S16" i="12"/>
  <c r="T16" i="12"/>
  <c r="U16" i="12"/>
  <c r="V16" i="12"/>
  <c r="W16" i="12"/>
  <c r="X16" i="12"/>
  <c r="Y16" i="12"/>
  <c r="Z16" i="12"/>
  <c r="AA16" i="12"/>
  <c r="C17" i="12"/>
  <c r="D17" i="12"/>
  <c r="E17" i="12"/>
  <c r="F17" i="12"/>
  <c r="G17" i="12"/>
  <c r="I17" i="12"/>
  <c r="J17" i="12"/>
  <c r="L17" i="12"/>
  <c r="M17" i="12"/>
  <c r="N17" i="12"/>
  <c r="Q17" i="12"/>
  <c r="R17" i="12"/>
  <c r="S17" i="12"/>
  <c r="T17" i="12"/>
  <c r="U17" i="12"/>
  <c r="V17" i="12"/>
  <c r="W17" i="12"/>
  <c r="X17" i="12"/>
  <c r="Y17" i="12"/>
  <c r="Z17" i="12"/>
  <c r="AA17" i="12"/>
  <c r="C18" i="12"/>
  <c r="D18" i="12"/>
  <c r="E18" i="12"/>
  <c r="F18" i="12"/>
  <c r="G18" i="12"/>
  <c r="I18" i="12"/>
  <c r="J18" i="12"/>
  <c r="L18" i="12"/>
  <c r="M18" i="12"/>
  <c r="N18" i="12"/>
  <c r="Q18" i="12"/>
  <c r="R18" i="12"/>
  <c r="S18" i="12"/>
  <c r="T18" i="12"/>
  <c r="U18" i="12"/>
  <c r="V18" i="12"/>
  <c r="W18" i="12"/>
  <c r="X18" i="12"/>
  <c r="Y18" i="12"/>
  <c r="Z18" i="12"/>
  <c r="AA18" i="12"/>
  <c r="C19" i="12"/>
  <c r="D19" i="12"/>
  <c r="E19" i="12"/>
  <c r="F19" i="12"/>
  <c r="G19" i="12"/>
  <c r="I19" i="12"/>
  <c r="J19" i="12"/>
  <c r="L19" i="12"/>
  <c r="M19" i="12"/>
  <c r="N19" i="12"/>
  <c r="Q19" i="12"/>
  <c r="R19" i="12"/>
  <c r="S19" i="12"/>
  <c r="T19" i="12"/>
  <c r="U19" i="12"/>
  <c r="V19" i="12"/>
  <c r="W19" i="12"/>
  <c r="X19" i="12"/>
  <c r="Y19" i="12"/>
  <c r="Z19" i="12"/>
  <c r="AA19" i="12"/>
  <c r="C20" i="12"/>
  <c r="D20" i="12"/>
  <c r="E20" i="12"/>
  <c r="F20" i="12"/>
  <c r="G20" i="12"/>
  <c r="I20" i="12"/>
  <c r="J20" i="12"/>
  <c r="L20" i="12"/>
  <c r="M20" i="12"/>
  <c r="N20" i="12"/>
  <c r="Q20" i="12"/>
  <c r="R20" i="12"/>
  <c r="S20" i="12"/>
  <c r="T20" i="12"/>
  <c r="U20" i="12"/>
  <c r="V20" i="12"/>
  <c r="W20" i="12"/>
  <c r="X20" i="12"/>
  <c r="Y20" i="12"/>
  <c r="Z20" i="12"/>
  <c r="AA20" i="12"/>
  <c r="C21" i="12"/>
  <c r="D21" i="12"/>
  <c r="E21" i="12"/>
  <c r="F21" i="12"/>
  <c r="G21" i="12"/>
  <c r="I21" i="12"/>
  <c r="J21" i="12"/>
  <c r="L21" i="12"/>
  <c r="M21" i="12"/>
  <c r="N21" i="12"/>
  <c r="Q21" i="12"/>
  <c r="R21" i="12"/>
  <c r="S21" i="12"/>
  <c r="T21" i="12"/>
  <c r="U21" i="12"/>
  <c r="V21" i="12"/>
  <c r="W21" i="12"/>
  <c r="X21" i="12"/>
  <c r="Y21" i="12"/>
  <c r="Z21" i="12"/>
  <c r="AA21" i="12"/>
  <c r="C22" i="12"/>
  <c r="D22" i="12"/>
  <c r="E22" i="12"/>
  <c r="F22" i="12"/>
  <c r="G22" i="12"/>
  <c r="I22" i="12"/>
  <c r="J22" i="12"/>
  <c r="L22" i="12"/>
  <c r="M22" i="12"/>
  <c r="N22" i="12"/>
  <c r="Q22" i="12"/>
  <c r="R22" i="12"/>
  <c r="S22" i="12"/>
  <c r="T22" i="12"/>
  <c r="U22" i="12"/>
  <c r="V22" i="12"/>
  <c r="W22" i="12"/>
  <c r="X22" i="12"/>
  <c r="Y22" i="12"/>
  <c r="Z22" i="12"/>
  <c r="AA22" i="12"/>
  <c r="C23" i="12"/>
  <c r="D23" i="12"/>
  <c r="E23" i="12"/>
  <c r="F23" i="12"/>
  <c r="G23" i="12"/>
  <c r="I23" i="12"/>
  <c r="J23" i="12"/>
  <c r="L23" i="12"/>
  <c r="M23" i="12"/>
  <c r="N23" i="12"/>
  <c r="Q23" i="12"/>
  <c r="R23" i="12"/>
  <c r="S23" i="12"/>
  <c r="T23" i="12"/>
  <c r="U23" i="12"/>
  <c r="V23" i="12"/>
  <c r="W23" i="12"/>
  <c r="X23" i="12"/>
  <c r="Y23" i="12"/>
  <c r="Z23" i="12"/>
  <c r="AA23" i="12"/>
  <c r="C24" i="12"/>
  <c r="D24" i="12"/>
  <c r="E24" i="12"/>
  <c r="F24" i="12"/>
  <c r="G24" i="12"/>
  <c r="I24" i="12"/>
  <c r="J24" i="12"/>
  <c r="L24" i="12"/>
  <c r="M24" i="12"/>
  <c r="N24" i="12"/>
  <c r="Q24" i="12"/>
  <c r="R24" i="12"/>
  <c r="S24" i="12"/>
  <c r="T24" i="12"/>
  <c r="U24" i="12"/>
  <c r="V24" i="12"/>
  <c r="W24" i="12"/>
  <c r="X24" i="12"/>
  <c r="Y24" i="12"/>
  <c r="Z24" i="12"/>
  <c r="AA24" i="12"/>
  <c r="C25" i="12"/>
  <c r="D25" i="12"/>
  <c r="E25" i="12"/>
  <c r="F25" i="12"/>
  <c r="G25" i="12"/>
  <c r="I25" i="12"/>
  <c r="J25" i="12"/>
  <c r="L25" i="12"/>
  <c r="M25" i="12"/>
  <c r="N25" i="12"/>
  <c r="Q25" i="12"/>
  <c r="R25" i="12"/>
  <c r="S25" i="12"/>
  <c r="T25" i="12"/>
  <c r="U25" i="12"/>
  <c r="V25" i="12"/>
  <c r="W25" i="12"/>
  <c r="X25" i="12"/>
  <c r="Y25" i="12"/>
  <c r="Z25" i="12"/>
  <c r="AA25" i="12"/>
  <c r="C26" i="12"/>
  <c r="D26" i="12"/>
  <c r="E26" i="12"/>
  <c r="F26" i="12"/>
  <c r="G26" i="12"/>
  <c r="I26" i="12"/>
  <c r="J26" i="12"/>
  <c r="L26" i="12"/>
  <c r="M26" i="12"/>
  <c r="N26" i="12"/>
  <c r="Q26" i="12"/>
  <c r="R26" i="12"/>
  <c r="S26" i="12"/>
  <c r="T26" i="12"/>
  <c r="U26" i="12"/>
  <c r="V26" i="12"/>
  <c r="W26" i="12"/>
  <c r="X26" i="12"/>
  <c r="Y26" i="12"/>
  <c r="Z26" i="12"/>
  <c r="AA26" i="12"/>
  <c r="C28" i="12"/>
  <c r="D28" i="12"/>
  <c r="E28" i="12"/>
  <c r="F28" i="12"/>
  <c r="G28" i="12"/>
  <c r="I28" i="12"/>
  <c r="J28" i="12"/>
  <c r="L28" i="12"/>
  <c r="M28" i="12"/>
  <c r="N28" i="12"/>
  <c r="Q28" i="12"/>
  <c r="R28" i="12"/>
  <c r="S28" i="12"/>
  <c r="T28" i="12"/>
  <c r="U28" i="12"/>
  <c r="V28" i="12"/>
  <c r="W28" i="12"/>
  <c r="X28" i="12"/>
  <c r="Y28" i="12"/>
  <c r="Z28" i="12"/>
  <c r="AA28" i="12"/>
  <c r="C29" i="12"/>
  <c r="D29" i="12"/>
  <c r="E29" i="12"/>
  <c r="F29" i="12"/>
  <c r="G29" i="12"/>
  <c r="I29" i="12"/>
  <c r="J29" i="12"/>
  <c r="L29" i="12"/>
  <c r="M29" i="12"/>
  <c r="N29" i="12"/>
  <c r="Q29" i="12"/>
  <c r="R29" i="12"/>
  <c r="S29" i="12"/>
  <c r="T29" i="12"/>
  <c r="U29" i="12"/>
  <c r="V29" i="12"/>
  <c r="W29" i="12"/>
  <c r="X29" i="12"/>
  <c r="Y29" i="12"/>
  <c r="Z29" i="12"/>
  <c r="AA29" i="12"/>
  <c r="C30" i="12"/>
  <c r="D30" i="12"/>
  <c r="E30" i="12"/>
  <c r="F30" i="12"/>
  <c r="G30" i="12"/>
  <c r="I30" i="12"/>
  <c r="J30" i="12"/>
  <c r="L30" i="12"/>
  <c r="M30" i="12"/>
  <c r="N30" i="12"/>
  <c r="Q30" i="12"/>
  <c r="R30" i="12"/>
  <c r="S30" i="12"/>
  <c r="T30" i="12"/>
  <c r="U30" i="12"/>
  <c r="V30" i="12"/>
  <c r="W30" i="12"/>
  <c r="X30" i="12"/>
  <c r="Y30" i="12"/>
  <c r="Z30" i="12"/>
  <c r="AA30" i="12"/>
  <c r="C31" i="12"/>
  <c r="D31" i="12"/>
  <c r="E31" i="12"/>
  <c r="F31" i="12"/>
  <c r="G31" i="12"/>
  <c r="I31" i="12"/>
  <c r="J31" i="12"/>
  <c r="L31" i="12"/>
  <c r="M31" i="12"/>
  <c r="N31" i="12"/>
  <c r="Q31" i="12"/>
  <c r="R31" i="12"/>
  <c r="S31" i="12"/>
  <c r="T31" i="12"/>
  <c r="U31" i="12"/>
  <c r="V31" i="12"/>
  <c r="W31" i="12"/>
  <c r="X31" i="12"/>
  <c r="Y31" i="12"/>
  <c r="Z31" i="12"/>
  <c r="AA31" i="12"/>
  <c r="C32" i="12"/>
  <c r="D32" i="12"/>
  <c r="E32" i="12"/>
  <c r="F32" i="12"/>
  <c r="G32" i="12"/>
  <c r="I32" i="12"/>
  <c r="J32" i="12"/>
  <c r="L32" i="12"/>
  <c r="M32" i="12"/>
  <c r="N32" i="12"/>
  <c r="Q32" i="12"/>
  <c r="R32" i="12"/>
  <c r="S32" i="12"/>
  <c r="T32" i="12"/>
  <c r="U32" i="12"/>
  <c r="V32" i="12"/>
  <c r="W32" i="12"/>
  <c r="X32" i="12"/>
  <c r="Y32" i="12"/>
  <c r="Z32" i="12"/>
  <c r="AA32" i="12"/>
  <c r="C33" i="12"/>
  <c r="D33" i="12"/>
  <c r="E33" i="12"/>
  <c r="F33" i="12"/>
  <c r="G33" i="12"/>
  <c r="I33" i="12"/>
  <c r="J33" i="12"/>
  <c r="L33" i="12"/>
  <c r="M33" i="12"/>
  <c r="N33" i="12"/>
  <c r="Q33" i="12"/>
  <c r="R33" i="12"/>
  <c r="S33" i="12"/>
  <c r="T33" i="12"/>
  <c r="U33" i="12"/>
  <c r="V33" i="12"/>
  <c r="W33" i="12"/>
  <c r="X33" i="12"/>
  <c r="Y33" i="12"/>
  <c r="Z33" i="12"/>
  <c r="AA33" i="12"/>
  <c r="C34" i="12"/>
  <c r="D34" i="12"/>
  <c r="E34" i="12"/>
  <c r="F34" i="12"/>
  <c r="G34" i="12"/>
  <c r="I34" i="12"/>
  <c r="J34" i="12"/>
  <c r="L34" i="12"/>
  <c r="M34" i="12"/>
  <c r="N34" i="12"/>
  <c r="Q34" i="12"/>
  <c r="R34" i="12"/>
  <c r="S34" i="12"/>
  <c r="T34" i="12"/>
  <c r="U34" i="12"/>
  <c r="V34" i="12"/>
  <c r="W34" i="12"/>
  <c r="X34" i="12"/>
  <c r="Y34" i="12"/>
  <c r="Z34" i="12"/>
  <c r="AA34" i="12"/>
  <c r="C35" i="12"/>
  <c r="D35" i="12"/>
  <c r="E35" i="12"/>
  <c r="F35" i="12"/>
  <c r="G35" i="12"/>
  <c r="I35" i="12"/>
  <c r="J35" i="12"/>
  <c r="L35" i="12"/>
  <c r="M35" i="12"/>
  <c r="N35" i="12"/>
  <c r="Q35" i="12"/>
  <c r="R35" i="12"/>
  <c r="S35" i="12"/>
  <c r="T35" i="12"/>
  <c r="U35" i="12"/>
  <c r="V35" i="12"/>
  <c r="W35" i="12"/>
  <c r="X35" i="12"/>
  <c r="Y35" i="12"/>
  <c r="Z35" i="12"/>
  <c r="AA35" i="12"/>
  <c r="C36" i="12"/>
  <c r="D36" i="12"/>
  <c r="E36" i="12"/>
  <c r="F36" i="12"/>
  <c r="G36" i="12"/>
  <c r="I36" i="12"/>
  <c r="J36" i="12"/>
  <c r="L36" i="12"/>
  <c r="M36" i="12"/>
  <c r="N36" i="12"/>
  <c r="Q36" i="12"/>
  <c r="R36" i="12"/>
  <c r="S36" i="12"/>
  <c r="T36" i="12"/>
  <c r="U36" i="12"/>
  <c r="V36" i="12"/>
  <c r="W36" i="12"/>
  <c r="X36" i="12"/>
  <c r="Y36" i="12"/>
  <c r="Z36" i="12"/>
  <c r="AA36" i="12"/>
  <c r="C37" i="12"/>
  <c r="D37" i="12"/>
  <c r="E37" i="12"/>
  <c r="F37" i="12"/>
  <c r="G37" i="12"/>
  <c r="I37" i="12"/>
  <c r="J37" i="12"/>
  <c r="L37" i="12"/>
  <c r="M37" i="12"/>
  <c r="N37" i="12"/>
  <c r="Q37" i="12"/>
  <c r="R37" i="12"/>
  <c r="S37" i="12"/>
  <c r="T37" i="12"/>
  <c r="U37" i="12"/>
  <c r="V37" i="12"/>
  <c r="W37" i="12"/>
  <c r="X37" i="12"/>
  <c r="Y37" i="12"/>
  <c r="Z37" i="12"/>
  <c r="AA37" i="12"/>
  <c r="C38" i="12"/>
  <c r="D38" i="12"/>
  <c r="E38" i="12"/>
  <c r="F38" i="12"/>
  <c r="G38" i="12"/>
  <c r="I38" i="12"/>
  <c r="J38" i="12"/>
  <c r="L38" i="12"/>
  <c r="M38" i="12"/>
  <c r="N38" i="12"/>
  <c r="Q38" i="12"/>
  <c r="R38" i="12"/>
  <c r="S38" i="12"/>
  <c r="T38" i="12"/>
  <c r="U38" i="12"/>
  <c r="V38" i="12"/>
  <c r="W38" i="12"/>
  <c r="X38" i="12"/>
  <c r="Y38" i="12"/>
  <c r="Z38" i="12"/>
  <c r="AA38" i="12"/>
  <c r="C39" i="12"/>
  <c r="D39" i="12"/>
  <c r="E39" i="12"/>
  <c r="F39" i="12"/>
  <c r="G39" i="12"/>
  <c r="I39" i="12"/>
  <c r="J39" i="12"/>
  <c r="L39" i="12"/>
  <c r="M39" i="12"/>
  <c r="N39" i="12"/>
  <c r="Q39" i="12"/>
  <c r="R39" i="12"/>
  <c r="S39" i="12"/>
  <c r="T39" i="12"/>
  <c r="U39" i="12"/>
  <c r="V39" i="12"/>
  <c r="W39" i="12"/>
  <c r="X39" i="12"/>
  <c r="Y39" i="12"/>
  <c r="Z39" i="12"/>
  <c r="AA39" i="12"/>
  <c r="C40" i="12"/>
  <c r="D40" i="12"/>
  <c r="E40" i="12"/>
  <c r="F40" i="12"/>
  <c r="G40" i="12"/>
  <c r="I40" i="12"/>
  <c r="J40" i="12"/>
  <c r="L40" i="12"/>
  <c r="M40" i="12"/>
  <c r="N40" i="12"/>
  <c r="Q40" i="12"/>
  <c r="R40" i="12"/>
  <c r="S40" i="12"/>
  <c r="T40" i="12"/>
  <c r="U40" i="12"/>
  <c r="V40" i="12"/>
  <c r="W40" i="12"/>
  <c r="X40" i="12"/>
  <c r="Y40" i="12"/>
  <c r="Z40" i="12"/>
  <c r="AA40" i="12"/>
  <c r="C41" i="12"/>
  <c r="D41" i="12"/>
  <c r="E41" i="12"/>
  <c r="F41" i="12"/>
  <c r="G41" i="12"/>
  <c r="I41" i="12"/>
  <c r="J41" i="12"/>
  <c r="L41" i="12"/>
  <c r="M41" i="12"/>
  <c r="N41" i="12"/>
  <c r="Q41" i="12"/>
  <c r="R41" i="12"/>
  <c r="S41" i="12"/>
  <c r="T41" i="12"/>
  <c r="U41" i="12"/>
  <c r="V41" i="12"/>
  <c r="W41" i="12"/>
  <c r="X41" i="12"/>
  <c r="Y41" i="12"/>
  <c r="Z41" i="12"/>
  <c r="AA41" i="12"/>
  <c r="C42" i="12"/>
  <c r="D42" i="12"/>
  <c r="E42" i="12"/>
  <c r="F42" i="12"/>
  <c r="G42" i="12"/>
  <c r="I42" i="12"/>
  <c r="J42" i="12"/>
  <c r="L42" i="12"/>
  <c r="M42" i="12"/>
  <c r="N42" i="12"/>
  <c r="Q42" i="12"/>
  <c r="R42" i="12"/>
  <c r="S42" i="12"/>
  <c r="T42" i="12"/>
  <c r="U42" i="12"/>
  <c r="V42" i="12"/>
  <c r="W42" i="12"/>
  <c r="X42" i="12"/>
  <c r="Y42" i="12"/>
  <c r="Z42" i="12"/>
  <c r="AA42" i="12"/>
  <c r="C43" i="12"/>
  <c r="D43" i="12"/>
  <c r="E43" i="12"/>
  <c r="F43" i="12"/>
  <c r="G43" i="12"/>
  <c r="I43" i="12"/>
  <c r="J43" i="12"/>
  <c r="L43" i="12"/>
  <c r="M43" i="12"/>
  <c r="N43" i="12"/>
  <c r="Q43" i="12"/>
  <c r="R43" i="12"/>
  <c r="S43" i="12"/>
  <c r="T43" i="12"/>
  <c r="U43" i="12"/>
  <c r="V43" i="12"/>
  <c r="W43" i="12"/>
  <c r="X43" i="12"/>
  <c r="Y43" i="12"/>
  <c r="Z43" i="12"/>
  <c r="AA43" i="12"/>
  <c r="C44" i="12"/>
  <c r="D44" i="12"/>
  <c r="E44" i="12"/>
  <c r="F44" i="12"/>
  <c r="G44" i="12"/>
  <c r="I44" i="12"/>
  <c r="J44" i="12"/>
  <c r="L44" i="12"/>
  <c r="M44" i="12"/>
  <c r="N44" i="12"/>
  <c r="Q44" i="12"/>
  <c r="R44" i="12"/>
  <c r="S44" i="12"/>
  <c r="T44" i="12"/>
  <c r="U44" i="12"/>
  <c r="V44" i="12"/>
  <c r="W44" i="12"/>
  <c r="X44" i="12"/>
  <c r="Y44" i="12"/>
  <c r="Z44" i="12"/>
  <c r="AA44" i="12"/>
  <c r="C45" i="12"/>
  <c r="D45" i="12"/>
  <c r="E45" i="12"/>
  <c r="F45" i="12"/>
  <c r="G45" i="12"/>
  <c r="I45" i="12"/>
  <c r="J45" i="12"/>
  <c r="L45" i="12"/>
  <c r="M45" i="12"/>
  <c r="N45" i="12"/>
  <c r="Q45" i="12"/>
  <c r="R45" i="12"/>
  <c r="S45" i="12"/>
  <c r="T45" i="12"/>
  <c r="U45" i="12"/>
  <c r="V45" i="12"/>
  <c r="W45" i="12"/>
  <c r="X45" i="12"/>
  <c r="Y45" i="12"/>
  <c r="Z45" i="12"/>
  <c r="AA45" i="12"/>
  <c r="C46" i="12"/>
  <c r="D46" i="12"/>
  <c r="E46" i="12"/>
  <c r="F46" i="12"/>
  <c r="G46" i="12"/>
  <c r="I46" i="12"/>
  <c r="J46" i="12"/>
  <c r="L46" i="12"/>
  <c r="M46" i="12"/>
  <c r="N46" i="12"/>
  <c r="Q46" i="12"/>
  <c r="R46" i="12"/>
  <c r="S46" i="12"/>
  <c r="T46" i="12"/>
  <c r="U46" i="12"/>
  <c r="V46" i="12"/>
  <c r="W46" i="12"/>
  <c r="X46" i="12"/>
  <c r="Y46" i="12"/>
  <c r="Z46" i="12"/>
  <c r="AA46" i="12"/>
  <c r="C47" i="12"/>
  <c r="D47" i="12"/>
  <c r="E47" i="12"/>
  <c r="F47" i="12"/>
  <c r="G47" i="12"/>
  <c r="I47" i="12"/>
  <c r="J47" i="12"/>
  <c r="L47" i="12"/>
  <c r="M47" i="12"/>
  <c r="N47" i="12"/>
  <c r="Q47" i="12"/>
  <c r="R47" i="12"/>
  <c r="S47" i="12"/>
  <c r="T47" i="12"/>
  <c r="U47" i="12"/>
  <c r="V47" i="12"/>
  <c r="W47" i="12"/>
  <c r="X47" i="12"/>
  <c r="Y47" i="12"/>
  <c r="Z47" i="12"/>
  <c r="AA47" i="12"/>
  <c r="C48" i="12"/>
  <c r="D48" i="12"/>
  <c r="E48" i="12"/>
  <c r="F48" i="12"/>
  <c r="G48" i="12"/>
  <c r="I48" i="12"/>
  <c r="J48" i="12"/>
  <c r="L48" i="12"/>
  <c r="M48" i="12"/>
  <c r="N48" i="12"/>
  <c r="Q48" i="12"/>
  <c r="R48" i="12"/>
  <c r="S48" i="12"/>
  <c r="T48" i="12"/>
  <c r="U48" i="12"/>
  <c r="V48" i="12"/>
  <c r="W48" i="12"/>
  <c r="X48" i="12"/>
  <c r="Y48" i="12"/>
  <c r="Z48" i="12"/>
  <c r="AA48" i="12"/>
</calcChain>
</file>

<file path=xl/sharedStrings.xml><?xml version="1.0" encoding="utf-8"?>
<sst xmlns="http://schemas.openxmlformats.org/spreadsheetml/2006/main" count="547" uniqueCount="347">
  <si>
    <t>gm_power</t>
  </si>
  <si>
    <t>PARAMETER</t>
  </si>
  <si>
    <t>V</t>
  </si>
  <si>
    <t>A/V</t>
  </si>
  <si>
    <t>ns</t>
  </si>
  <si>
    <t>V/ns</t>
  </si>
  <si>
    <t>nC</t>
  </si>
  <si>
    <t>AVOL</t>
  </si>
  <si>
    <t>dB</t>
  </si>
  <si>
    <t>gm_EA</t>
  </si>
  <si>
    <t>A</t>
  </si>
  <si>
    <t>Rz</t>
  </si>
  <si>
    <t>Cz</t>
  </si>
  <si>
    <t>Cp</t>
  </si>
  <si>
    <t>MHz</t>
  </si>
  <si>
    <t>nF</t>
  </si>
  <si>
    <t>pF</t>
  </si>
  <si>
    <t>mV</t>
  </si>
  <si>
    <t>Qg_FET</t>
  </si>
  <si>
    <t>‒</t>
  </si>
  <si>
    <r>
      <rPr>
        <sz val="11"/>
        <color indexed="8"/>
        <rFont val="Calibri"/>
        <family val="2"/>
      </rPr>
      <t>°</t>
    </r>
    <r>
      <rPr>
        <sz val="11"/>
        <color theme="1"/>
        <rFont val="Calibri"/>
        <family val="2"/>
        <scheme val="minor"/>
      </rPr>
      <t>C/W</t>
    </r>
  </si>
  <si>
    <t>%</t>
  </si>
  <si>
    <t>nH</t>
  </si>
  <si>
    <t>VALUE</t>
  </si>
  <si>
    <t>COMPONENT</t>
  </si>
  <si>
    <t>MIN</t>
  </si>
  <si>
    <t>TYP</t>
  </si>
  <si>
    <t>MAX</t>
  </si>
  <si>
    <t>UNITS</t>
  </si>
  <si>
    <t>UVLO Hysteresis</t>
  </si>
  <si>
    <t>COMMENTS</t>
  </si>
  <si>
    <t xml:space="preserve">Lo = </t>
  </si>
  <si>
    <t>Cin_min</t>
  </si>
  <si>
    <t>fc =</t>
  </si>
  <si>
    <r>
      <rPr>
        <b/>
        <sz val="11"/>
        <color indexed="8"/>
        <rFont val="Calibri"/>
        <family val="2"/>
      </rPr>
      <t>Δ</t>
    </r>
    <r>
      <rPr>
        <b/>
        <sz val="11"/>
        <color indexed="8"/>
        <rFont val="Calibri"/>
        <family val="2"/>
      </rPr>
      <t>ILo_max</t>
    </r>
  </si>
  <si>
    <r>
      <rPr>
        <b/>
        <sz val="11"/>
        <color indexed="8"/>
        <rFont val="Calibri"/>
        <family val="2"/>
      </rPr>
      <t>Δ</t>
    </r>
    <r>
      <rPr>
        <b/>
        <sz val="11"/>
        <color indexed="8"/>
        <rFont val="Calibri"/>
        <family val="2"/>
      </rPr>
      <t>ILo_typ</t>
    </r>
  </si>
  <si>
    <t>Calculated values</t>
  </si>
  <si>
    <t>Design supplied value</t>
  </si>
  <si>
    <t>Output inductor tolerances</t>
  </si>
  <si>
    <r>
      <t>A</t>
    </r>
    <r>
      <rPr>
        <vertAlign val="subscript"/>
        <sz val="11"/>
        <color indexed="8"/>
        <rFont val="Calibri"/>
        <family val="2"/>
      </rPr>
      <t>PP</t>
    </r>
  </si>
  <si>
    <r>
      <t>A</t>
    </r>
    <r>
      <rPr>
        <vertAlign val="subscript"/>
        <sz val="11"/>
        <color indexed="8"/>
        <rFont val="Calibri"/>
        <family val="2"/>
      </rPr>
      <t>PEAK</t>
    </r>
  </si>
  <si>
    <r>
      <rPr>
        <sz val="11"/>
        <color indexed="8"/>
        <rFont val="Calibri"/>
        <family val="2"/>
      </rPr>
      <t>µ</t>
    </r>
    <r>
      <rPr>
        <sz val="11"/>
        <color theme="1"/>
        <rFont val="Calibri"/>
        <family val="2"/>
        <scheme val="minor"/>
      </rPr>
      <t>H</t>
    </r>
  </si>
  <si>
    <r>
      <t>fc</t>
    </r>
    <r>
      <rPr>
        <b/>
        <vertAlign val="subscript"/>
        <sz val="11"/>
        <color indexed="8"/>
        <rFont val="Calibri"/>
        <family val="2"/>
      </rPr>
      <t>MAX</t>
    </r>
  </si>
  <si>
    <t>Ω</t>
  </si>
  <si>
    <t>Ro_EA</t>
  </si>
  <si>
    <r>
      <t>M</t>
    </r>
    <r>
      <rPr>
        <sz val="11"/>
        <color indexed="8"/>
        <rFont val="Calibri"/>
        <family val="2"/>
      </rPr>
      <t>Ω</t>
    </r>
  </si>
  <si>
    <t>Use the closest available 1% standard resister value</t>
  </si>
  <si>
    <r>
      <t>R_LOAD</t>
    </r>
    <r>
      <rPr>
        <b/>
        <vertAlign val="subscript"/>
        <sz val="11"/>
        <color indexed="8"/>
        <rFont val="Calibri"/>
        <family val="2"/>
      </rPr>
      <t>TYP</t>
    </r>
  </si>
  <si>
    <t>Recommended maximum 0dB crossover frequency of the system</t>
  </si>
  <si>
    <r>
      <t xml:space="preserve">Compensation is based on average current: </t>
    </r>
    <r>
      <rPr>
        <sz val="11"/>
        <color indexed="8"/>
        <rFont val="Calibri"/>
        <family val="2"/>
      </rPr>
      <t>Δ</t>
    </r>
    <r>
      <rPr>
        <sz val="11"/>
        <color theme="1"/>
        <rFont val="Calibri"/>
        <family val="2"/>
        <scheme val="minor"/>
      </rPr>
      <t>ILo/2 &lt; Iout &lt; Iout</t>
    </r>
    <r>
      <rPr>
        <vertAlign val="subscript"/>
        <sz val="11"/>
        <color indexed="8"/>
        <rFont val="Calibri"/>
        <family val="2"/>
      </rPr>
      <t>MAX</t>
    </r>
  </si>
  <si>
    <t>Recommended compensation capacitor, use closest available value</t>
  </si>
  <si>
    <t>Recommended HF compensation capacitor, use closest available value</t>
  </si>
  <si>
    <t>Psw</t>
  </si>
  <si>
    <t>Pcond</t>
  </si>
  <si>
    <r>
      <t>m</t>
    </r>
    <r>
      <rPr>
        <sz val="11"/>
        <color indexed="8"/>
        <rFont val="Calibri"/>
        <family val="2"/>
      </rPr>
      <t>Ω</t>
    </r>
  </si>
  <si>
    <t>RDSon @ 25C</t>
  </si>
  <si>
    <r>
      <rPr>
        <sz val="11"/>
        <color indexed="8"/>
        <rFont val="Calibri"/>
        <family val="2"/>
      </rPr>
      <t>°</t>
    </r>
    <r>
      <rPr>
        <sz val="11"/>
        <color theme="1"/>
        <rFont val="Calibri"/>
        <family val="2"/>
        <scheme val="minor"/>
      </rPr>
      <t>C</t>
    </r>
  </si>
  <si>
    <r>
      <t>T</t>
    </r>
    <r>
      <rPr>
        <b/>
        <vertAlign val="subscript"/>
        <sz val="11"/>
        <color indexed="8"/>
        <rFont val="Calibri"/>
        <family val="2"/>
      </rPr>
      <t>AMB</t>
    </r>
  </si>
  <si>
    <r>
      <t>t_on</t>
    </r>
    <r>
      <rPr>
        <b/>
        <vertAlign val="subscript"/>
        <sz val="11"/>
        <color indexed="8"/>
        <rFont val="Calibri"/>
        <family val="2"/>
      </rPr>
      <t>MIN</t>
    </r>
  </si>
  <si>
    <r>
      <t>t_off</t>
    </r>
    <r>
      <rPr>
        <b/>
        <vertAlign val="subscript"/>
        <sz val="11"/>
        <color indexed="8"/>
        <rFont val="Calibri"/>
        <family val="2"/>
      </rPr>
      <t>MIN</t>
    </r>
  </si>
  <si>
    <t>Vin</t>
  </si>
  <si>
    <t>TCR of RDSon</t>
  </si>
  <si>
    <r>
      <t xml:space="preserve">% / </t>
    </r>
    <r>
      <rPr>
        <sz val="11"/>
        <color indexed="8"/>
        <rFont val="Calibri"/>
        <family val="2"/>
      </rPr>
      <t>°</t>
    </r>
    <r>
      <rPr>
        <sz val="11"/>
        <color theme="1"/>
        <rFont val="Calibri"/>
        <family val="2"/>
        <scheme val="minor"/>
      </rPr>
      <t>C</t>
    </r>
  </si>
  <si>
    <r>
      <rPr>
        <sz val="11"/>
        <color indexed="8"/>
        <rFont val="Calibri"/>
        <family val="2"/>
      </rPr>
      <t>µ</t>
    </r>
    <r>
      <rPr>
        <sz val="11"/>
        <color theme="1"/>
        <rFont val="Calibri"/>
        <family val="2"/>
        <scheme val="minor"/>
      </rPr>
      <t>A/V</t>
    </r>
  </si>
  <si>
    <t>RDSon</t>
  </si>
  <si>
    <t>µF</t>
  </si>
  <si>
    <t>VARIABLES</t>
  </si>
  <si>
    <t>Lo_tolerance</t>
  </si>
  <si>
    <t xml:space="preserve"> Switching Frequency Determination:</t>
  </si>
  <si>
    <t xml:space="preserve"> Output Capacitor and Output Voltage Ripple:</t>
  </si>
  <si>
    <t xml:space="preserve"> Input Capacitor Requirements:</t>
  </si>
  <si>
    <t xml:space="preserve"> Compensation Components:</t>
  </si>
  <si>
    <t xml:space="preserve"> Output Inductor Calculations:</t>
  </si>
  <si>
    <t>Worst case maximum inductor ripple current</t>
  </si>
  <si>
    <r>
      <t>RTH</t>
    </r>
    <r>
      <rPr>
        <b/>
        <vertAlign val="subscript"/>
        <sz val="11"/>
        <color theme="1"/>
        <rFont val="Calibri"/>
        <family val="2"/>
        <scheme val="minor"/>
      </rPr>
      <t>JA</t>
    </r>
  </si>
  <si>
    <t>ILIM slope</t>
  </si>
  <si>
    <t>ILIM offset</t>
  </si>
  <si>
    <t>A / %</t>
  </si>
  <si>
    <r>
      <t>ILIM</t>
    </r>
    <r>
      <rPr>
        <b/>
        <vertAlign val="subscript"/>
        <sz val="11"/>
        <color theme="1"/>
        <rFont val="Calibri"/>
        <family val="2"/>
        <scheme val="minor"/>
      </rPr>
      <t>MARGIN</t>
    </r>
  </si>
  <si>
    <t>Includes worst case IC &amp; component variations vs. temperature</t>
  </si>
  <si>
    <t>This value should not exceed the inductor's specified saturation current</t>
  </si>
  <si>
    <r>
      <t>1% initial tolerance + 100ppm @ 60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>C rise</t>
    </r>
  </si>
  <si>
    <t>UVLO Multiplier</t>
  </si>
  <si>
    <t>Chosen value, allows for margin</t>
  </si>
  <si>
    <t>INSTRUCTIONS:   Enter design goals and component values in the white boxes.</t>
  </si>
  <si>
    <t>Maximum steady-state ambient temperature</t>
  </si>
  <si>
    <t>Lo_est</t>
  </si>
  <si>
    <t>INSTRUCTIONS:  No values need to be entered here, all values are derived from the DESIGN tab</t>
  </si>
  <si>
    <t>These values are all derived from the data sheet or lab measurements.</t>
  </si>
  <si>
    <r>
      <t xml:space="preserve">Choose Lo, considering </t>
    </r>
    <r>
      <rPr>
        <sz val="11"/>
        <color indexed="8"/>
        <rFont val="Calibri"/>
        <family val="2"/>
      </rPr>
      <t>Lo_est</t>
    </r>
    <r>
      <rPr>
        <sz val="11"/>
        <color theme="1"/>
        <rFont val="Calibri"/>
        <family val="2"/>
        <scheme val="minor"/>
      </rPr>
      <t xml:space="preserve"> (choose next highest standard value)</t>
    </r>
  </si>
  <si>
    <r>
      <t>V</t>
    </r>
    <r>
      <rPr>
        <b/>
        <vertAlign val="subscript"/>
        <sz val="11"/>
        <color theme="1"/>
        <rFont val="Calibri"/>
        <family val="2"/>
        <scheme val="minor"/>
      </rPr>
      <t>GS</t>
    </r>
  </si>
  <si>
    <t>Curve fit value, slope</t>
  </si>
  <si>
    <t>Curve fit value, offset</t>
  </si>
  <si>
    <t>Lo_I_max</t>
  </si>
  <si>
    <t xml:space="preserve"> Asynchronous Diode Requirement:</t>
  </si>
  <si>
    <r>
      <rPr>
        <i/>
        <sz val="11"/>
        <color theme="0"/>
        <rFont val="Calibri"/>
        <family val="2"/>
      </rPr>
      <t xml:space="preserve">**** Note:  The applications schematic is shown at the bottom of this TAB. ****
Schematic component values are shown in </t>
    </r>
    <r>
      <rPr>
        <b/>
        <i/>
        <sz val="11"/>
        <color rgb="FF0000FF"/>
        <rFont val="Calibri"/>
        <family val="2"/>
      </rPr>
      <t>BLUE</t>
    </r>
    <r>
      <rPr>
        <b/>
        <i/>
        <sz val="11"/>
        <color theme="1"/>
        <rFont val="Calibri"/>
        <family val="2"/>
      </rPr>
      <t>.</t>
    </r>
  </si>
  <si>
    <r>
      <rPr>
        <b/>
        <sz val="11"/>
        <color rgb="FF0000FF"/>
        <rFont val="Calibri"/>
        <family val="2"/>
      </rPr>
      <t>µ</t>
    </r>
    <r>
      <rPr>
        <b/>
        <sz val="11"/>
        <color rgb="FF0000FF"/>
        <rFont val="Calibri"/>
        <family val="2"/>
        <scheme val="minor"/>
      </rPr>
      <t>H</t>
    </r>
  </si>
  <si>
    <r>
      <t>I</t>
    </r>
    <r>
      <rPr>
        <b/>
        <vertAlign val="subscript"/>
        <sz val="11"/>
        <color rgb="FF0000FF"/>
        <rFont val="Calibri"/>
        <family val="2"/>
        <scheme val="minor"/>
      </rPr>
      <t>F,RMS</t>
    </r>
  </si>
  <si>
    <r>
      <t>A</t>
    </r>
    <r>
      <rPr>
        <b/>
        <vertAlign val="subscript"/>
        <sz val="11"/>
        <color rgb="FF0000FF"/>
        <rFont val="Calibri"/>
        <family val="2"/>
        <scheme val="minor"/>
      </rPr>
      <t>RMS</t>
    </r>
  </si>
  <si>
    <r>
      <rPr>
        <b/>
        <sz val="11"/>
        <color rgb="FF0000FF"/>
        <rFont val="Calibri"/>
        <family val="2"/>
      </rPr>
      <t>µ</t>
    </r>
    <r>
      <rPr>
        <b/>
        <sz val="11"/>
        <color rgb="FF0000FF"/>
        <rFont val="Calibri"/>
        <family val="2"/>
        <scheme val="minor"/>
      </rPr>
      <t>F</t>
    </r>
  </si>
  <si>
    <t>IQ</t>
  </si>
  <si>
    <r>
      <t>P</t>
    </r>
    <r>
      <rPr>
        <b/>
        <vertAlign val="subscript"/>
        <sz val="10"/>
        <rFont val="Arial"/>
        <family val="2"/>
      </rPr>
      <t>DRIVER</t>
    </r>
  </si>
  <si>
    <t>Recommended maximum PWM frequency, before possible pulse skipping</t>
  </si>
  <si>
    <t>UVLO Stop</t>
  </si>
  <si>
    <t>T (°C)</t>
  </si>
  <si>
    <t>Snubber Component Calculations:</t>
  </si>
  <si>
    <t>Capacitance of D1</t>
  </si>
  <si>
    <r>
      <t>Estimated D1 capacitance at Vin</t>
    </r>
    <r>
      <rPr>
        <vertAlign val="subscript"/>
        <sz val="11"/>
        <color theme="1"/>
        <rFont val="Calibri"/>
        <family val="2"/>
        <scheme val="minor"/>
      </rPr>
      <t>TYP</t>
    </r>
  </si>
  <si>
    <r>
      <t>L</t>
    </r>
    <r>
      <rPr>
        <b/>
        <vertAlign val="subscript"/>
        <sz val="11"/>
        <color theme="1"/>
        <rFont val="Calibri"/>
        <family val="2"/>
        <scheme val="minor"/>
      </rPr>
      <t>EQ</t>
    </r>
  </si>
  <si>
    <r>
      <t>LX resonance, F</t>
    </r>
    <r>
      <rPr>
        <b/>
        <vertAlign val="subscript"/>
        <sz val="11"/>
        <color theme="1"/>
        <rFont val="Calibri"/>
        <family val="2"/>
        <scheme val="minor"/>
      </rPr>
      <t>LX</t>
    </r>
  </si>
  <si>
    <r>
      <t>P</t>
    </r>
    <r>
      <rPr>
        <vertAlign val="subscript"/>
        <sz val="11"/>
        <color theme="1"/>
        <rFont val="Calibri"/>
        <family val="2"/>
        <scheme val="minor"/>
      </rPr>
      <t>SNUB</t>
    </r>
  </si>
  <si>
    <t>LX resonance period</t>
  </si>
  <si>
    <r>
      <t>LX resonance, T</t>
    </r>
    <r>
      <rPr>
        <b/>
        <vertAlign val="subscript"/>
        <sz val="11"/>
        <color theme="1"/>
        <rFont val="Calibri"/>
        <family val="2"/>
        <scheme val="minor"/>
      </rPr>
      <t>LX</t>
    </r>
  </si>
  <si>
    <t>mW</t>
  </si>
  <si>
    <t>Snubber resistance, use the closest available standard value</t>
  </si>
  <si>
    <t>Snubber capacitance, use the closest available standard value</t>
  </si>
  <si>
    <t>Start with 2.5, decrease for more damping</t>
  </si>
  <si>
    <r>
      <t xml:space="preserve">Snubber </t>
    </r>
    <r>
      <rPr>
        <b/>
        <sz val="11"/>
        <color theme="1"/>
        <rFont val="Calibri"/>
        <family val="2"/>
      </rPr>
      <t>‒</t>
    </r>
    <r>
      <rPr>
        <b/>
        <sz val="11"/>
        <color theme="1"/>
        <rFont val="Calibri"/>
        <family val="2"/>
        <scheme val="minor"/>
      </rPr>
      <t>3dB freq.</t>
    </r>
  </si>
  <si>
    <r>
      <t>Snubber resistor power requirement at Vin</t>
    </r>
    <r>
      <rPr>
        <vertAlign val="subscript"/>
        <sz val="11"/>
        <color theme="1"/>
        <rFont val="Calibri"/>
        <family val="2"/>
        <scheme val="minor"/>
      </rPr>
      <t>MAX</t>
    </r>
    <r>
      <rPr>
        <sz val="11"/>
        <color theme="1"/>
        <rFont val="Calibri"/>
        <family val="2"/>
        <scheme val="minor"/>
      </rPr>
      <t xml:space="preserve"> and Fsw</t>
    </r>
  </si>
  <si>
    <t>Capacitance, other</t>
  </si>
  <si>
    <t>Estimated FET + PCB trace capacitance</t>
  </si>
  <si>
    <t>TCR of Copper</t>
  </si>
  <si>
    <r>
      <t>%/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>C</t>
    </r>
  </si>
  <si>
    <t>Duty</t>
  </si>
  <si>
    <r>
      <rPr>
        <b/>
        <sz val="10"/>
        <rFont val="Calibri"/>
        <family val="2"/>
      </rPr>
      <t>Δ</t>
    </r>
    <r>
      <rPr>
        <b/>
        <sz val="10"/>
        <rFont val="Arial"/>
        <family val="2"/>
      </rPr>
      <t>IL</t>
    </r>
  </si>
  <si>
    <t>VF</t>
  </si>
  <si>
    <t>Known value, used for inductor DCR</t>
  </si>
  <si>
    <t>A   |   VF</t>
  </si>
  <si>
    <t>mV/°C</t>
  </si>
  <si>
    <r>
      <t>VO</t>
    </r>
    <r>
      <rPr>
        <b/>
        <vertAlign val="subscript"/>
        <sz val="10"/>
        <rFont val="Arial"/>
        <family val="2"/>
      </rPr>
      <t>SAT</t>
    </r>
  </si>
  <si>
    <r>
      <t>Duty Cycle</t>
    </r>
    <r>
      <rPr>
        <b/>
        <vertAlign val="subscript"/>
        <sz val="11"/>
        <color theme="1"/>
        <rFont val="Calibri"/>
        <family val="2"/>
        <scheme val="minor"/>
      </rPr>
      <t>MAX</t>
    </r>
  </si>
  <si>
    <r>
      <t>Duty Cycle</t>
    </r>
    <r>
      <rPr>
        <b/>
        <vertAlign val="subscript"/>
        <sz val="11"/>
        <color theme="1"/>
        <rFont val="Calibri"/>
        <family val="2"/>
        <scheme val="minor"/>
      </rPr>
      <t>MIN</t>
    </r>
  </si>
  <si>
    <t>System Duty Cycle</t>
  </si>
  <si>
    <t>Range of system duty-cycles given Vin, Vout, Iout, VF, etc</t>
  </si>
  <si>
    <t>DIODE (D1) CHARACTERIZATION</t>
  </si>
  <si>
    <r>
      <t>P</t>
    </r>
    <r>
      <rPr>
        <b/>
        <vertAlign val="subscript"/>
        <sz val="10"/>
        <rFont val="Arial"/>
        <family val="2"/>
      </rPr>
      <t>IC</t>
    </r>
  </si>
  <si>
    <r>
      <t>V</t>
    </r>
    <r>
      <rPr>
        <b/>
        <vertAlign val="subscript"/>
        <sz val="10"/>
        <rFont val="Arial"/>
        <family val="2"/>
      </rPr>
      <t>OUT</t>
    </r>
  </si>
  <si>
    <r>
      <t>P</t>
    </r>
    <r>
      <rPr>
        <b/>
        <vertAlign val="subscript"/>
        <sz val="10"/>
        <rFont val="Arial"/>
        <family val="2"/>
      </rPr>
      <t>D1</t>
    </r>
  </si>
  <si>
    <r>
      <t>P</t>
    </r>
    <r>
      <rPr>
        <b/>
        <vertAlign val="subscript"/>
        <sz val="10"/>
        <rFont val="Arial"/>
        <family val="2"/>
      </rPr>
      <t>IND</t>
    </r>
  </si>
  <si>
    <r>
      <t>P</t>
    </r>
    <r>
      <rPr>
        <b/>
        <vertAlign val="subscript"/>
        <sz val="10"/>
        <rFont val="Arial"/>
        <family val="2"/>
      </rPr>
      <t>OUT</t>
    </r>
  </si>
  <si>
    <r>
      <t xml:space="preserve">Choose fc considering </t>
    </r>
    <r>
      <rPr>
        <sz val="11"/>
        <color indexed="8"/>
        <rFont val="Calibri"/>
        <family val="2"/>
      </rPr>
      <t>fc</t>
    </r>
    <r>
      <rPr>
        <vertAlign val="subscript"/>
        <sz val="11"/>
        <color indexed="8"/>
        <rFont val="Calibri"/>
        <family val="2"/>
      </rPr>
      <t>MAX.</t>
    </r>
    <r>
      <rPr>
        <sz val="11"/>
        <color indexed="8"/>
        <rFont val="Calibri"/>
        <family val="2"/>
      </rPr>
      <t xml:space="preserve">  Higher fc = faster system, lower stability margins</t>
    </r>
  </si>
  <si>
    <r>
      <t>R</t>
    </r>
    <r>
      <rPr>
        <b/>
        <vertAlign val="subscript"/>
        <sz val="11"/>
        <color theme="1"/>
        <rFont val="Calibri"/>
        <family val="2"/>
        <scheme val="minor"/>
      </rPr>
      <t>SNUB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</si>
  <si>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SNUB</t>
    </r>
  </si>
  <si>
    <t>Enter the snubber resister value</t>
  </si>
  <si>
    <r>
      <t>R</t>
    </r>
    <r>
      <rPr>
        <b/>
        <vertAlign val="subscript"/>
        <sz val="11"/>
        <color rgb="FF0000FF"/>
        <rFont val="Calibri"/>
        <family val="2"/>
        <scheme val="minor"/>
      </rPr>
      <t>SNUB</t>
    </r>
    <r>
      <rPr>
        <b/>
        <sz val="11"/>
        <color rgb="FF0000FF"/>
        <rFont val="Calibri"/>
        <family val="2"/>
        <scheme val="minor"/>
      </rPr>
      <t xml:space="preserve"> = </t>
    </r>
  </si>
  <si>
    <r>
      <t>C</t>
    </r>
    <r>
      <rPr>
        <b/>
        <vertAlign val="subscript"/>
        <sz val="11"/>
        <color rgb="FF0000FF"/>
        <rFont val="Calibri"/>
        <family val="2"/>
        <scheme val="minor"/>
      </rPr>
      <t>SNUB</t>
    </r>
    <r>
      <rPr>
        <b/>
        <sz val="11"/>
        <color rgb="FF0000FF"/>
        <rFont val="Calibri"/>
        <family val="2"/>
        <scheme val="minor"/>
      </rPr>
      <t xml:space="preserve"> = </t>
    </r>
  </si>
  <si>
    <r>
      <t>P</t>
    </r>
    <r>
      <rPr>
        <b/>
        <vertAlign val="subscript"/>
        <sz val="10"/>
        <rFont val="Arial"/>
        <family val="2"/>
      </rPr>
      <t>SNUB</t>
    </r>
  </si>
  <si>
    <t>Dominant pole formed by the output capacitance and the load</t>
  </si>
  <si>
    <r>
      <t>TJ</t>
    </r>
    <r>
      <rPr>
        <b/>
        <vertAlign val="subscript"/>
        <sz val="10"/>
        <rFont val="Arial"/>
        <family val="2"/>
      </rPr>
      <t>D1</t>
    </r>
  </si>
  <si>
    <r>
      <t>TJ</t>
    </r>
    <r>
      <rPr>
        <b/>
        <vertAlign val="subscript"/>
        <sz val="10"/>
        <rFont val="Arial"/>
        <family val="2"/>
      </rPr>
      <t>IC</t>
    </r>
  </si>
  <si>
    <t>Estimated value from the data sheet for D1</t>
  </si>
  <si>
    <t>VF, Temp. Coeff.</t>
  </si>
  <si>
    <r>
      <t>RTH</t>
    </r>
    <r>
      <rPr>
        <b/>
        <vertAlign val="subscript"/>
        <sz val="11"/>
        <color theme="1"/>
        <rFont val="Calibri"/>
        <family val="2"/>
        <scheme val="minor"/>
      </rPr>
      <t>AVG</t>
    </r>
  </si>
  <si>
    <t>Value from the data sheet for D1 (average of min/max)</t>
  </si>
  <si>
    <r>
      <t>(TYP | MAX) Minimum duty cycles at the chosen Fsw given t</t>
    </r>
    <r>
      <rPr>
        <vertAlign val="subscript"/>
        <sz val="11"/>
        <color theme="1"/>
        <rFont val="Calibri"/>
        <family val="2"/>
        <scheme val="minor"/>
      </rPr>
      <t>ON,TYP</t>
    </r>
    <r>
      <rPr>
        <sz val="11"/>
        <color theme="1"/>
        <rFont val="Calibri"/>
        <family val="2"/>
        <scheme val="minor"/>
      </rPr>
      <t>, t</t>
    </r>
    <r>
      <rPr>
        <vertAlign val="subscript"/>
        <sz val="11"/>
        <color theme="1"/>
        <rFont val="Calibri"/>
        <family val="2"/>
        <scheme val="minor"/>
      </rPr>
      <t>ON,MAX</t>
    </r>
  </si>
  <si>
    <r>
      <t>(MIN | TYP) Maximum duty cycles at the chosen Fsw given t</t>
    </r>
    <r>
      <rPr>
        <vertAlign val="subscript"/>
        <sz val="11"/>
        <color theme="1"/>
        <rFont val="Calibri"/>
        <family val="2"/>
        <scheme val="minor"/>
      </rPr>
      <t>OFF,TYP</t>
    </r>
    <r>
      <rPr>
        <sz val="11"/>
        <color theme="1"/>
        <rFont val="Calibri"/>
        <family val="2"/>
        <scheme val="minor"/>
      </rPr>
      <t>, t</t>
    </r>
    <r>
      <rPr>
        <vertAlign val="subscript"/>
        <sz val="11"/>
        <color theme="1"/>
        <rFont val="Calibri"/>
        <family val="2"/>
        <scheme val="minor"/>
      </rPr>
      <t>OFF,MAX</t>
    </r>
  </si>
  <si>
    <r>
      <t xml:space="preserve">       Diode D1: Example of Capacitance vs. V</t>
    </r>
    <r>
      <rPr>
        <b/>
        <vertAlign val="subscript"/>
        <sz val="11"/>
        <color theme="1"/>
        <rFont val="Calibri"/>
        <family val="2"/>
        <scheme val="minor"/>
      </rPr>
      <t>R</t>
    </r>
  </si>
  <si>
    <t>Enter the snubber capacitor value, enter "0" if no snubber is used</t>
  </si>
  <si>
    <t>SW_slew_rise</t>
  </si>
  <si>
    <t>SW_slew_fall</t>
  </si>
  <si>
    <t>Typical SW frequency measurement before snubber</t>
  </si>
  <si>
    <r>
      <t>R</t>
    </r>
    <r>
      <rPr>
        <b/>
        <vertAlign val="subscript"/>
        <sz val="11"/>
        <color rgb="FF0000FF"/>
        <rFont val="Calibri"/>
        <family val="2"/>
        <scheme val="minor"/>
      </rPr>
      <t>FREQ</t>
    </r>
  </si>
  <si>
    <t>fsw</t>
  </si>
  <si>
    <t>Se</t>
  </si>
  <si>
    <t>Actual Cz</t>
  </si>
  <si>
    <t>Actual Cp</t>
  </si>
  <si>
    <t>kHz</t>
  </si>
  <si>
    <t>kΩ</t>
  </si>
  <si>
    <t>ESR</t>
  </si>
  <si>
    <t>mΩ</t>
  </si>
  <si>
    <t xml:space="preserve">fsw = </t>
  </si>
  <si>
    <t>fsw_max</t>
  </si>
  <si>
    <r>
      <t>k</t>
    </r>
    <r>
      <rPr>
        <b/>
        <sz val="11"/>
        <color rgb="FF0000FF"/>
        <rFont val="Calibri"/>
        <family val="2"/>
      </rPr>
      <t>Ω</t>
    </r>
  </si>
  <si>
    <t>Actual Rz</t>
  </si>
  <si>
    <t>Std. Resistors</t>
  </si>
  <si>
    <t>E6</t>
  </si>
  <si>
    <t>E96</t>
  </si>
  <si>
    <t>C values up to 10nF</t>
  </si>
  <si>
    <t>C values greater than 10nF</t>
  </si>
  <si>
    <t>E48</t>
  </si>
  <si>
    <t>Typical Schematic</t>
  </si>
  <si>
    <t>Diode D1:  Example I-V Characteristics</t>
  </si>
  <si>
    <t>fsw_tol</t>
  </si>
  <si>
    <t>A/µs</t>
  </si>
  <si>
    <t>Slope Comp @ 2MHz</t>
  </si>
  <si>
    <t>Slope comp @ 400kHz</t>
  </si>
  <si>
    <t>VIN</t>
  </si>
  <si>
    <t>LED Current Target</t>
  </si>
  <si>
    <t>Number of LEDs</t>
  </si>
  <si>
    <t>LED Forward Voltage</t>
  </si>
  <si>
    <t>CS Resistor Tolerance</t>
  </si>
  <si>
    <t xml:space="preserve"> Typical &amp; Worst Case Output Current Calculations:</t>
  </si>
  <si>
    <t>VF_nominal</t>
  </si>
  <si>
    <t>Chosen Fsw</t>
  </si>
  <si>
    <t>VCS</t>
  </si>
  <si>
    <t>VCS tol</t>
  </si>
  <si>
    <t xml:space="preserve">Slope compensation at selected switching frequency </t>
  </si>
  <si>
    <r>
      <t>A/</t>
    </r>
    <r>
      <rPr>
        <sz val="11"/>
        <color theme="1"/>
        <rFont val="Calibri"/>
        <family val="2"/>
      </rPr>
      <t>µs</t>
    </r>
  </si>
  <si>
    <t>Lo_min</t>
  </si>
  <si>
    <t>Lo_max</t>
  </si>
  <si>
    <t>nano</t>
  </si>
  <si>
    <t>micro</t>
  </si>
  <si>
    <t>milli</t>
  </si>
  <si>
    <t>kilo</t>
  </si>
  <si>
    <t>mega</t>
  </si>
  <si>
    <t>giga</t>
  </si>
  <si>
    <t>Tsw</t>
  </si>
  <si>
    <t>Typical peak to peak output inductor ripple current</t>
  </si>
  <si>
    <t>∆fSW</t>
  </si>
  <si>
    <t xml:space="preserve">±5 Dither frequency </t>
  </si>
  <si>
    <t xml:space="preserve">LED resistance @ operating current </t>
  </si>
  <si>
    <t>ΔVout</t>
  </si>
  <si>
    <r>
      <rPr>
        <b/>
        <sz val="11"/>
        <color theme="1"/>
        <rFont val="Calibri"/>
        <family val="2"/>
      </rPr>
      <t>Δ</t>
    </r>
    <r>
      <rPr>
        <b/>
        <sz val="11"/>
        <color theme="1"/>
        <rFont val="Calibri"/>
        <family val="2"/>
        <scheme val="minor"/>
      </rPr>
      <t>Iout</t>
    </r>
  </si>
  <si>
    <t>mA</t>
  </si>
  <si>
    <t>Estimated typical output peak to peak  voltage ripple</t>
  </si>
  <si>
    <t xml:space="preserve">RLED </t>
  </si>
  <si>
    <r>
      <t>V</t>
    </r>
    <r>
      <rPr>
        <b/>
        <vertAlign val="subscript"/>
        <sz val="11"/>
        <color rgb="FF0000FF"/>
        <rFont val="Calibri"/>
        <family val="2"/>
        <scheme val="minor"/>
      </rPr>
      <t>R</t>
    </r>
  </si>
  <si>
    <t>Input Voltage</t>
  </si>
  <si>
    <t xml:space="preserve">Loop Gain (dB) </t>
  </si>
  <si>
    <r>
      <t>f</t>
    </r>
    <r>
      <rPr>
        <b/>
        <vertAlign val="subscript"/>
        <sz val="11"/>
        <color indexed="8"/>
        <rFont val="Calibri"/>
        <family val="2"/>
      </rPr>
      <t>P(PS)</t>
    </r>
  </si>
  <si>
    <r>
      <t>f</t>
    </r>
    <r>
      <rPr>
        <b/>
        <vertAlign val="subscript"/>
        <sz val="11"/>
        <color indexed="8"/>
        <rFont val="Calibri"/>
        <family val="2"/>
      </rPr>
      <t>P(ea)_target</t>
    </r>
  </si>
  <si>
    <t>ALLEGRO ALT80802 DESIGN SPREADSHEET</t>
  </si>
  <si>
    <r>
      <t>P</t>
    </r>
    <r>
      <rPr>
        <b/>
        <vertAlign val="subscript"/>
        <sz val="10"/>
        <rFont val="Arial"/>
        <family val="2"/>
      </rPr>
      <t>IQ</t>
    </r>
  </si>
  <si>
    <r>
      <t>P</t>
    </r>
    <r>
      <rPr>
        <b/>
        <vertAlign val="subscript"/>
        <sz val="10"/>
        <rFont val="Arial"/>
        <family val="2"/>
      </rPr>
      <t>LOSS_tol</t>
    </r>
  </si>
  <si>
    <r>
      <t>T</t>
    </r>
    <r>
      <rPr>
        <b/>
        <vertAlign val="subscript"/>
        <sz val="10"/>
        <rFont val="Arial"/>
        <family val="2"/>
      </rPr>
      <t>OFF</t>
    </r>
  </si>
  <si>
    <r>
      <t>T</t>
    </r>
    <r>
      <rPr>
        <b/>
        <vertAlign val="subscript"/>
        <sz val="10"/>
        <rFont val="Arial"/>
        <family val="2"/>
      </rPr>
      <t>ON(ns)</t>
    </r>
  </si>
  <si>
    <t xml:space="preserve">Operating Condition </t>
  </si>
  <si>
    <t>Efficiency</t>
  </si>
  <si>
    <t>R1</t>
  </si>
  <si>
    <t>R2</t>
  </si>
  <si>
    <t>R3</t>
  </si>
  <si>
    <t>Iout</t>
  </si>
  <si>
    <t>Rsense Power</t>
  </si>
  <si>
    <t>Open</t>
  </si>
  <si>
    <t>Bin 2</t>
  </si>
  <si>
    <t>Bin 3</t>
  </si>
  <si>
    <t>Short</t>
  </si>
  <si>
    <r>
      <t>P</t>
    </r>
    <r>
      <rPr>
        <b/>
        <vertAlign val="subscript"/>
        <sz val="10"/>
        <rFont val="Arial"/>
        <family val="2"/>
      </rPr>
      <t>SENSE</t>
    </r>
  </si>
  <si>
    <t>Yes</t>
  </si>
  <si>
    <t>No</t>
  </si>
  <si>
    <t>Recommended R1</t>
  </si>
  <si>
    <t>Recommended R2</t>
  </si>
  <si>
    <t>Recommended R3</t>
  </si>
  <si>
    <t>Coefficient</t>
  </si>
  <si>
    <r>
      <t>I</t>
    </r>
    <r>
      <rPr>
        <b/>
        <vertAlign val="subscript"/>
        <sz val="11"/>
        <color theme="1"/>
        <rFont val="Calibri"/>
        <family val="2"/>
        <scheme val="minor"/>
      </rPr>
      <t xml:space="preserve">IN </t>
    </r>
    <r>
      <rPr>
        <sz val="11"/>
        <color theme="1"/>
        <rFont val="Calibri"/>
        <family val="2"/>
        <scheme val="minor"/>
      </rPr>
      <t>(min|typ|max)</t>
    </r>
  </si>
  <si>
    <t>Lo_I_min</t>
  </si>
  <si>
    <r>
      <t>A</t>
    </r>
    <r>
      <rPr>
        <vertAlign val="subscript"/>
        <sz val="11"/>
        <color theme="1"/>
        <rFont val="Calibri"/>
        <family val="2"/>
        <scheme val="minor"/>
      </rPr>
      <t>VALLEY</t>
    </r>
  </si>
  <si>
    <r>
      <t>f</t>
    </r>
    <r>
      <rPr>
        <b/>
        <vertAlign val="subscript"/>
        <sz val="11"/>
        <color theme="1"/>
        <rFont val="Calibri"/>
        <family val="2"/>
        <scheme val="minor"/>
      </rPr>
      <t>RHPZ</t>
    </r>
  </si>
  <si>
    <t>Right half plane zero of buckboost</t>
  </si>
  <si>
    <t>Max Duty</t>
  </si>
  <si>
    <t>TSD_Threshold</t>
  </si>
  <si>
    <t>°C</t>
  </si>
  <si>
    <t>Thermal Shutdown</t>
  </si>
  <si>
    <r>
      <t>P</t>
    </r>
    <r>
      <rPr>
        <b/>
        <vertAlign val="subscript"/>
        <sz val="10"/>
        <rFont val="Arial"/>
        <family val="2"/>
      </rPr>
      <t>IN</t>
    </r>
  </si>
  <si>
    <t>If iteration error occurs, please set 'Reset' to 1 and then 0</t>
  </si>
  <si>
    <t>Reset=</t>
  </si>
  <si>
    <t>Pulse by pulse current limit</t>
  </si>
  <si>
    <t>Allowed ILED Ripple</t>
  </si>
  <si>
    <t xml:space="preserve">Selected input cap </t>
  </si>
  <si>
    <t>Enter the output inductor's DCR</t>
  </si>
  <si>
    <r>
      <t xml:space="preserve">**** Note:  The applications schematic is shown at the bottom of this TAB. ****                                                                                                                                                                                                                                                                                                       Schematic component values are shown in </t>
    </r>
    <r>
      <rPr>
        <b/>
        <i/>
        <sz val="11"/>
        <color rgb="FF0000FF"/>
        <rFont val="Calibri"/>
        <family val="2"/>
      </rPr>
      <t>BLUE.</t>
    </r>
  </si>
  <si>
    <t>VF at nominal output current + input current, nominal VIN@25 °C</t>
  </si>
  <si>
    <t xml:space="preserve">Optimum output inductance value for matching slope compensation </t>
  </si>
  <si>
    <t xml:space="preserve">DC overall loop gain </t>
  </si>
  <si>
    <t>Hz</t>
  </si>
  <si>
    <t xml:space="preserve">Choose the closest available 1% standard resister value. </t>
  </si>
  <si>
    <t>Rz_Max</t>
  </si>
  <si>
    <t>Maximum Rz for faster step response</t>
  </si>
  <si>
    <t>Recommended minimum input capacitor with 50mV ripple</t>
  </si>
  <si>
    <r>
      <t>INSTRUCTIONS:   Enter design goals and component values in the white boxes.
***</t>
    </r>
    <r>
      <rPr>
        <i/>
        <sz val="12"/>
        <color theme="0"/>
        <rFont val="Calibri"/>
        <family val="2"/>
        <scheme val="minor"/>
      </rPr>
      <t>Ensure "Iterative Calculation" is enabled under File -&gt; Options -&gt; Formulas***</t>
    </r>
  </si>
  <si>
    <t>From D1 datasheet</t>
  </si>
  <si>
    <r>
      <t>R</t>
    </r>
    <r>
      <rPr>
        <b/>
        <vertAlign val="subscript"/>
        <sz val="11"/>
        <color rgb="FF0000FF"/>
        <rFont val="Calibri"/>
        <family val="2"/>
        <scheme val="minor"/>
      </rPr>
      <t>SENSE</t>
    </r>
    <r>
      <rPr>
        <b/>
        <sz val="11"/>
        <color rgb="FF0000FF"/>
        <rFont val="Calibri"/>
        <family val="2"/>
        <scheme val="minor"/>
      </rPr>
      <t xml:space="preserve"> = </t>
    </r>
  </si>
  <si>
    <r>
      <t>R</t>
    </r>
    <r>
      <rPr>
        <b/>
        <vertAlign val="subscript"/>
        <sz val="11"/>
        <color theme="1"/>
        <rFont val="Calibri"/>
        <family val="2"/>
        <scheme val="minor"/>
      </rPr>
      <t>SENSE_calc</t>
    </r>
  </si>
  <si>
    <t>Desired switching frequency</t>
  </si>
  <si>
    <r>
      <t>I</t>
    </r>
    <r>
      <rPr>
        <b/>
        <vertAlign val="subscript"/>
        <sz val="11"/>
        <color theme="1"/>
        <rFont val="Calibri"/>
        <family val="2"/>
        <scheme val="minor"/>
      </rPr>
      <t>OUT</t>
    </r>
    <r>
      <rPr>
        <sz val="11"/>
        <color theme="1"/>
        <rFont val="Calibri"/>
        <family val="2"/>
        <scheme val="minor"/>
      </rPr>
      <t xml:space="preserve">  (min</t>
    </r>
    <r>
      <rPr>
        <sz val="11"/>
        <color theme="1"/>
        <rFont val="Calibri"/>
        <family val="2"/>
      </rPr>
      <t>|</t>
    </r>
    <r>
      <rPr>
        <sz val="11"/>
        <color theme="1"/>
        <rFont val="Calibri"/>
        <family val="2"/>
        <scheme val="minor"/>
      </rPr>
      <t>typ</t>
    </r>
    <r>
      <rPr>
        <sz val="11"/>
        <color theme="1"/>
        <rFont val="Calibri"/>
        <family val="2"/>
      </rPr>
      <t>|</t>
    </r>
    <r>
      <rPr>
        <sz val="11"/>
        <color theme="1"/>
        <rFont val="Calibri"/>
        <family val="2"/>
        <scheme val="minor"/>
      </rPr>
      <t>max)</t>
    </r>
  </si>
  <si>
    <t>Thermal resistance, 4 layer PCB, default value is 45</t>
  </si>
  <si>
    <t xml:space="preserve">Maximum output Voltage </t>
  </si>
  <si>
    <t>Datasheet value</t>
  </si>
  <si>
    <t>Datasheet values</t>
  </si>
  <si>
    <r>
      <t>Datasheet values, strongly affects Fsw at Vin</t>
    </r>
    <r>
      <rPr>
        <vertAlign val="subscript"/>
        <sz val="11"/>
        <color indexed="8"/>
        <rFont val="Calibri"/>
        <family val="2"/>
      </rPr>
      <t>MAX</t>
    </r>
  </si>
  <si>
    <r>
      <t>ILIM</t>
    </r>
    <r>
      <rPr>
        <vertAlign val="subscript"/>
        <sz val="11"/>
        <color theme="1"/>
        <rFont val="Calibri"/>
        <family val="2"/>
        <scheme val="minor"/>
      </rPr>
      <t>MIN</t>
    </r>
    <r>
      <rPr>
        <sz val="11"/>
        <color theme="1"/>
        <rFont val="Calibri"/>
        <family val="2"/>
        <scheme val="minor"/>
      </rPr>
      <t xml:space="preserve"> at 5% duty cycle, datasheet values</t>
    </r>
  </si>
  <si>
    <r>
      <t>Datasheet value, strongly affects Fsw at Vin</t>
    </r>
    <r>
      <rPr>
        <vertAlign val="subscript"/>
        <sz val="11"/>
        <color indexed="8"/>
        <rFont val="Calibri"/>
        <family val="2"/>
      </rPr>
      <t>MIN</t>
    </r>
  </si>
  <si>
    <t>Recommended CS resistor value</t>
  </si>
  <si>
    <t>Choose a standard resistor value, or combination of values</t>
  </si>
  <si>
    <t xml:space="preserve">Recommended minimum output inductance value to avoid DCM and sub-harmonics  </t>
  </si>
  <si>
    <t>Current limit margin (minimum) before possible duty-cycle limit</t>
  </si>
  <si>
    <t>Actual value used</t>
  </si>
  <si>
    <t>Enter ESR value for selected capacitor</t>
  </si>
  <si>
    <t>The asynchronous diode must be rated higher than this voltage</t>
  </si>
  <si>
    <t>The asynchronous diode must be rated higher than this current value</t>
  </si>
  <si>
    <t>Target first error amplifier pole</t>
  </si>
  <si>
    <t>Recommended Rz to cancel the dominant power stage pole</t>
  </si>
  <si>
    <t>Estimated Power Loss</t>
  </si>
  <si>
    <r>
      <rPr>
        <b/>
        <sz val="11"/>
        <color theme="1"/>
        <rFont val="Calibri"/>
        <family val="2"/>
      </rPr>
      <t>µ</t>
    </r>
    <r>
      <rPr>
        <b/>
        <sz val="11"/>
        <color theme="1"/>
        <rFont val="Calibri"/>
        <family val="2"/>
        <scheme val="minor"/>
      </rPr>
      <t>F</t>
    </r>
  </si>
  <si>
    <r>
      <t>Recommended C</t>
    </r>
    <r>
      <rPr>
        <b/>
        <vertAlign val="subscript"/>
        <sz val="11"/>
        <color theme="1"/>
        <rFont val="Calibri"/>
        <family val="2"/>
        <scheme val="minor"/>
      </rPr>
      <t>OUT</t>
    </r>
  </si>
  <si>
    <r>
      <t>Actual C</t>
    </r>
    <r>
      <rPr>
        <b/>
        <vertAlign val="subscript"/>
        <sz val="11"/>
        <color rgb="FF0000FF"/>
        <rFont val="Calibri"/>
        <family val="2"/>
        <scheme val="minor"/>
      </rPr>
      <t>OUT</t>
    </r>
  </si>
  <si>
    <r>
      <rPr>
        <sz val="11"/>
        <color rgb="FF0000FF"/>
        <rFont val="Calibri"/>
        <family val="2"/>
      </rPr>
      <t>µ</t>
    </r>
    <r>
      <rPr>
        <sz val="11"/>
        <color rgb="FF0000FF"/>
        <rFont val="Calibri"/>
        <family val="2"/>
        <scheme val="minor"/>
      </rPr>
      <t>F</t>
    </r>
  </si>
  <si>
    <t xml:space="preserve">Allowed input ripple </t>
  </si>
  <si>
    <r>
      <t>Actual C</t>
    </r>
    <r>
      <rPr>
        <b/>
        <vertAlign val="subscript"/>
        <sz val="11"/>
        <color rgb="FF0000FF"/>
        <rFont val="Calibri"/>
        <family val="2"/>
        <scheme val="minor"/>
      </rPr>
      <t>IN</t>
    </r>
  </si>
  <si>
    <t>Maximum peak to peak LED current ripple allowed for the application</t>
  </si>
  <si>
    <t>Maximum peak to peak input voltage ripple allowed for the application</t>
  </si>
  <si>
    <t>**** Note:  The compensation components section only gives a basic estimate result  ****                                                                                                                                                                                                                                                                                                       All the compensation components value need to be fine-tuned in a real system by bode plot measurement or transient tests</t>
  </si>
  <si>
    <t>Measured value</t>
  </si>
  <si>
    <t>Chosen Cz</t>
  </si>
  <si>
    <t>Chosen Cp</t>
  </si>
  <si>
    <t xml:space="preserve">*The results from this design tool serve as a guideline for components selection. However, these results are based on ideal conditions when the circuit is in steady state and in CCM mode. It may not reflect real circuit performance. </t>
  </si>
  <si>
    <r>
      <t>Cin_I</t>
    </r>
    <r>
      <rPr>
        <b/>
        <vertAlign val="subscript"/>
        <sz val="11"/>
        <color theme="1"/>
        <rFont val="Calibri"/>
        <family val="2"/>
        <scheme val="minor"/>
      </rPr>
      <t>RMS</t>
    </r>
  </si>
  <si>
    <r>
      <t>A</t>
    </r>
    <r>
      <rPr>
        <vertAlign val="subscript"/>
        <sz val="11"/>
        <color indexed="8"/>
        <rFont val="Calibri"/>
        <family val="2"/>
      </rPr>
      <t>RMS</t>
    </r>
  </si>
  <si>
    <r>
      <t>I</t>
    </r>
    <r>
      <rPr>
        <b/>
        <vertAlign val="subscript"/>
        <sz val="10"/>
        <rFont val="Arial"/>
        <family val="2"/>
      </rPr>
      <t>L,AVG</t>
    </r>
  </si>
  <si>
    <t>Bin 1 (maximum current)</t>
  </si>
  <si>
    <t>Bin 4  (Minimum current)</t>
  </si>
  <si>
    <t>Rbin2</t>
  </si>
  <si>
    <t>Rbin3</t>
  </si>
  <si>
    <t>Optional Binning Components</t>
  </si>
  <si>
    <r>
      <t>Lo</t>
    </r>
    <r>
      <rPr>
        <b/>
        <vertAlign val="subscript"/>
        <sz val="11"/>
        <color rgb="FF0000FF"/>
        <rFont val="Calibri"/>
        <family val="2"/>
        <scheme val="minor"/>
      </rPr>
      <t>DCR</t>
    </r>
    <r>
      <rPr>
        <b/>
        <sz val="11"/>
        <color rgb="FF0000FF"/>
        <rFont val="Calibri"/>
        <family val="2"/>
        <scheme val="minor"/>
      </rPr>
      <t xml:space="preserve"> = </t>
    </r>
  </si>
  <si>
    <r>
      <t>m</t>
    </r>
    <r>
      <rPr>
        <b/>
        <sz val="11"/>
        <color rgb="FF0000FF"/>
        <rFont val="Calibri"/>
        <family val="2"/>
      </rPr>
      <t>Ω</t>
    </r>
  </si>
  <si>
    <t>Maximum current with no binning resistor</t>
  </si>
  <si>
    <t>Must be less than 1. Change value to fine tune BINNING accuracy</t>
  </si>
  <si>
    <t>Actual %</t>
  </si>
  <si>
    <r>
      <t>Enter R2 in k</t>
    </r>
    <r>
      <rPr>
        <sz val="11"/>
        <color theme="1"/>
        <rFont val="Calibri"/>
        <family val="2"/>
      </rPr>
      <t>Ω, recommend 1kΩ to 3 kΩ</t>
    </r>
  </si>
  <si>
    <t>Output Voltage</t>
  </si>
  <si>
    <t>VLED-</t>
  </si>
  <si>
    <t>BIN1</t>
  </si>
  <si>
    <t>BIN2</t>
  </si>
  <si>
    <t>BIN3</t>
  </si>
  <si>
    <t>BIN4</t>
  </si>
  <si>
    <t>NONE</t>
  </si>
  <si>
    <t>Binning</t>
  </si>
  <si>
    <t>ALLEGRO ALT80802 DESIGN SPREADSHEET for Buck-Boost - Rev. 2.0</t>
  </si>
  <si>
    <t>E12</t>
  </si>
  <si>
    <t>E124</t>
  </si>
  <si>
    <r>
      <t>Desired f</t>
    </r>
    <r>
      <rPr>
        <b/>
        <vertAlign val="subscript"/>
        <sz val="11"/>
        <color theme="1"/>
        <rFont val="Calibri"/>
        <family val="2"/>
        <scheme val="minor"/>
      </rPr>
      <t>sw</t>
    </r>
  </si>
  <si>
    <t xml:space="preserve">Typical value @ target LED current </t>
  </si>
  <si>
    <r>
      <t xml:space="preserve"> Feedback Component Calculations  </t>
    </r>
    <r>
      <rPr>
        <b/>
        <i/>
        <sz val="12"/>
        <color rgb="FFFF0000"/>
        <rFont val="Calibri"/>
        <family val="2"/>
        <scheme val="minor"/>
      </rPr>
      <t xml:space="preserve">(Must enter </t>
    </r>
    <r>
      <rPr>
        <b/>
        <i/>
        <sz val="12"/>
        <color rgb="FF0000FF"/>
        <rFont val="Calibri"/>
        <family val="2"/>
        <scheme val="minor"/>
      </rPr>
      <t>RSENSE</t>
    </r>
    <r>
      <rPr>
        <b/>
        <i/>
        <sz val="12"/>
        <color rgb="FFFF0000"/>
        <rFont val="Calibri"/>
        <family val="2"/>
        <scheme val="minor"/>
      </rPr>
      <t xml:space="preserve"> values for the remaining calculations to be accurate)</t>
    </r>
  </si>
  <si>
    <t>Typical switching period calculated from chosen fsw</t>
  </si>
  <si>
    <t>Recommended maximum output Inductance value for slope compensation</t>
  </si>
  <si>
    <t>Lowest valley inductor current(At high VIN). Make sure it is above 0 to avoid DCM.</t>
  </si>
  <si>
    <t>Recommended minimum output capacitance</t>
  </si>
  <si>
    <t>Estimated typical output peak to peak current ripple</t>
  </si>
  <si>
    <t xml:space="preserve">Input capacitance RMS current requirement (please check the temp. rise characteristics) </t>
  </si>
  <si>
    <t>Current value as a percentage for maximum current</t>
  </si>
  <si>
    <t>Lowest Bin Coefficient</t>
  </si>
  <si>
    <t>Recommended Rsense</t>
  </si>
  <si>
    <t>If not in normal operation, the calculation result is not valid</t>
  </si>
  <si>
    <r>
      <t>Multiple of f</t>
    </r>
    <r>
      <rPr>
        <vertAlign val="subscript"/>
        <sz val="11"/>
        <color theme="1"/>
        <rFont val="Calibri"/>
        <family val="2"/>
      </rPr>
      <t>LX</t>
    </r>
  </si>
  <si>
    <r>
      <t>Equivalent inductance, given f</t>
    </r>
    <r>
      <rPr>
        <vertAlign val="subscript"/>
        <sz val="11"/>
        <color theme="1"/>
        <rFont val="Calibri"/>
        <family val="2"/>
        <scheme val="minor"/>
      </rPr>
      <t>LX</t>
    </r>
    <r>
      <rPr>
        <sz val="11"/>
        <color theme="1"/>
        <rFont val="Calibri"/>
        <family val="2"/>
        <scheme val="minor"/>
      </rPr>
      <t xml:space="preserve"> and C</t>
    </r>
    <r>
      <rPr>
        <vertAlign val="subscript"/>
        <sz val="11"/>
        <color theme="1"/>
        <rFont val="Calibri"/>
        <family val="2"/>
        <scheme val="minor"/>
      </rPr>
      <t>TOTAL</t>
    </r>
  </si>
  <si>
    <t>Measured LX resonant frequency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</si>
</sst>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164" formatCode="0.000"/>
    <numFmt numFmtId="165" formatCode="0.0"/>
    <numFmt numFmtId="166" formatCode="&quot;IOUT=&quot;0.00&quot;A&quot;"/>
    <numFmt numFmtId="167" formatCode="General\ &quot;kΩ&quot;"/>
    <numFmt numFmtId="168" formatCode="General\ &quot;µH&quot;"/>
    <numFmt numFmtId="169" formatCode="&quot;x&quot;\ General"/>
    <numFmt numFmtId="170" formatCode="General\ &quot;nF&quot;"/>
    <numFmt numFmtId="171" formatCode="General\ &quot;pF&quot;"/>
    <numFmt numFmtId="172" formatCode="General\ &quot;µF&quot;"/>
    <numFmt numFmtId="173" formatCode="0.0%"/>
    <numFmt numFmtId="174" formatCode="0.00000"/>
    <numFmt numFmtId="175" formatCode="0.0&quot;ns&quot;"/>
    <numFmt numFmtId="176" formatCode="0.000\ \V"/>
    <numFmt numFmtId="177" formatCode="0.00\ \k\Ω"/>
    <numFmt numFmtId="178" formatCode="0.000\ &quot;A&quot;"/>
    <numFmt numFmtId="179" formatCode="0.000\ \W"/>
    <numFmt numFmtId="180" formatCode="0.000\ \Ω"/>
    <numFmt numFmtId="181" formatCode="0.00000000000000"/>
    <numFmt numFmtId="182" formatCode="0.0000"/>
    <numFmt numFmtId="183" formatCode="0.00\ &quot;kΩ&quot;"/>
    <numFmt numFmtId="184" formatCode="&quot;Vout = &quot;0.00\V"/>
  </numFmts>
  <fonts count="8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vertAlign val="sub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1"/>
      <color rgb="FF0000FF"/>
      <name val="Calibri"/>
      <family val="2"/>
    </font>
    <font>
      <i/>
      <sz val="11"/>
      <color theme="0"/>
      <name val="Calibri"/>
      <family val="2"/>
    </font>
    <font>
      <b/>
      <sz val="11"/>
      <color rgb="FF0000FF"/>
      <name val="Calibri"/>
      <family val="2"/>
      <scheme val="minor"/>
    </font>
    <font>
      <b/>
      <sz val="11"/>
      <color rgb="FF0000FF"/>
      <name val="Calibri"/>
      <family val="2"/>
    </font>
    <font>
      <b/>
      <vertAlign val="subscript"/>
      <sz val="11"/>
      <color rgb="FF0000FF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4"/>
      <color theme="0"/>
      <name val="Calibri"/>
      <family val="2"/>
      <scheme val="minor"/>
    </font>
    <font>
      <b/>
      <sz val="10"/>
      <name val="Calibri"/>
      <family val="2"/>
    </font>
    <font>
      <b/>
      <vertAlign val="subscript"/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bscript"/>
      <sz val="11"/>
      <color theme="1"/>
      <name val="Calibri"/>
      <family val="2"/>
    </font>
    <font>
      <b/>
      <i/>
      <sz val="14"/>
      <color theme="1"/>
      <name val="Calibri"/>
      <family val="2"/>
    </font>
    <font>
      <b/>
      <i/>
      <sz val="12"/>
      <color rgb="FF0000FF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4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0"/>
      <color theme="0"/>
      <name val="Arial"/>
      <family val="2"/>
    </font>
    <font>
      <i/>
      <sz val="12"/>
      <color theme="0"/>
      <name val="Calibri"/>
      <family val="2"/>
      <scheme val="minor"/>
    </font>
    <font>
      <sz val="10"/>
      <color rgb="FFFF0000"/>
      <name val="Arial"/>
      <family val="2"/>
    </font>
    <font>
      <i/>
      <sz val="11"/>
      <color rgb="FFFF0000"/>
      <name val="Calibri"/>
      <family val="2"/>
      <scheme val="minor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Verdana"/>
      <family val="2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 tint="-0.249977111117893"/>
      <name val="Arial"/>
      <family val="2"/>
    </font>
    <font>
      <b/>
      <i/>
      <sz val="11"/>
      <color theme="0"/>
      <name val="Calibri"/>
      <family val="2"/>
    </font>
    <font>
      <sz val="11"/>
      <color rgb="FF0000FF"/>
      <name val="Calibri"/>
      <family val="2"/>
      <scheme val="minor"/>
    </font>
    <font>
      <sz val="11"/>
      <color rgb="FF0000FF"/>
      <name val="Calibri"/>
      <family val="2"/>
    </font>
    <font>
      <b/>
      <sz val="16"/>
      <color rgb="FFFF0000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</font>
    <font>
      <b/>
      <sz val="14"/>
      <color rgb="FFFF0000"/>
      <name val="Calibri"/>
      <family val="2"/>
      <scheme val="minor"/>
    </font>
    <font>
      <sz val="10.5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9" tint="0.79998168889431442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8"/>
      <color theme="0"/>
      <name val="Verdana"/>
      <family val="2"/>
    </font>
    <font>
      <sz val="10"/>
      <color rgb="FF0000FF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8E0000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0" fontId="5" fillId="0" borderId="0"/>
    <xf numFmtId="9" fontId="39" fillId="0" borderId="0" applyFont="0" applyFill="0" applyBorder="0" applyAlignment="0" applyProtection="0"/>
  </cellStyleXfs>
  <cellXfs count="531">
    <xf numFmtId="0" fontId="0" fillId="0" borderId="0" xfId="0"/>
    <xf numFmtId="0" fontId="0" fillId="4" borderId="3" xfId="0" applyFill="1" applyBorder="1" applyAlignment="1" applyProtection="1">
      <alignment horizontal="center"/>
    </xf>
    <xf numFmtId="0" fontId="8" fillId="4" borderId="3" xfId="0" applyFont="1" applyFill="1" applyBorder="1" applyAlignment="1" applyProtection="1">
      <alignment horizontal="center"/>
    </xf>
    <xf numFmtId="0" fontId="0" fillId="5" borderId="0" xfId="0" applyFill="1" applyBorder="1" applyAlignment="1" applyProtection="1">
      <alignment horizontal="center"/>
    </xf>
    <xf numFmtId="2" fontId="0" fillId="5" borderId="0" xfId="0" applyNumberFormat="1" applyFill="1" applyBorder="1" applyAlignment="1" applyProtection="1">
      <alignment horizontal="center"/>
    </xf>
    <xf numFmtId="165" fontId="0" fillId="5" borderId="0" xfId="0" applyNumberFormat="1" applyFill="1" applyBorder="1" applyAlignment="1" applyProtection="1">
      <alignment horizontal="center"/>
    </xf>
    <xf numFmtId="0" fontId="8" fillId="5" borderId="0" xfId="0" applyFont="1" applyFill="1" applyBorder="1" applyAlignment="1" applyProtection="1">
      <alignment horizontal="center"/>
    </xf>
    <xf numFmtId="1" fontId="0" fillId="7" borderId="1" xfId="0" applyNumberFormat="1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</xf>
    <xf numFmtId="0" fontId="8" fillId="4" borderId="8" xfId="0" applyFont="1" applyFill="1" applyBorder="1" applyAlignment="1" applyProtection="1">
      <alignment horizontal="center"/>
    </xf>
    <xf numFmtId="0" fontId="11" fillId="6" borderId="17" xfId="0" applyFont="1" applyFill="1" applyBorder="1" applyAlignment="1" applyProtection="1">
      <alignment horizontal="center"/>
    </xf>
    <xf numFmtId="0" fontId="11" fillId="6" borderId="18" xfId="0" applyFont="1" applyFill="1" applyBorder="1" applyAlignment="1" applyProtection="1">
      <alignment horizontal="center"/>
    </xf>
    <xf numFmtId="0" fontId="7" fillId="4" borderId="11" xfId="0" applyFont="1" applyFill="1" applyBorder="1" applyAlignment="1" applyProtection="1">
      <alignment horizontal="center"/>
    </xf>
    <xf numFmtId="0" fontId="0" fillId="5" borderId="26" xfId="0" applyFill="1" applyBorder="1" applyProtection="1"/>
    <xf numFmtId="0" fontId="0" fillId="5" borderId="21" xfId="0" applyFill="1" applyBorder="1" applyAlignment="1" applyProtection="1">
      <alignment horizontal="center"/>
    </xf>
    <xf numFmtId="0" fontId="0" fillId="4" borderId="20" xfId="0" applyFill="1" applyBorder="1" applyAlignment="1" applyProtection="1">
      <alignment horizontal="center" vertical="center"/>
    </xf>
    <xf numFmtId="0" fontId="8" fillId="4" borderId="8" xfId="0" applyFont="1" applyFill="1" applyBorder="1" applyAlignment="1" applyProtection="1">
      <alignment horizontal="center" vertical="center"/>
    </xf>
    <xf numFmtId="1" fontId="0" fillId="7" borderId="1" xfId="0" applyNumberFormat="1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/>
    </xf>
    <xf numFmtId="1" fontId="0" fillId="5" borderId="0" xfId="0" applyNumberFormat="1" applyFill="1" applyBorder="1" applyAlignment="1" applyProtection="1">
      <alignment horizontal="center"/>
    </xf>
    <xf numFmtId="0" fontId="7" fillId="5" borderId="27" xfId="0" applyFont="1" applyFill="1" applyBorder="1" applyAlignment="1" applyProtection="1">
      <alignment horizontal="center" vertical="center"/>
    </xf>
    <xf numFmtId="165" fontId="0" fillId="5" borderId="21" xfId="0" applyNumberFormat="1" applyFill="1" applyBorder="1" applyAlignment="1" applyProtection="1">
      <alignment horizontal="center" vertical="center"/>
    </xf>
    <xf numFmtId="2" fontId="0" fillId="5" borderId="21" xfId="0" applyNumberFormat="1" applyFill="1" applyBorder="1" applyAlignment="1" applyProtection="1">
      <alignment horizontal="center" vertical="center"/>
    </xf>
    <xf numFmtId="0" fontId="0" fillId="5" borderId="21" xfId="0" applyFill="1" applyBorder="1" applyAlignment="1" applyProtection="1">
      <alignment horizontal="center" vertical="center"/>
    </xf>
    <xf numFmtId="0" fontId="7" fillId="5" borderId="25" xfId="0" applyFont="1" applyFill="1" applyBorder="1" applyAlignment="1" applyProtection="1">
      <alignment horizontal="center" vertical="center" wrapText="1"/>
    </xf>
    <xf numFmtId="0" fontId="0" fillId="7" borderId="1" xfId="0" applyFont="1" applyFill="1" applyBorder="1" applyAlignment="1" applyProtection="1">
      <alignment horizontal="center" vertical="center" wrapText="1"/>
      <protection locked="0"/>
    </xf>
    <xf numFmtId="0" fontId="11" fillId="6" borderId="16" xfId="0" applyFont="1" applyFill="1" applyBorder="1" applyAlignment="1" applyProtection="1">
      <alignment horizontal="center"/>
    </xf>
    <xf numFmtId="164" fontId="0" fillId="5" borderId="0" xfId="0" applyNumberFormat="1" applyFill="1" applyBorder="1" applyAlignment="1" applyProtection="1">
      <alignment horizontal="center"/>
    </xf>
    <xf numFmtId="165" fontId="0" fillId="5" borderId="0" xfId="0" applyNumberFormat="1" applyFill="1" applyBorder="1" applyAlignment="1" applyProtection="1">
      <alignment horizontal="center" vertical="center"/>
    </xf>
    <xf numFmtId="0" fontId="15" fillId="5" borderId="25" xfId="0" applyFont="1" applyFill="1" applyBorder="1" applyAlignment="1" applyProtection="1">
      <alignment horizontal="left" vertical="center"/>
    </xf>
    <xf numFmtId="0" fontId="21" fillId="5" borderId="25" xfId="0" applyFont="1" applyFill="1" applyBorder="1" applyAlignment="1" applyProtection="1">
      <alignment horizontal="center"/>
    </xf>
    <xf numFmtId="2" fontId="21" fillId="5" borderId="0" xfId="0" applyNumberFormat="1" applyFont="1" applyFill="1" applyBorder="1" applyAlignment="1" applyProtection="1">
      <alignment horizontal="center"/>
    </xf>
    <xf numFmtId="0" fontId="21" fillId="5" borderId="0" xfId="0" applyFont="1" applyFill="1" applyBorder="1" applyAlignment="1" applyProtection="1">
      <alignment horizontal="center"/>
    </xf>
    <xf numFmtId="0" fontId="22" fillId="5" borderId="0" xfId="0" applyFont="1" applyFill="1" applyBorder="1" applyAlignment="1" applyProtection="1">
      <alignment horizontal="center"/>
    </xf>
    <xf numFmtId="0" fontId="21" fillId="5" borderId="25" xfId="0" applyFont="1" applyFill="1" applyBorder="1" applyAlignment="1" applyProtection="1">
      <alignment horizontal="center" vertical="center"/>
    </xf>
    <xf numFmtId="2" fontId="21" fillId="5" borderId="0" xfId="0" applyNumberFormat="1" applyFont="1" applyFill="1" applyBorder="1" applyAlignment="1" applyProtection="1">
      <alignment horizontal="center" vertical="center"/>
    </xf>
    <xf numFmtId="165" fontId="0" fillId="5" borderId="0" xfId="0" applyNumberFormat="1" applyFont="1" applyFill="1" applyBorder="1" applyAlignment="1" applyProtection="1">
      <alignment horizontal="center"/>
    </xf>
    <xf numFmtId="0" fontId="29" fillId="5" borderId="0" xfId="0" applyFont="1" applyFill="1" applyBorder="1" applyAlignment="1" applyProtection="1">
      <alignment horizontal="center"/>
    </xf>
    <xf numFmtId="2" fontId="32" fillId="2" borderId="0" xfId="0" applyNumberFormat="1" applyFont="1" applyFill="1" applyBorder="1" applyAlignment="1">
      <alignment horizontal="center"/>
    </xf>
    <xf numFmtId="164" fontId="32" fillId="2" borderId="0" xfId="0" applyNumberFormat="1" applyFont="1" applyFill="1" applyBorder="1" applyAlignment="1">
      <alignment horizontal="center"/>
    </xf>
    <xf numFmtId="0" fontId="0" fillId="4" borderId="7" xfId="0" applyFill="1" applyBorder="1" applyAlignment="1" applyProtection="1">
      <alignment horizontal="center"/>
    </xf>
    <xf numFmtId="0" fontId="8" fillId="4" borderId="34" xfId="0" applyFont="1" applyFill="1" applyBorder="1" applyAlignment="1" applyProtection="1">
      <alignment horizontal="center" vertical="center"/>
    </xf>
    <xf numFmtId="0" fontId="7" fillId="4" borderId="11" xfId="0" applyFont="1" applyFill="1" applyBorder="1" applyAlignment="1" applyProtection="1">
      <alignment horizontal="center" vertical="center"/>
    </xf>
    <xf numFmtId="0" fontId="7" fillId="4" borderId="13" xfId="0" applyFont="1" applyFill="1" applyBorder="1" applyAlignment="1" applyProtection="1">
      <alignment horizontal="center" vertical="center"/>
    </xf>
    <xf numFmtId="0" fontId="8" fillId="4" borderId="28" xfId="0" applyFont="1" applyFill="1" applyBorder="1" applyAlignment="1" applyProtection="1">
      <alignment horizontal="center" vertical="center"/>
    </xf>
    <xf numFmtId="164" fontId="32" fillId="2" borderId="0" xfId="0" applyNumberFormat="1" applyFont="1" applyFill="1" applyBorder="1" applyAlignment="1">
      <alignment horizontal="center" vertical="center"/>
    </xf>
    <xf numFmtId="165" fontId="32" fillId="2" borderId="0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 applyProtection="1">
      <alignment horizontal="center" vertical="center"/>
    </xf>
    <xf numFmtId="0" fontId="8" fillId="4" borderId="35" xfId="0" applyFont="1" applyFill="1" applyBorder="1" applyAlignment="1" applyProtection="1">
      <alignment horizontal="center" vertical="center"/>
    </xf>
    <xf numFmtId="0" fontId="12" fillId="5" borderId="0" xfId="0" applyFont="1" applyFill="1" applyBorder="1" applyAlignment="1" applyProtection="1">
      <alignment horizontal="center"/>
    </xf>
    <xf numFmtId="1" fontId="7" fillId="5" borderId="0" xfId="0" applyNumberFormat="1" applyFont="1" applyFill="1" applyBorder="1" applyAlignment="1" applyProtection="1">
      <alignment horizontal="center"/>
    </xf>
    <xf numFmtId="2" fontId="21" fillId="0" borderId="1" xfId="0" applyNumberFormat="1" applyFont="1" applyFill="1" applyBorder="1" applyAlignment="1" applyProtection="1">
      <alignment horizontal="center"/>
      <protection locked="0"/>
    </xf>
    <xf numFmtId="0" fontId="8" fillId="4" borderId="10" xfId="0" applyFont="1" applyFill="1" applyBorder="1" applyAlignment="1" applyProtection="1">
      <alignment horizontal="center"/>
    </xf>
    <xf numFmtId="0" fontId="0" fillId="4" borderId="15" xfId="0" applyFill="1" applyBorder="1" applyProtection="1"/>
    <xf numFmtId="165" fontId="8" fillId="7" borderId="1" xfId="0" applyNumberFormat="1" applyFont="1" applyFill="1" applyBorder="1" applyAlignment="1" applyProtection="1">
      <alignment horizontal="center" vertical="center"/>
      <protection locked="0"/>
    </xf>
    <xf numFmtId="1" fontId="21" fillId="0" borderId="1" xfId="0" applyNumberFormat="1" applyFont="1" applyFill="1" applyBorder="1" applyAlignment="1" applyProtection="1">
      <alignment horizontal="center"/>
      <protection locked="0"/>
    </xf>
    <xf numFmtId="0" fontId="21" fillId="7" borderId="1" xfId="0" applyNumberFormat="1" applyFont="1" applyFill="1" applyBorder="1" applyAlignment="1" applyProtection="1">
      <alignment horizontal="center"/>
      <protection locked="0"/>
    </xf>
    <xf numFmtId="2" fontId="7" fillId="5" borderId="0" xfId="0" applyNumberFormat="1" applyFont="1" applyFill="1" applyBorder="1" applyAlignment="1" applyProtection="1">
      <alignment horizontal="center"/>
    </xf>
    <xf numFmtId="0" fontId="1" fillId="5" borderId="0" xfId="0" applyFont="1" applyFill="1" applyBorder="1" applyAlignment="1" applyProtection="1">
      <alignment horizontal="center"/>
    </xf>
    <xf numFmtId="2" fontId="8" fillId="5" borderId="0" xfId="0" applyNumberFormat="1" applyFont="1" applyFill="1" applyBorder="1" applyAlignment="1" applyProtection="1">
      <alignment horizontal="center"/>
    </xf>
    <xf numFmtId="0" fontId="7" fillId="5" borderId="25" xfId="0" applyFont="1" applyFill="1" applyBorder="1" applyAlignment="1" applyProtection="1">
      <alignment horizontal="center"/>
    </xf>
    <xf numFmtId="0" fontId="7" fillId="5" borderId="0" xfId="0" applyFont="1" applyFill="1" applyBorder="1" applyAlignment="1" applyProtection="1">
      <alignment horizontal="center"/>
    </xf>
    <xf numFmtId="0" fontId="0" fillId="4" borderId="36" xfId="0" applyFont="1" applyFill="1" applyBorder="1" applyAlignment="1" applyProtection="1">
      <alignment horizontal="left" indent="1"/>
    </xf>
    <xf numFmtId="0" fontId="0" fillId="4" borderId="36" xfId="0" applyFill="1" applyBorder="1" applyAlignment="1" applyProtection="1">
      <alignment horizontal="left" indent="1"/>
    </xf>
    <xf numFmtId="0" fontId="0" fillId="4" borderId="33" xfId="0" applyFill="1" applyBorder="1" applyAlignment="1" applyProtection="1">
      <alignment horizontal="left" vertical="center" indent="1"/>
    </xf>
    <xf numFmtId="0" fontId="7" fillId="5" borderId="26" xfId="0" applyFont="1" applyFill="1" applyBorder="1" applyProtection="1"/>
    <xf numFmtId="0" fontId="0" fillId="7" borderId="0" xfId="0" applyFill="1" applyProtection="1"/>
    <xf numFmtId="0" fontId="0" fillId="7" borderId="0" xfId="0" applyFill="1"/>
    <xf numFmtId="0" fontId="0" fillId="7" borderId="0" xfId="0" applyFill="1" applyAlignment="1" applyProtection="1">
      <alignment horizontal="center"/>
    </xf>
    <xf numFmtId="0" fontId="7" fillId="7" borderId="0" xfId="0" applyFont="1" applyFill="1" applyAlignment="1" applyProtection="1">
      <alignment horizontal="center"/>
    </xf>
    <xf numFmtId="2" fontId="8" fillId="7" borderId="1" xfId="0" applyNumberFormat="1" applyFont="1" applyFill="1" applyBorder="1" applyAlignment="1" applyProtection="1">
      <alignment horizontal="center" vertical="center"/>
      <protection locked="0"/>
    </xf>
    <xf numFmtId="0" fontId="11" fillId="11" borderId="16" xfId="0" applyFont="1" applyFill="1" applyBorder="1" applyAlignment="1" applyProtection="1">
      <alignment horizontal="center"/>
    </xf>
    <xf numFmtId="0" fontId="11" fillId="11" borderId="17" xfId="0" applyFont="1" applyFill="1" applyBorder="1" applyAlignment="1" applyProtection="1">
      <alignment horizontal="center"/>
    </xf>
    <xf numFmtId="0" fontId="11" fillId="11" borderId="18" xfId="0" applyFont="1" applyFill="1" applyBorder="1" applyAlignment="1" applyProtection="1">
      <alignment horizontal="center"/>
    </xf>
    <xf numFmtId="0" fontId="11" fillId="11" borderId="32" xfId="0" applyFont="1" applyFill="1" applyBorder="1" applyAlignment="1" applyProtection="1">
      <alignment horizontal="center"/>
    </xf>
    <xf numFmtId="165" fontId="0" fillId="4" borderId="6" xfId="0" applyNumberFormat="1" applyFill="1" applyBorder="1" applyAlignment="1" applyProtection="1">
      <alignment horizontal="center"/>
    </xf>
    <xf numFmtId="0" fontId="7" fillId="3" borderId="11" xfId="0" applyFont="1" applyFill="1" applyBorder="1" applyAlignment="1" applyProtection="1">
      <alignment horizontal="center"/>
    </xf>
    <xf numFmtId="164" fontId="0" fillId="3" borderId="9" xfId="0" applyNumberFormat="1" applyFont="1" applyFill="1" applyBorder="1" applyAlignment="1" applyProtection="1">
      <alignment horizontal="center"/>
    </xf>
    <xf numFmtId="0" fontId="0" fillId="3" borderId="9" xfId="0" applyFont="1" applyFill="1" applyBorder="1" applyAlignment="1" applyProtection="1">
      <alignment horizontal="center"/>
    </xf>
    <xf numFmtId="0" fontId="0" fillId="3" borderId="9" xfId="0" applyFill="1" applyBorder="1" applyAlignment="1" applyProtection="1">
      <alignment horizontal="left" indent="1"/>
    </xf>
    <xf numFmtId="0" fontId="0" fillId="3" borderId="9" xfId="0" applyFill="1" applyBorder="1" applyProtection="1"/>
    <xf numFmtId="0" fontId="0" fillId="3" borderId="12" xfId="0" applyFill="1" applyBorder="1" applyProtection="1"/>
    <xf numFmtId="165" fontId="0" fillId="3" borderId="9" xfId="0" applyNumberFormat="1" applyFont="1" applyFill="1" applyBorder="1" applyAlignment="1" applyProtection="1">
      <alignment horizontal="center"/>
    </xf>
    <xf numFmtId="0" fontId="8" fillId="3" borderId="9" xfId="0" applyFont="1" applyFill="1" applyBorder="1" applyAlignment="1" applyProtection="1">
      <alignment horizontal="center"/>
    </xf>
    <xf numFmtId="0" fontId="0" fillId="3" borderId="9" xfId="0" applyFill="1" applyBorder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1" fontId="0" fillId="3" borderId="9" xfId="0" applyNumberFormat="1" applyFont="1" applyFill="1" applyBorder="1" applyAlignment="1" applyProtection="1">
      <alignment horizontal="center"/>
    </xf>
    <xf numFmtId="164" fontId="8" fillId="3" borderId="9" xfId="0" applyNumberFormat="1" applyFont="1" applyFill="1" applyBorder="1" applyAlignment="1" applyProtection="1">
      <alignment horizontal="center"/>
    </xf>
    <xf numFmtId="2" fontId="0" fillId="3" borderId="9" xfId="0" applyNumberFormat="1" applyFill="1" applyBorder="1" applyAlignment="1" applyProtection="1">
      <alignment horizontal="center"/>
    </xf>
    <xf numFmtId="0" fontId="0" fillId="3" borderId="11" xfId="0" applyFont="1" applyFill="1" applyBorder="1" applyAlignment="1" applyProtection="1">
      <alignment horizontal="center"/>
    </xf>
    <xf numFmtId="0" fontId="17" fillId="3" borderId="9" xfId="0" applyFont="1" applyFill="1" applyBorder="1" applyAlignment="1" applyProtection="1">
      <alignment horizontal="center"/>
    </xf>
    <xf numFmtId="0" fontId="0" fillId="3" borderId="13" xfId="0" applyFill="1" applyBorder="1" applyAlignment="1" applyProtection="1">
      <alignment horizontal="center"/>
    </xf>
    <xf numFmtId="0" fontId="8" fillId="3" borderId="14" xfId="0" applyFont="1" applyFill="1" applyBorder="1" applyAlignment="1" applyProtection="1">
      <alignment horizontal="center"/>
    </xf>
    <xf numFmtId="0" fontId="17" fillId="3" borderId="14" xfId="0" applyFont="1" applyFill="1" applyBorder="1" applyAlignment="1" applyProtection="1">
      <alignment horizontal="center"/>
    </xf>
    <xf numFmtId="0" fontId="0" fillId="3" borderId="14" xfId="0" applyFill="1" applyBorder="1" applyAlignment="1" applyProtection="1">
      <alignment horizontal="center"/>
    </xf>
    <xf numFmtId="0" fontId="0" fillId="3" borderId="14" xfId="0" applyFill="1" applyBorder="1" applyAlignment="1" applyProtection="1">
      <alignment horizontal="left" indent="1"/>
    </xf>
    <xf numFmtId="0" fontId="0" fillId="3" borderId="14" xfId="0" applyFill="1" applyBorder="1" applyProtection="1"/>
    <xf numFmtId="0" fontId="0" fillId="3" borderId="15" xfId="0" applyFill="1" applyBorder="1" applyProtection="1"/>
    <xf numFmtId="0" fontId="11" fillId="11" borderId="38" xfId="0" applyFont="1" applyFill="1" applyBorder="1" applyAlignment="1" applyProtection="1">
      <alignment horizontal="center" vertical="center" wrapText="1"/>
    </xf>
    <xf numFmtId="0" fontId="7" fillId="5" borderId="44" xfId="0" applyFont="1" applyFill="1" applyBorder="1" applyAlignment="1" applyProtection="1">
      <alignment horizontal="center"/>
    </xf>
    <xf numFmtId="0" fontId="21" fillId="5" borderId="44" xfId="0" applyFont="1" applyFill="1" applyBorder="1" applyAlignment="1" applyProtection="1">
      <alignment horizontal="center"/>
    </xf>
    <xf numFmtId="0" fontId="21" fillId="5" borderId="40" xfId="0" applyFont="1" applyFill="1" applyBorder="1" applyAlignment="1" applyProtection="1">
      <alignment horizontal="center"/>
    </xf>
    <xf numFmtId="0" fontId="21" fillId="5" borderId="46" xfId="0" applyFont="1" applyFill="1" applyBorder="1" applyAlignment="1" applyProtection="1">
      <alignment horizontal="center"/>
    </xf>
    <xf numFmtId="0" fontId="0" fillId="5" borderId="46" xfId="0" applyFill="1" applyBorder="1" applyAlignment="1" applyProtection="1">
      <alignment horizontal="center"/>
    </xf>
    <xf numFmtId="0" fontId="0" fillId="5" borderId="41" xfId="0" applyFill="1" applyBorder="1" applyProtection="1"/>
    <xf numFmtId="0" fontId="45" fillId="7" borderId="0" xfId="0" applyFont="1" applyFill="1" applyBorder="1" applyAlignment="1" applyProtection="1">
      <alignment horizontal="center"/>
      <protection hidden="1"/>
    </xf>
    <xf numFmtId="0" fontId="38" fillId="7" borderId="0" xfId="0" applyFont="1" applyFill="1" applyProtection="1"/>
    <xf numFmtId="0" fontId="46" fillId="7" borderId="0" xfId="0" applyFont="1" applyFill="1" applyAlignment="1" applyProtection="1">
      <alignment horizontal="center"/>
    </xf>
    <xf numFmtId="0" fontId="47" fillId="7" borderId="0" xfId="0" applyFont="1" applyFill="1" applyProtection="1">
      <protection hidden="1"/>
    </xf>
    <xf numFmtId="0" fontId="45" fillId="7" borderId="0" xfId="0" applyFont="1" applyFill="1" applyProtection="1">
      <protection hidden="1"/>
    </xf>
    <xf numFmtId="0" fontId="48" fillId="7" borderId="0" xfId="0" applyFont="1" applyFill="1" applyBorder="1" applyProtection="1">
      <protection hidden="1"/>
    </xf>
    <xf numFmtId="0" fontId="45" fillId="7" borderId="2" xfId="0" applyFont="1" applyFill="1" applyBorder="1" applyProtection="1">
      <protection hidden="1"/>
    </xf>
    <xf numFmtId="1" fontId="45" fillId="7" borderId="0" xfId="0" applyNumberFormat="1" applyFont="1" applyFill="1" applyBorder="1" applyProtection="1">
      <protection hidden="1"/>
    </xf>
    <xf numFmtId="164" fontId="49" fillId="7" borderId="0" xfId="0" applyNumberFormat="1" applyFont="1" applyFill="1" applyBorder="1" applyAlignment="1" applyProtection="1">
      <alignment horizontal="center"/>
      <protection hidden="1"/>
    </xf>
    <xf numFmtId="2" fontId="45" fillId="7" borderId="0" xfId="0" applyNumberFormat="1" applyFont="1" applyFill="1" applyBorder="1" applyAlignment="1" applyProtection="1">
      <alignment horizontal="center"/>
      <protection hidden="1"/>
    </xf>
    <xf numFmtId="0" fontId="50" fillId="7" borderId="0" xfId="0" applyFont="1" applyFill="1" applyBorder="1" applyProtection="1">
      <protection hidden="1"/>
    </xf>
    <xf numFmtId="0" fontId="51" fillId="7" borderId="0" xfId="0" applyFont="1" applyFill="1" applyBorder="1" applyAlignment="1" applyProtection="1">
      <alignment horizontal="center" wrapText="1"/>
      <protection hidden="1"/>
    </xf>
    <xf numFmtId="0" fontId="45" fillId="7" borderId="0" xfId="0" applyFont="1" applyFill="1" applyBorder="1" applyProtection="1">
      <protection hidden="1"/>
    </xf>
    <xf numFmtId="1" fontId="45" fillId="7" borderId="0" xfId="0" applyNumberFormat="1" applyFont="1" applyFill="1" applyBorder="1" applyProtection="1"/>
    <xf numFmtId="0" fontId="49" fillId="7" borderId="0" xfId="0" applyFont="1" applyFill="1" applyBorder="1" applyAlignment="1" applyProtection="1">
      <alignment horizontal="center"/>
      <protection hidden="1"/>
    </xf>
    <xf numFmtId="10" fontId="45" fillId="7" borderId="0" xfId="2" applyNumberFormat="1" applyFont="1" applyFill="1" applyBorder="1" applyAlignment="1" applyProtection="1">
      <alignment horizontal="center"/>
      <protection hidden="1"/>
    </xf>
    <xf numFmtId="10" fontId="45" fillId="7" borderId="0" xfId="2" applyNumberFormat="1" applyFont="1" applyFill="1" applyBorder="1" applyProtection="1">
      <protection hidden="1"/>
    </xf>
    <xf numFmtId="0" fontId="52" fillId="7" borderId="0" xfId="0" applyFont="1" applyFill="1" applyBorder="1" applyAlignment="1" applyProtection="1">
      <alignment horizontal="center" vertical="center"/>
    </xf>
    <xf numFmtId="0" fontId="52" fillId="7" borderId="0" xfId="1" applyFont="1" applyFill="1" applyBorder="1" applyAlignment="1" applyProtection="1">
      <alignment horizontal="center"/>
    </xf>
    <xf numFmtId="0" fontId="52" fillId="7" borderId="0" xfId="0" applyFont="1" applyFill="1" applyBorder="1" applyAlignment="1" applyProtection="1">
      <alignment horizontal="center"/>
      <protection hidden="1"/>
    </xf>
    <xf numFmtId="0" fontId="53" fillId="7" borderId="0" xfId="0" applyFont="1" applyFill="1" applyBorder="1" applyAlignment="1" applyProtection="1">
      <alignment horizontal="center" vertical="center"/>
    </xf>
    <xf numFmtId="0" fontId="54" fillId="7" borderId="0" xfId="0" applyFont="1" applyFill="1" applyBorder="1" applyAlignment="1" applyProtection="1">
      <alignment horizontal="center" vertical="center"/>
    </xf>
    <xf numFmtId="0" fontId="55" fillId="7" borderId="0" xfId="0" applyFont="1" applyFill="1" applyBorder="1" applyAlignment="1" applyProtection="1">
      <alignment horizontal="center"/>
    </xf>
    <xf numFmtId="0" fontId="52" fillId="7" borderId="0" xfId="0" applyFont="1" applyFill="1" applyBorder="1" applyAlignment="1" applyProtection="1">
      <alignment horizontal="left" indent="1"/>
    </xf>
    <xf numFmtId="0" fontId="52" fillId="7" borderId="0" xfId="0" applyFont="1" applyFill="1" applyBorder="1" applyAlignment="1" applyProtection="1">
      <alignment horizontal="left" vertical="center" indent="1"/>
    </xf>
    <xf numFmtId="0" fontId="55" fillId="7" borderId="0" xfId="0" applyFont="1" applyFill="1" applyBorder="1" applyAlignment="1" applyProtection="1">
      <alignment horizontal="center" vertical="center"/>
    </xf>
    <xf numFmtId="0" fontId="52" fillId="7" borderId="0" xfId="0" applyFont="1" applyFill="1" applyBorder="1" applyProtection="1"/>
    <xf numFmtId="0" fontId="55" fillId="7" borderId="0" xfId="0" applyFont="1" applyFill="1" applyBorder="1" applyAlignment="1" applyProtection="1">
      <alignment horizontal="left" vertical="center" wrapText="1"/>
    </xf>
    <xf numFmtId="0" fontId="53" fillId="7" borderId="0" xfId="0" applyFont="1" applyFill="1" applyBorder="1" applyProtection="1"/>
    <xf numFmtId="0" fontId="53" fillId="7" borderId="0" xfId="0" applyFont="1" applyFill="1" applyBorder="1" applyAlignment="1" applyProtection="1">
      <alignment horizontal="left" vertical="center"/>
    </xf>
    <xf numFmtId="0" fontId="52" fillId="7" borderId="0" xfId="0" applyFont="1" applyFill="1" applyProtection="1"/>
    <xf numFmtId="0" fontId="31" fillId="6" borderId="46" xfId="0" applyFont="1" applyFill="1" applyBorder="1" applyAlignment="1">
      <alignment horizontal="center" vertical="center"/>
    </xf>
    <xf numFmtId="0" fontId="6" fillId="6" borderId="46" xfId="1" applyFont="1" applyFill="1" applyBorder="1" applyAlignment="1" applyProtection="1">
      <alignment horizontal="center" vertical="center"/>
    </xf>
    <xf numFmtId="0" fontId="0" fillId="3" borderId="9" xfId="0" applyNumberFormat="1" applyFill="1" applyBorder="1" applyAlignment="1" applyProtection="1">
      <alignment horizontal="center"/>
    </xf>
    <xf numFmtId="0" fontId="7" fillId="4" borderId="40" xfId="0" applyFont="1" applyFill="1" applyBorder="1" applyAlignment="1" applyProtection="1">
      <alignment horizontal="center" vertical="center"/>
    </xf>
    <xf numFmtId="173" fontId="0" fillId="5" borderId="0" xfId="0" applyNumberFormat="1" applyFont="1" applyFill="1" applyBorder="1" applyAlignment="1" applyProtection="1">
      <alignment horizontal="center"/>
    </xf>
    <xf numFmtId="173" fontId="8" fillId="5" borderId="0" xfId="0" applyNumberFormat="1" applyFont="1" applyFill="1" applyBorder="1" applyAlignment="1" applyProtection="1">
      <alignment horizontal="center" vertical="center"/>
    </xf>
    <xf numFmtId="0" fontId="0" fillId="5" borderId="45" xfId="0" applyFill="1" applyBorder="1" applyAlignment="1" applyProtection="1">
      <alignment horizontal="left" vertical="center" indent="1"/>
    </xf>
    <xf numFmtId="0" fontId="7" fillId="5" borderId="44" xfId="0" applyFont="1" applyFill="1" applyBorder="1" applyAlignment="1" applyProtection="1">
      <alignment horizontal="center" vertical="center" wrapText="1"/>
    </xf>
    <xf numFmtId="0" fontId="0" fillId="5" borderId="5" xfId="0" applyFill="1" applyBorder="1" applyAlignment="1" applyProtection="1">
      <alignment horizontal="center"/>
    </xf>
    <xf numFmtId="0" fontId="7" fillId="5" borderId="49" xfId="0" applyFont="1" applyFill="1" applyBorder="1" applyAlignment="1" applyProtection="1">
      <alignment horizontal="center" vertical="center" wrapText="1"/>
    </xf>
    <xf numFmtId="0" fontId="30" fillId="5" borderId="0" xfId="0" applyFont="1" applyFill="1" applyBorder="1" applyAlignment="1" applyProtection="1">
      <alignment horizontal="center"/>
    </xf>
    <xf numFmtId="0" fontId="7" fillId="5" borderId="49" xfId="0" applyFont="1" applyFill="1" applyBorder="1" applyAlignment="1" applyProtection="1">
      <alignment horizontal="center"/>
    </xf>
    <xf numFmtId="2" fontId="32" fillId="2" borderId="50" xfId="0" applyNumberFormat="1" applyFont="1" applyFill="1" applyBorder="1" applyAlignment="1">
      <alignment horizontal="center"/>
    </xf>
    <xf numFmtId="10" fontId="32" fillId="2" borderId="0" xfId="0" applyNumberFormat="1" applyFont="1" applyFill="1" applyBorder="1" applyAlignment="1">
      <alignment horizontal="center"/>
    </xf>
    <xf numFmtId="174" fontId="32" fillId="2" borderId="0" xfId="0" applyNumberFormat="1" applyFont="1" applyFill="1" applyBorder="1" applyAlignment="1">
      <alignment horizontal="center" vertical="center"/>
    </xf>
    <xf numFmtId="10" fontId="32" fillId="2" borderId="48" xfId="0" applyNumberFormat="1" applyFont="1" applyFill="1" applyBorder="1" applyAlignment="1">
      <alignment horizontal="center"/>
    </xf>
    <xf numFmtId="10" fontId="32" fillId="2" borderId="45" xfId="0" applyNumberFormat="1" applyFont="1" applyFill="1" applyBorder="1" applyAlignment="1">
      <alignment horizontal="center"/>
    </xf>
    <xf numFmtId="175" fontId="32" fillId="2" borderId="0" xfId="0" applyNumberFormat="1" applyFont="1" applyFill="1" applyBorder="1" applyAlignment="1">
      <alignment horizontal="center"/>
    </xf>
    <xf numFmtId="0" fontId="32" fillId="0" borderId="52" xfId="0" applyFont="1" applyBorder="1" applyAlignment="1">
      <alignment horizontal="center"/>
    </xf>
    <xf numFmtId="0" fontId="32" fillId="0" borderId="53" xfId="0" applyFont="1" applyBorder="1" applyAlignment="1">
      <alignment horizontal="center"/>
    </xf>
    <xf numFmtId="0" fontId="31" fillId="6" borderId="1" xfId="0" applyFont="1" applyFill="1" applyBorder="1" applyAlignment="1">
      <alignment horizontal="center" vertical="center"/>
    </xf>
    <xf numFmtId="0" fontId="31" fillId="6" borderId="29" xfId="0" applyFont="1" applyFill="1" applyBorder="1" applyAlignment="1">
      <alignment horizontal="center" vertical="center"/>
    </xf>
    <xf numFmtId="0" fontId="6" fillId="6" borderId="29" xfId="1" applyFont="1" applyFill="1" applyBorder="1" applyAlignment="1" applyProtection="1">
      <alignment horizontal="center" vertical="center"/>
    </xf>
    <xf numFmtId="0" fontId="31" fillId="6" borderId="31" xfId="0" applyFont="1" applyFill="1" applyBorder="1" applyAlignment="1">
      <alignment horizontal="center" vertical="center"/>
    </xf>
    <xf numFmtId="2" fontId="32" fillId="2" borderId="0" xfId="0" applyNumberFormat="1" applyFont="1" applyFill="1" applyBorder="1" applyAlignment="1">
      <alignment horizontal="center" vertical="center"/>
    </xf>
    <xf numFmtId="0" fontId="0" fillId="3" borderId="56" xfId="0" applyFont="1" applyFill="1" applyBorder="1" applyAlignment="1" applyProtection="1">
      <alignment horizontal="center"/>
    </xf>
    <xf numFmtId="0" fontId="17" fillId="3" borderId="55" xfId="0" applyFont="1" applyFill="1" applyBorder="1" applyAlignment="1" applyProtection="1">
      <alignment horizontal="center"/>
    </xf>
    <xf numFmtId="0" fontId="0" fillId="3" borderId="55" xfId="0" applyFill="1" applyBorder="1" applyAlignment="1" applyProtection="1">
      <alignment horizontal="center"/>
    </xf>
    <xf numFmtId="0" fontId="0" fillId="3" borderId="55" xfId="0" applyFill="1" applyBorder="1" applyAlignment="1" applyProtection="1">
      <alignment horizontal="left" indent="1"/>
    </xf>
    <xf numFmtId="0" fontId="0" fillId="3" borderId="55" xfId="0" applyFill="1" applyBorder="1" applyProtection="1"/>
    <xf numFmtId="0" fontId="0" fillId="3" borderId="57" xfId="0" applyFill="1" applyBorder="1" applyProtection="1"/>
    <xf numFmtId="2" fontId="32" fillId="12" borderId="50" xfId="0" applyNumberFormat="1" applyFont="1" applyFill="1" applyBorder="1" applyAlignment="1">
      <alignment horizontal="center"/>
    </xf>
    <xf numFmtId="175" fontId="32" fillId="12" borderId="0" xfId="0" applyNumberFormat="1" applyFont="1" applyFill="1" applyBorder="1" applyAlignment="1">
      <alignment horizontal="center"/>
    </xf>
    <xf numFmtId="164" fontId="32" fillId="12" borderId="0" xfId="0" applyNumberFormat="1" applyFont="1" applyFill="1" applyBorder="1" applyAlignment="1">
      <alignment horizontal="center"/>
    </xf>
    <xf numFmtId="165" fontId="32" fillId="12" borderId="0" xfId="0" applyNumberFormat="1" applyFont="1" applyFill="1" applyBorder="1" applyAlignment="1">
      <alignment horizontal="center" vertical="center"/>
    </xf>
    <xf numFmtId="10" fontId="32" fillId="12" borderId="48" xfId="0" applyNumberFormat="1" applyFont="1" applyFill="1" applyBorder="1" applyAlignment="1">
      <alignment horizontal="center"/>
    </xf>
    <xf numFmtId="2" fontId="32" fillId="12" borderId="0" xfId="0" applyNumberFormat="1" applyFont="1" applyFill="1" applyBorder="1" applyAlignment="1">
      <alignment horizontal="center"/>
    </xf>
    <xf numFmtId="10" fontId="32" fillId="12" borderId="0" xfId="0" applyNumberFormat="1" applyFont="1" applyFill="1" applyBorder="1" applyAlignment="1">
      <alignment horizontal="center"/>
    </xf>
    <xf numFmtId="174" fontId="32" fillId="12" borderId="0" xfId="0" applyNumberFormat="1" applyFont="1" applyFill="1" applyBorder="1" applyAlignment="1">
      <alignment horizontal="center" vertical="center"/>
    </xf>
    <xf numFmtId="164" fontId="32" fillId="12" borderId="0" xfId="0" applyNumberFormat="1" applyFont="1" applyFill="1" applyBorder="1" applyAlignment="1">
      <alignment horizontal="center" vertical="center"/>
    </xf>
    <xf numFmtId="2" fontId="32" fillId="12" borderId="0" xfId="0" applyNumberFormat="1" applyFont="1" applyFill="1" applyBorder="1" applyAlignment="1">
      <alignment horizontal="center" vertical="center"/>
    </xf>
    <xf numFmtId="10" fontId="32" fillId="12" borderId="45" xfId="0" applyNumberFormat="1" applyFont="1" applyFill="1" applyBorder="1" applyAlignment="1">
      <alignment horizontal="center"/>
    </xf>
    <xf numFmtId="2" fontId="32" fillId="12" borderId="46" xfId="0" applyNumberFormat="1" applyFont="1" applyFill="1" applyBorder="1" applyAlignment="1">
      <alignment horizontal="center"/>
    </xf>
    <xf numFmtId="175" fontId="32" fillId="12" borderId="46" xfId="0" applyNumberFormat="1" applyFont="1" applyFill="1" applyBorder="1" applyAlignment="1">
      <alignment horizontal="center"/>
    </xf>
    <xf numFmtId="164" fontId="32" fillId="12" borderId="46" xfId="0" applyNumberFormat="1" applyFont="1" applyFill="1" applyBorder="1" applyAlignment="1">
      <alignment horizontal="center"/>
    </xf>
    <xf numFmtId="174" fontId="32" fillId="12" borderId="46" xfId="0" applyNumberFormat="1" applyFont="1" applyFill="1" applyBorder="1" applyAlignment="1">
      <alignment horizontal="center" vertical="center"/>
    </xf>
    <xf numFmtId="164" fontId="32" fillId="12" borderId="46" xfId="0" applyNumberFormat="1" applyFont="1" applyFill="1" applyBorder="1" applyAlignment="1">
      <alignment horizontal="center" vertical="center"/>
    </xf>
    <xf numFmtId="165" fontId="32" fillId="12" borderId="46" xfId="0" applyNumberFormat="1" applyFont="1" applyFill="1" applyBorder="1" applyAlignment="1">
      <alignment horizontal="center" vertical="center"/>
    </xf>
    <xf numFmtId="2" fontId="32" fillId="12" borderId="46" xfId="0" applyNumberFormat="1" applyFont="1" applyFill="1" applyBorder="1" applyAlignment="1">
      <alignment horizontal="center" vertical="center"/>
    </xf>
    <xf numFmtId="10" fontId="32" fillId="12" borderId="41" xfId="0" applyNumberFormat="1" applyFont="1" applyFill="1" applyBorder="1" applyAlignment="1">
      <alignment horizontal="center"/>
    </xf>
    <xf numFmtId="0" fontId="31" fillId="6" borderId="50" xfId="0" applyFont="1" applyFill="1" applyBorder="1" applyAlignment="1">
      <alignment horizontal="center" vertical="center"/>
    </xf>
    <xf numFmtId="2" fontId="32" fillId="2" borderId="50" xfId="0" applyNumberFormat="1" applyFont="1" applyFill="1" applyBorder="1" applyAlignment="1">
      <alignment horizontal="center" vertical="center"/>
    </xf>
    <xf numFmtId="2" fontId="32" fillId="12" borderId="50" xfId="0" applyNumberFormat="1" applyFont="1" applyFill="1" applyBorder="1" applyAlignment="1">
      <alignment horizontal="center" vertical="center"/>
    </xf>
    <xf numFmtId="165" fontId="32" fillId="12" borderId="29" xfId="0" applyNumberFormat="1" applyFont="1" applyFill="1" applyBorder="1" applyAlignment="1">
      <alignment horizontal="center" vertical="center"/>
    </xf>
    <xf numFmtId="2" fontId="32" fillId="12" borderId="29" xfId="0" applyNumberFormat="1" applyFont="1" applyFill="1" applyBorder="1" applyAlignment="1">
      <alignment horizontal="center" vertical="center"/>
    </xf>
    <xf numFmtId="0" fontId="32" fillId="6" borderId="52" xfId="0" applyFont="1" applyFill="1" applyBorder="1" applyAlignment="1">
      <alignment horizontal="center"/>
    </xf>
    <xf numFmtId="0" fontId="32" fillId="6" borderId="53" xfId="0" applyFont="1" applyFill="1" applyBorder="1" applyAlignment="1">
      <alignment horizontal="center"/>
    </xf>
    <xf numFmtId="0" fontId="32" fillId="6" borderId="54" xfId="0" applyFont="1" applyFill="1" applyBorder="1" applyAlignment="1">
      <alignment horizontal="center"/>
    </xf>
    <xf numFmtId="0" fontId="7" fillId="3" borderId="11" xfId="0" applyFont="1" applyFill="1" applyBorder="1" applyAlignment="1" applyProtection="1">
      <alignment horizontal="center" wrapText="1"/>
    </xf>
    <xf numFmtId="0" fontId="16" fillId="13" borderId="46" xfId="0" applyFont="1" applyFill="1" applyBorder="1" applyAlignment="1">
      <alignment vertical="center"/>
    </xf>
    <xf numFmtId="0" fontId="8" fillId="7" borderId="1" xfId="0" applyFont="1" applyFill="1" applyBorder="1" applyAlignment="1" applyProtection="1">
      <alignment horizontal="center"/>
      <protection locked="0"/>
    </xf>
    <xf numFmtId="165" fontId="0" fillId="7" borderId="30" xfId="0" applyNumberFormat="1" applyFill="1" applyBorder="1" applyAlignment="1" applyProtection="1">
      <alignment horizontal="center"/>
      <protection locked="0"/>
    </xf>
    <xf numFmtId="165" fontId="0" fillId="7" borderId="1" xfId="0" applyNumberFormat="1" applyFill="1" applyBorder="1" applyAlignment="1" applyProtection="1">
      <alignment horizontal="center"/>
      <protection locked="0"/>
    </xf>
    <xf numFmtId="0" fontId="8" fillId="4" borderId="59" xfId="0" applyFont="1" applyFill="1" applyBorder="1" applyAlignment="1" applyProtection="1">
      <alignment horizontal="center"/>
    </xf>
    <xf numFmtId="2" fontId="0" fillId="7" borderId="30" xfId="0" applyNumberFormat="1" applyFill="1" applyBorder="1" applyAlignment="1" applyProtection="1">
      <alignment horizontal="center"/>
      <protection locked="0"/>
    </xf>
    <xf numFmtId="0" fontId="8" fillId="4" borderId="36" xfId="0" applyFont="1" applyFill="1" applyBorder="1" applyAlignment="1" applyProtection="1">
      <alignment horizontal="center"/>
    </xf>
    <xf numFmtId="2" fontId="0" fillId="7" borderId="1" xfId="0" applyNumberFormat="1" applyFill="1" applyBorder="1" applyAlignment="1" applyProtection="1">
      <alignment horizontal="center"/>
      <protection locked="0"/>
    </xf>
    <xf numFmtId="0" fontId="8" fillId="4" borderId="60" xfId="0" applyFont="1" applyFill="1" applyBorder="1" applyAlignment="1" applyProtection="1">
      <alignment horizontal="center"/>
    </xf>
    <xf numFmtId="0" fontId="11" fillId="11" borderId="61" xfId="0" applyFont="1" applyFill="1" applyBorder="1" applyAlignment="1" applyProtection="1">
      <alignment horizontal="center"/>
    </xf>
    <xf numFmtId="0" fontId="8" fillId="4" borderId="58" xfId="0" applyFont="1" applyFill="1" applyBorder="1" applyAlignment="1" applyProtection="1">
      <alignment horizontal="center"/>
    </xf>
    <xf numFmtId="0" fontId="0" fillId="7" borderId="1" xfId="0" applyFill="1" applyBorder="1" applyAlignment="1" applyProtection="1">
      <alignment horizontal="center" vertical="center"/>
      <protection locked="0"/>
    </xf>
    <xf numFmtId="2" fontId="0" fillId="7" borderId="30" xfId="0" applyNumberFormat="1" applyFill="1" applyBorder="1" applyAlignment="1" applyProtection="1">
      <alignment horizontal="center" vertical="center"/>
      <protection locked="0"/>
    </xf>
    <xf numFmtId="0" fontId="34" fillId="11" borderId="61" xfId="0" applyFont="1" applyFill="1" applyBorder="1" applyAlignment="1" applyProtection="1">
      <alignment horizontal="center" vertical="center"/>
    </xf>
    <xf numFmtId="0" fontId="8" fillId="7" borderId="1" xfId="0" applyFont="1" applyFill="1" applyBorder="1" applyAlignment="1" applyProtection="1">
      <alignment horizontal="center" vertical="center"/>
      <protection locked="0"/>
    </xf>
    <xf numFmtId="164" fontId="58" fillId="5" borderId="0" xfId="0" applyNumberFormat="1" applyFont="1" applyFill="1" applyBorder="1" applyAlignment="1" applyProtection="1">
      <alignment horizontal="center"/>
    </xf>
    <xf numFmtId="0" fontId="0" fillId="7" borderId="0" xfId="0" applyFont="1" applyFill="1"/>
    <xf numFmtId="0" fontId="32" fillId="7" borderId="0" xfId="0" applyFont="1" applyFill="1" applyProtection="1">
      <protection hidden="1"/>
    </xf>
    <xf numFmtId="0" fontId="32" fillId="0" borderId="1" xfId="0" applyFont="1" applyBorder="1" applyAlignment="1">
      <alignment horizontal="center"/>
    </xf>
    <xf numFmtId="0" fontId="8" fillId="4" borderId="63" xfId="0" applyFont="1" applyFill="1" applyBorder="1" applyAlignment="1" applyProtection="1">
      <alignment horizontal="center" vertical="center"/>
    </xf>
    <xf numFmtId="175" fontId="32" fillId="12" borderId="29" xfId="0" applyNumberFormat="1" applyFont="1" applyFill="1" applyBorder="1" applyAlignment="1">
      <alignment horizontal="center"/>
    </xf>
    <xf numFmtId="164" fontId="32" fillId="12" borderId="29" xfId="0" applyNumberFormat="1" applyFont="1" applyFill="1" applyBorder="1" applyAlignment="1">
      <alignment horizontal="center" vertical="center"/>
    </xf>
    <xf numFmtId="165" fontId="21" fillId="5" borderId="0" xfId="0" applyNumberFormat="1" applyFont="1" applyFill="1" applyBorder="1" applyAlignment="1" applyProtection="1">
      <alignment horizontal="center" vertical="center"/>
    </xf>
    <xf numFmtId="2" fontId="0" fillId="3" borderId="9" xfId="0" applyNumberFormat="1" applyFont="1" applyFill="1" applyBorder="1" applyAlignment="1" applyProtection="1">
      <alignment horizontal="center"/>
    </xf>
    <xf numFmtId="0" fontId="8" fillId="4" borderId="65" xfId="0" applyFont="1" applyFill="1" applyBorder="1" applyAlignment="1" applyProtection="1">
      <alignment horizontal="center"/>
    </xf>
    <xf numFmtId="0" fontId="8" fillId="4" borderId="49" xfId="0" applyFont="1" applyFill="1" applyBorder="1" applyAlignment="1" applyProtection="1">
      <alignment horizontal="center"/>
    </xf>
    <xf numFmtId="0" fontId="21" fillId="5" borderId="0" xfId="0" applyFont="1" applyFill="1" applyBorder="1" applyAlignment="1" applyProtection="1">
      <alignment horizontal="center" vertical="center"/>
    </xf>
    <xf numFmtId="0" fontId="7" fillId="4" borderId="38" xfId="0" applyFont="1" applyFill="1" applyBorder="1" applyAlignment="1" applyProtection="1">
      <alignment horizontal="center" vertical="center"/>
    </xf>
    <xf numFmtId="0" fontId="21" fillId="5" borderId="25" xfId="0" applyFont="1" applyFill="1" applyBorder="1" applyAlignment="1" applyProtection="1">
      <alignment horizontal="center" vertical="center" wrapText="1"/>
    </xf>
    <xf numFmtId="0" fontId="61" fillId="5" borderId="0" xfId="0" applyFont="1" applyFill="1" applyBorder="1" applyAlignment="1" applyProtection="1">
      <alignment horizontal="center"/>
    </xf>
    <xf numFmtId="2" fontId="21" fillId="7" borderId="1" xfId="0" applyNumberFormat="1" applyFont="1" applyFill="1" applyBorder="1" applyAlignment="1" applyProtection="1">
      <alignment horizontal="center"/>
      <protection locked="0"/>
    </xf>
    <xf numFmtId="165" fontId="61" fillId="7" borderId="1" xfId="0" applyNumberFormat="1" applyFont="1" applyFill="1" applyBorder="1" applyAlignment="1" applyProtection="1">
      <alignment horizontal="center" vertical="center"/>
      <protection locked="0"/>
    </xf>
    <xf numFmtId="0" fontId="56" fillId="7" borderId="1" xfId="0" applyFont="1" applyFill="1" applyBorder="1" applyAlignment="1" applyProtection="1">
      <alignment horizontal="center" vertical="center"/>
      <protection locked="0"/>
    </xf>
    <xf numFmtId="0" fontId="0" fillId="7" borderId="0" xfId="0" applyFill="1" applyAlignment="1" applyProtection="1">
      <alignment horizontal="center"/>
      <protection locked="0"/>
    </xf>
    <xf numFmtId="0" fontId="0" fillId="7" borderId="0" xfId="0" applyFill="1" applyAlignment="1" applyProtection="1">
      <alignment horizontal="center" vertical="center"/>
      <protection locked="0"/>
    </xf>
    <xf numFmtId="0" fontId="0" fillId="7" borderId="0" xfId="0" applyFill="1" applyProtection="1">
      <protection locked="0"/>
    </xf>
    <xf numFmtId="0" fontId="0" fillId="7" borderId="0" xfId="0" applyFill="1" applyBorder="1" applyAlignment="1" applyProtection="1">
      <alignment horizontal="center"/>
      <protection locked="0"/>
    </xf>
    <xf numFmtId="0" fontId="31" fillId="6" borderId="0" xfId="0" applyFont="1" applyFill="1" applyBorder="1" applyAlignment="1">
      <alignment horizontal="center" vertical="center"/>
    </xf>
    <xf numFmtId="0" fontId="31" fillId="7" borderId="1" xfId="0" applyFont="1" applyFill="1" applyBorder="1" applyAlignment="1" applyProtection="1">
      <alignment horizontal="center" vertical="center"/>
      <protection locked="0"/>
    </xf>
    <xf numFmtId="0" fontId="21" fillId="5" borderId="49" xfId="0" applyFont="1" applyFill="1" applyBorder="1" applyAlignment="1" applyProtection="1">
      <alignment horizontal="center"/>
    </xf>
    <xf numFmtId="0" fontId="7" fillId="5" borderId="40" xfId="0" applyFont="1" applyFill="1" applyBorder="1" applyAlignment="1" applyProtection="1">
      <alignment horizontal="center"/>
    </xf>
    <xf numFmtId="164" fontId="32" fillId="2" borderId="50" xfId="0" applyNumberFormat="1" applyFont="1" applyFill="1" applyBorder="1" applyAlignment="1">
      <alignment horizontal="center" vertical="center"/>
    </xf>
    <xf numFmtId="0" fontId="63" fillId="7" borderId="0" xfId="0" applyFont="1" applyFill="1" applyBorder="1" applyAlignment="1" applyProtection="1">
      <alignment horizontal="center" vertical="center"/>
    </xf>
    <xf numFmtId="0" fontId="64" fillId="7" borderId="0" xfId="0" applyFont="1" applyFill="1" applyBorder="1" applyAlignment="1" applyProtection="1">
      <alignment horizontal="center" vertical="center"/>
    </xf>
    <xf numFmtId="0" fontId="65" fillId="7" borderId="0" xfId="0" applyFont="1" applyFill="1" applyBorder="1" applyAlignment="1" applyProtection="1">
      <alignment horizontal="center"/>
    </xf>
    <xf numFmtId="0" fontId="38" fillId="7" borderId="0" xfId="0" applyFont="1" applyFill="1" applyBorder="1" applyAlignment="1" applyProtection="1">
      <alignment horizontal="left" indent="1"/>
    </xf>
    <xf numFmtId="0" fontId="38" fillId="7" borderId="0" xfId="0" applyFont="1" applyFill="1" applyBorder="1" applyAlignment="1" applyProtection="1">
      <alignment horizontal="left" vertical="center" indent="1"/>
    </xf>
    <xf numFmtId="0" fontId="65" fillId="7" borderId="0" xfId="0" applyFont="1" applyFill="1" applyBorder="1" applyAlignment="1" applyProtection="1">
      <alignment horizontal="center" vertical="center"/>
    </xf>
    <xf numFmtId="0" fontId="38" fillId="7" borderId="0" xfId="0" applyFont="1" applyFill="1" applyBorder="1" applyProtection="1"/>
    <xf numFmtId="0" fontId="66" fillId="7" borderId="0" xfId="0" applyFont="1" applyFill="1" applyBorder="1" applyAlignment="1" applyProtection="1">
      <alignment horizontal="center" vertical="center"/>
    </xf>
    <xf numFmtId="0" fontId="67" fillId="7" borderId="0" xfId="1" applyFont="1" applyFill="1" applyBorder="1" applyAlignment="1" applyProtection="1">
      <alignment horizontal="left"/>
    </xf>
    <xf numFmtId="0" fontId="36" fillId="7" borderId="0" xfId="0" applyFont="1" applyFill="1" applyBorder="1" applyAlignment="1" applyProtection="1">
      <alignment horizontal="left" vertical="center" wrapText="1"/>
    </xf>
    <xf numFmtId="0" fontId="68" fillId="7" borderId="0" xfId="0" applyFont="1" applyFill="1" applyProtection="1"/>
    <xf numFmtId="0" fontId="68" fillId="7" borderId="0" xfId="0" applyFont="1" applyFill="1" applyBorder="1" applyProtection="1"/>
    <xf numFmtId="0" fontId="69" fillId="7" borderId="0" xfId="0" applyFont="1" applyFill="1" applyBorder="1" applyProtection="1"/>
    <xf numFmtId="0" fontId="68" fillId="7" borderId="0" xfId="0" applyFont="1" applyFill="1" applyBorder="1" applyAlignment="1" applyProtection="1">
      <alignment horizontal="left" indent="1"/>
    </xf>
    <xf numFmtId="0" fontId="69" fillId="7" borderId="0" xfId="0" applyFont="1" applyFill="1" applyBorder="1" applyAlignment="1" applyProtection="1">
      <alignment horizontal="left" vertical="center"/>
    </xf>
    <xf numFmtId="167" fontId="68" fillId="7" borderId="0" xfId="0" applyNumberFormat="1" applyFont="1" applyFill="1" applyBorder="1" applyAlignment="1" applyProtection="1">
      <alignment horizontal="left"/>
    </xf>
    <xf numFmtId="0" fontId="70" fillId="7" borderId="0" xfId="0" applyFont="1" applyFill="1" applyBorder="1" applyAlignment="1" applyProtection="1">
      <alignment horizontal="right" vertical="center" indent="1"/>
    </xf>
    <xf numFmtId="169" fontId="68" fillId="7" borderId="0" xfId="0" applyNumberFormat="1" applyFont="1" applyFill="1" applyAlignment="1" applyProtection="1">
      <alignment horizontal="left" indent="3"/>
    </xf>
    <xf numFmtId="170" fontId="68" fillId="7" borderId="0" xfId="0" applyNumberFormat="1" applyFont="1" applyFill="1" applyBorder="1" applyAlignment="1" applyProtection="1">
      <alignment horizontal="left"/>
    </xf>
    <xf numFmtId="171" fontId="68" fillId="7" borderId="0" xfId="0" applyNumberFormat="1" applyFont="1" applyFill="1" applyBorder="1" applyAlignment="1" applyProtection="1">
      <alignment horizontal="left" indent="1"/>
    </xf>
    <xf numFmtId="167" fontId="68" fillId="7" borderId="0" xfId="0" applyNumberFormat="1" applyFont="1" applyFill="1" applyBorder="1" applyAlignment="1" applyProtection="1">
      <alignment horizontal="center"/>
    </xf>
    <xf numFmtId="0" fontId="68" fillId="7" borderId="0" xfId="0" applyFont="1" applyFill="1" applyBorder="1" applyAlignment="1" applyProtection="1">
      <alignment horizontal="left" vertical="center" indent="1"/>
    </xf>
    <xf numFmtId="172" fontId="38" fillId="7" borderId="0" xfId="0" applyNumberFormat="1" applyFont="1" applyFill="1" applyProtection="1"/>
    <xf numFmtId="165" fontId="38" fillId="7" borderId="0" xfId="0" applyNumberFormat="1" applyFont="1" applyFill="1" applyBorder="1" applyAlignment="1" applyProtection="1">
      <alignment horizontal="center" vertical="center"/>
    </xf>
    <xf numFmtId="0" fontId="38" fillId="7" borderId="0" xfId="0" applyFont="1" applyFill="1" applyAlignment="1" applyProtection="1">
      <alignment horizontal="center"/>
    </xf>
    <xf numFmtId="0" fontId="29" fillId="7" borderId="0" xfId="0" applyFont="1" applyFill="1" applyProtection="1"/>
    <xf numFmtId="0" fontId="73" fillId="7" borderId="0" xfId="0" applyFont="1" applyFill="1" applyAlignment="1" applyProtection="1">
      <alignment horizontal="center"/>
    </xf>
    <xf numFmtId="0" fontId="0" fillId="5" borderId="46" xfId="0" applyFill="1" applyBorder="1" applyProtection="1"/>
    <xf numFmtId="165" fontId="21" fillId="7" borderId="1" xfId="0" applyNumberFormat="1" applyFont="1" applyFill="1" applyBorder="1" applyAlignment="1" applyProtection="1">
      <alignment horizontal="center"/>
      <protection locked="0"/>
    </xf>
    <xf numFmtId="0" fontId="21" fillId="7" borderId="1" xfId="0" applyFont="1" applyFill="1" applyBorder="1" applyAlignment="1" applyProtection="1">
      <alignment horizontal="center" vertical="center" wrapText="1"/>
      <protection locked="0"/>
    </xf>
    <xf numFmtId="0" fontId="42" fillId="5" borderId="49" xfId="0" applyFont="1" applyFill="1" applyBorder="1" applyAlignment="1" applyProtection="1">
      <alignment horizontal="center" vertical="center" wrapText="1"/>
    </xf>
    <xf numFmtId="0" fontId="42" fillId="5" borderId="64" xfId="0" applyFont="1" applyFill="1" applyBorder="1" applyAlignment="1" applyProtection="1">
      <alignment horizontal="center" vertical="center" wrapText="1"/>
    </xf>
    <xf numFmtId="1" fontId="21" fillId="7" borderId="1" xfId="0" applyNumberFormat="1" applyFont="1" applyFill="1" applyBorder="1" applyAlignment="1" applyProtection="1">
      <alignment horizontal="center"/>
      <protection locked="0"/>
    </xf>
    <xf numFmtId="164" fontId="21" fillId="7" borderId="1" xfId="0" applyNumberFormat="1" applyFont="1" applyFill="1" applyBorder="1" applyAlignment="1" applyProtection="1">
      <alignment horizontal="center" vertical="center"/>
      <protection locked="0"/>
    </xf>
    <xf numFmtId="0" fontId="21" fillId="5" borderId="0" xfId="0" applyFont="1" applyFill="1" applyBorder="1" applyProtection="1"/>
    <xf numFmtId="0" fontId="21" fillId="7" borderId="1" xfId="0" applyNumberFormat="1" applyFont="1" applyFill="1" applyBorder="1" applyAlignment="1" applyProtection="1">
      <alignment horizontal="center" vertical="center"/>
      <protection locked="0"/>
    </xf>
    <xf numFmtId="0" fontId="21" fillId="7" borderId="1" xfId="2" applyNumberFormat="1" applyFont="1" applyFill="1" applyBorder="1" applyAlignment="1" applyProtection="1">
      <alignment horizontal="center" vertical="center"/>
      <protection locked="0"/>
    </xf>
    <xf numFmtId="164" fontId="32" fillId="12" borderId="50" xfId="0" applyNumberFormat="1" applyFont="1" applyFill="1" applyBorder="1" applyAlignment="1">
      <alignment horizontal="center" vertical="center"/>
    </xf>
    <xf numFmtId="0" fontId="29" fillId="4" borderId="8" xfId="0" applyFont="1" applyFill="1" applyBorder="1" applyAlignment="1" applyProtection="1">
      <alignment horizontal="left" indent="1"/>
    </xf>
    <xf numFmtId="0" fontId="29" fillId="4" borderId="9" xfId="0" applyFont="1" applyFill="1" applyBorder="1" applyAlignment="1" applyProtection="1">
      <alignment horizontal="left" indent="1"/>
    </xf>
    <xf numFmtId="0" fontId="29" fillId="4" borderId="12" xfId="0" applyFont="1" applyFill="1" applyBorder="1" applyAlignment="1" applyProtection="1">
      <alignment horizontal="left" indent="1"/>
    </xf>
    <xf numFmtId="0" fontId="37" fillId="7" borderId="0" xfId="0" applyFont="1" applyFill="1"/>
    <xf numFmtId="0" fontId="31" fillId="7" borderId="0" xfId="0" applyFont="1" applyFill="1" applyAlignment="1">
      <alignment vertical="center"/>
    </xf>
    <xf numFmtId="0" fontId="32" fillId="7" borderId="0" xfId="0" applyFont="1" applyFill="1"/>
    <xf numFmtId="0" fontId="0" fillId="7" borderId="50" xfId="0" applyFill="1" applyBorder="1" applyAlignment="1" applyProtection="1">
      <alignment horizontal="center"/>
      <protection locked="0"/>
    </xf>
    <xf numFmtId="0" fontId="57" fillId="7" borderId="0" xfId="0" applyFont="1" applyFill="1" applyAlignment="1" applyProtection="1">
      <alignment horizontal="center"/>
      <protection locked="0"/>
    </xf>
    <xf numFmtId="0" fontId="0" fillId="7" borderId="0" xfId="0" applyFill="1" applyAlignment="1">
      <alignment horizontal="center"/>
    </xf>
    <xf numFmtId="0" fontId="0" fillId="7" borderId="0" xfId="0" applyFill="1" applyAlignment="1">
      <alignment horizontal="center" vertical="center"/>
    </xf>
    <xf numFmtId="0" fontId="0" fillId="6" borderId="48" xfId="0" applyFont="1" applyFill="1" applyBorder="1"/>
    <xf numFmtId="0" fontId="59" fillId="6" borderId="50" xfId="0" applyFont="1" applyFill="1" applyBorder="1" applyAlignment="1">
      <alignment horizontal="center" vertical="center"/>
    </xf>
    <xf numFmtId="173" fontId="59" fillId="6" borderId="50" xfId="0" applyNumberFormat="1" applyFont="1" applyFill="1" applyBorder="1" applyAlignment="1">
      <alignment horizontal="center" vertical="center"/>
    </xf>
    <xf numFmtId="0" fontId="31" fillId="6" borderId="48" xfId="0" applyFont="1" applyFill="1" applyBorder="1" applyAlignment="1">
      <alignment horizontal="center" vertical="center"/>
    </xf>
    <xf numFmtId="0" fontId="31" fillId="6" borderId="54" xfId="0" applyFont="1" applyFill="1" applyBorder="1" applyAlignment="1">
      <alignment horizontal="center" vertical="center"/>
    </xf>
    <xf numFmtId="0" fontId="31" fillId="6" borderId="41" xfId="0" applyFont="1" applyFill="1" applyBorder="1" applyAlignment="1">
      <alignment horizontal="center" vertical="center"/>
    </xf>
    <xf numFmtId="10" fontId="32" fillId="2" borderId="50" xfId="0" applyNumberFormat="1" applyFont="1" applyFill="1" applyBorder="1" applyAlignment="1">
      <alignment horizontal="center"/>
    </xf>
    <xf numFmtId="174" fontId="32" fillId="2" borderId="50" xfId="0" applyNumberFormat="1" applyFont="1" applyFill="1" applyBorder="1" applyAlignment="1">
      <alignment horizontal="center" vertical="center"/>
    </xf>
    <xf numFmtId="165" fontId="32" fillId="2" borderId="50" xfId="0" applyNumberFormat="1" applyFont="1" applyFill="1" applyBorder="1" applyAlignment="1">
      <alignment horizontal="center" vertical="center"/>
    </xf>
    <xf numFmtId="0" fontId="32" fillId="6" borderId="31" xfId="0" applyFont="1" applyFill="1" applyBorder="1" applyAlignment="1">
      <alignment horizontal="center"/>
    </xf>
    <xf numFmtId="10" fontId="32" fillId="12" borderId="50" xfId="0" applyNumberFormat="1" applyFont="1" applyFill="1" applyBorder="1" applyAlignment="1">
      <alignment horizontal="center"/>
    </xf>
    <xf numFmtId="174" fontId="32" fillId="12" borderId="50" xfId="0" applyNumberFormat="1" applyFont="1" applyFill="1" applyBorder="1" applyAlignment="1">
      <alignment horizontal="center" vertical="center"/>
    </xf>
    <xf numFmtId="165" fontId="32" fillId="12" borderId="50" xfId="0" applyNumberFormat="1" applyFont="1" applyFill="1" applyBorder="1" applyAlignment="1">
      <alignment horizontal="center" vertical="center"/>
    </xf>
    <xf numFmtId="0" fontId="7" fillId="7" borderId="0" xfId="0" applyFont="1" applyFill="1" applyProtection="1"/>
    <xf numFmtId="0" fontId="11" fillId="6" borderId="38" xfId="0" applyFont="1" applyFill="1" applyBorder="1" applyAlignment="1" applyProtection="1">
      <alignment horizontal="center" vertical="center" wrapText="1"/>
    </xf>
    <xf numFmtId="0" fontId="11" fillId="6" borderId="42" xfId="0" applyFont="1" applyFill="1" applyBorder="1" applyAlignment="1" applyProtection="1">
      <alignment horizontal="center" vertical="center"/>
    </xf>
    <xf numFmtId="0" fontId="0" fillId="5" borderId="40" xfId="0" applyFill="1" applyBorder="1" applyAlignment="1" applyProtection="1">
      <alignment horizontal="center" vertical="center"/>
    </xf>
    <xf numFmtId="1" fontId="0" fillId="5" borderId="46" xfId="0" applyNumberFormat="1" applyFill="1" applyBorder="1" applyAlignment="1" applyProtection="1">
      <alignment horizontal="center" vertical="center"/>
    </xf>
    <xf numFmtId="0" fontId="0" fillId="5" borderId="46" xfId="0" applyFill="1" applyBorder="1" applyAlignment="1" applyProtection="1">
      <alignment horizontal="center" vertical="center"/>
    </xf>
    <xf numFmtId="0" fontId="0" fillId="7" borderId="0" xfId="0" applyFont="1" applyFill="1" applyProtection="1"/>
    <xf numFmtId="0" fontId="45" fillId="7" borderId="0" xfId="0" applyFont="1" applyFill="1" applyProtection="1"/>
    <xf numFmtId="0" fontId="10" fillId="7" borderId="0" xfId="0" applyFont="1" applyFill="1" applyProtection="1"/>
    <xf numFmtId="181" fontId="32" fillId="7" borderId="0" xfId="0" applyNumberFormat="1" applyFont="1" applyFill="1" applyAlignment="1">
      <alignment horizontal="center"/>
    </xf>
    <xf numFmtId="0" fontId="28" fillId="7" borderId="0" xfId="0" applyFont="1" applyFill="1" applyProtection="1"/>
    <xf numFmtId="0" fontId="45" fillId="7" borderId="0" xfId="1" applyFont="1" applyFill="1"/>
    <xf numFmtId="0" fontId="5" fillId="7" borderId="0" xfId="1" applyFill="1"/>
    <xf numFmtId="0" fontId="32" fillId="7" borderId="0" xfId="1" applyFont="1" applyFill="1"/>
    <xf numFmtId="0" fontId="43" fillId="7" borderId="0" xfId="1" applyFont="1" applyFill="1"/>
    <xf numFmtId="0" fontId="9" fillId="6" borderId="38" xfId="0" applyFont="1" applyFill="1" applyBorder="1" applyAlignment="1" applyProtection="1">
      <alignment horizontal="center"/>
    </xf>
    <xf numFmtId="0" fontId="9" fillId="6" borderId="42" xfId="0" applyFont="1" applyFill="1" applyBorder="1" applyAlignment="1" applyProtection="1">
      <alignment horizontal="center"/>
    </xf>
    <xf numFmtId="0" fontId="0" fillId="5" borderId="45" xfId="0" applyFill="1" applyBorder="1" applyProtection="1"/>
    <xf numFmtId="0" fontId="0" fillId="5" borderId="4" xfId="0" applyFill="1" applyBorder="1" applyAlignment="1" applyProtection="1">
      <alignment horizontal="left" indent="1"/>
    </xf>
    <xf numFmtId="0" fontId="0" fillId="5" borderId="0" xfId="0" applyFill="1" applyBorder="1" applyAlignment="1" applyProtection="1">
      <alignment horizontal="left" indent="1"/>
    </xf>
    <xf numFmtId="0" fontId="11" fillId="11" borderId="42" xfId="0" applyFont="1" applyFill="1" applyBorder="1" applyAlignment="1" applyProtection="1">
      <alignment horizontal="center" vertical="center"/>
    </xf>
    <xf numFmtId="0" fontId="0" fillId="4" borderId="9" xfId="0" applyFill="1" applyBorder="1" applyAlignment="1" applyProtection="1">
      <alignment horizontal="left" vertical="center" indent="1"/>
    </xf>
    <xf numFmtId="0" fontId="0" fillId="4" borderId="12" xfId="0" applyFill="1" applyBorder="1" applyAlignment="1" applyProtection="1">
      <alignment horizontal="left" vertical="center" indent="1"/>
    </xf>
    <xf numFmtId="0" fontId="0" fillId="5" borderId="47" xfId="0" applyFill="1" applyBorder="1" applyAlignment="1" applyProtection="1">
      <alignment horizontal="left" indent="1"/>
    </xf>
    <xf numFmtId="0" fontId="28" fillId="7" borderId="0" xfId="0" applyFont="1" applyFill="1" applyAlignment="1" applyProtection="1">
      <alignment horizontal="center"/>
    </xf>
    <xf numFmtId="0" fontId="0" fillId="5" borderId="4" xfId="0" applyFill="1" applyBorder="1" applyAlignment="1" applyProtection="1">
      <alignment horizontal="left" vertical="center" indent="1"/>
    </xf>
    <xf numFmtId="0" fontId="0" fillId="5" borderId="0" xfId="0" applyFill="1" applyBorder="1" applyAlignment="1" applyProtection="1">
      <alignment horizontal="left" vertical="center" indent="1"/>
    </xf>
    <xf numFmtId="0" fontId="0" fillId="5" borderId="45" xfId="0" applyFill="1" applyBorder="1" applyAlignment="1" applyProtection="1">
      <alignment horizontal="left" indent="1"/>
    </xf>
    <xf numFmtId="0" fontId="0" fillId="4" borderId="14" xfId="0" applyFill="1" applyBorder="1" applyAlignment="1" applyProtection="1">
      <alignment horizontal="left" vertical="center" indent="1"/>
    </xf>
    <xf numFmtId="0" fontId="0" fillId="4" borderId="8" xfId="0" applyFill="1" applyBorder="1" applyAlignment="1" applyProtection="1">
      <alignment horizontal="left" vertical="center" indent="1"/>
    </xf>
    <xf numFmtId="0" fontId="45" fillId="7" borderId="0" xfId="0" applyNumberFormat="1" applyFont="1" applyFill="1" applyAlignment="1" applyProtection="1">
      <alignment horizontal="center" vertical="center"/>
    </xf>
    <xf numFmtId="0" fontId="43" fillId="7" borderId="0" xfId="1" applyFont="1" applyFill="1"/>
    <xf numFmtId="164" fontId="32" fillId="2" borderId="29" xfId="0" applyNumberFormat="1" applyFont="1" applyFill="1" applyBorder="1" applyAlignment="1">
      <alignment horizontal="center" vertical="center"/>
    </xf>
    <xf numFmtId="0" fontId="41" fillId="7" borderId="0" xfId="0" applyFont="1" applyFill="1" applyAlignment="1" applyProtection="1">
      <alignment horizontal="center"/>
    </xf>
    <xf numFmtId="0" fontId="41" fillId="7" borderId="0" xfId="0" applyFont="1" applyFill="1" applyProtection="1"/>
    <xf numFmtId="0" fontId="8" fillId="4" borderId="43" xfId="0" applyFont="1" applyFill="1" applyBorder="1" applyAlignment="1" applyProtection="1">
      <alignment horizontal="center" vertical="center"/>
    </xf>
    <xf numFmtId="0" fontId="8" fillId="4" borderId="62" xfId="0" applyFont="1" applyFill="1" applyBorder="1" applyAlignment="1" applyProtection="1">
      <alignment horizontal="center" vertical="center"/>
    </xf>
    <xf numFmtId="0" fontId="0" fillId="4" borderId="10" xfId="0" applyFill="1" applyBorder="1" applyAlignment="1" applyProtection="1">
      <alignment horizontal="center" vertical="center"/>
    </xf>
    <xf numFmtId="0" fontId="0" fillId="4" borderId="36" xfId="0" applyFill="1" applyBorder="1" applyAlignment="1" applyProtection="1">
      <alignment horizontal="left" vertical="center" indent="1"/>
    </xf>
    <xf numFmtId="0" fontId="7" fillId="4" borderId="3" xfId="0" applyFont="1" applyFill="1" applyBorder="1" applyAlignment="1" applyProtection="1">
      <alignment horizontal="center" vertical="center"/>
    </xf>
    <xf numFmtId="0" fontId="8" fillId="4" borderId="58" xfId="0" applyFont="1" applyFill="1" applyBorder="1" applyAlignment="1" applyProtection="1">
      <alignment horizontal="center" vertical="center"/>
    </xf>
    <xf numFmtId="0" fontId="0" fillId="4" borderId="37" xfId="0" applyFill="1" applyBorder="1" applyAlignment="1" applyProtection="1">
      <alignment horizontal="left" vertical="center" indent="1"/>
    </xf>
    <xf numFmtId="0" fontId="38" fillId="7" borderId="0" xfId="0" applyFont="1" applyFill="1" applyBorder="1" applyAlignment="1" applyProtection="1">
      <alignment wrapText="1"/>
    </xf>
    <xf numFmtId="0" fontId="72" fillId="7" borderId="0" xfId="0" applyFont="1" applyFill="1" applyAlignment="1" applyProtection="1">
      <alignment horizontal="center" vertical="center" readingOrder="1"/>
    </xf>
    <xf numFmtId="2" fontId="0" fillId="5" borderId="49" xfId="0" applyNumberFormat="1" applyFill="1" applyBorder="1" applyAlignment="1" applyProtection="1">
      <alignment horizontal="left" vertical="center"/>
    </xf>
    <xf numFmtId="0" fontId="0" fillId="5" borderId="0" xfId="2" applyNumberFormat="1" applyFont="1" applyFill="1" applyBorder="1" applyAlignment="1" applyProtection="1">
      <alignment horizontal="center" vertical="center"/>
    </xf>
    <xf numFmtId="2" fontId="21" fillId="5" borderId="49" xfId="0" applyNumberFormat="1" applyFont="1" applyFill="1" applyBorder="1" applyAlignment="1" applyProtection="1">
      <alignment horizontal="left" vertical="center"/>
    </xf>
    <xf numFmtId="177" fontId="0" fillId="7" borderId="0" xfId="0" applyNumberFormat="1" applyFill="1" applyBorder="1" applyAlignment="1" applyProtection="1">
      <alignment horizontal="center" vertical="center"/>
    </xf>
    <xf numFmtId="0" fontId="0" fillId="7" borderId="0" xfId="0" applyFill="1" applyBorder="1" applyProtection="1"/>
    <xf numFmtId="0" fontId="21" fillId="5" borderId="49" xfId="0" applyFont="1" applyFill="1" applyBorder="1" applyAlignment="1" applyProtection="1">
      <alignment horizontal="left" vertical="center"/>
    </xf>
    <xf numFmtId="0" fontId="7" fillId="5" borderId="49" xfId="0" applyFont="1" applyFill="1" applyBorder="1" applyAlignment="1" applyProtection="1">
      <alignment horizontal="center" vertical="center"/>
    </xf>
    <xf numFmtId="0" fontId="7" fillId="5" borderId="0" xfId="0" applyFont="1" applyFill="1" applyBorder="1" applyAlignment="1" applyProtection="1">
      <alignment horizontal="center" vertical="center"/>
    </xf>
    <xf numFmtId="0" fontId="0" fillId="5" borderId="0" xfId="0" applyFill="1" applyBorder="1" applyAlignment="1" applyProtection="1">
      <alignment horizontal="center" vertical="center"/>
    </xf>
    <xf numFmtId="0" fontId="0" fillId="5" borderId="49" xfId="0" applyFill="1" applyBorder="1" applyAlignment="1" applyProtection="1"/>
    <xf numFmtId="183" fontId="29" fillId="5" borderId="0" xfId="0" applyNumberFormat="1" applyFont="1" applyFill="1" applyBorder="1" applyAlignment="1" applyProtection="1">
      <alignment horizontal="center" vertical="center"/>
    </xf>
    <xf numFmtId="180" fontId="0" fillId="5" borderId="0" xfId="0" applyNumberFormat="1" applyFill="1" applyBorder="1" applyAlignment="1" applyProtection="1">
      <alignment horizontal="center" vertical="center"/>
    </xf>
    <xf numFmtId="179" fontId="0" fillId="5" borderId="0" xfId="0" applyNumberFormat="1" applyFill="1" applyBorder="1" applyAlignment="1" applyProtection="1">
      <alignment horizontal="center"/>
    </xf>
    <xf numFmtId="0" fontId="74" fillId="5" borderId="49" xfId="0" applyFont="1" applyFill="1" applyBorder="1" applyAlignment="1" applyProtection="1">
      <alignment horizontal="center" vertical="center"/>
    </xf>
    <xf numFmtId="0" fontId="7" fillId="5" borderId="45" xfId="0" applyFont="1" applyFill="1" applyBorder="1" applyProtection="1"/>
    <xf numFmtId="0" fontId="0" fillId="5" borderId="0" xfId="0" applyFont="1" applyFill="1" applyBorder="1" applyAlignment="1" applyProtection="1">
      <alignment horizontal="center" vertical="center"/>
    </xf>
    <xf numFmtId="178" fontId="0" fillId="5" borderId="0" xfId="0" applyNumberFormat="1" applyFont="1" applyFill="1" applyBorder="1" applyAlignment="1" applyProtection="1">
      <alignment horizontal="center" vertical="center"/>
    </xf>
    <xf numFmtId="9" fontId="39" fillId="5" borderId="0" xfId="2" applyFont="1" applyFill="1" applyBorder="1" applyAlignment="1" applyProtection="1">
      <alignment horizontal="center" vertical="center"/>
    </xf>
    <xf numFmtId="179" fontId="0" fillId="5" borderId="0" xfId="0" applyNumberFormat="1" applyFont="1" applyFill="1" applyBorder="1" applyAlignment="1" applyProtection="1">
      <alignment horizontal="center" vertical="center"/>
    </xf>
    <xf numFmtId="176" fontId="0" fillId="5" borderId="45" xfId="0" applyNumberFormat="1" applyFill="1" applyBorder="1" applyAlignment="1" applyProtection="1">
      <alignment horizontal="left"/>
    </xf>
    <xf numFmtId="167" fontId="29" fillId="5" borderId="0" xfId="0" applyNumberFormat="1" applyFont="1" applyFill="1" applyBorder="1" applyAlignment="1" applyProtection="1">
      <alignment horizontal="center" vertical="center"/>
    </xf>
    <xf numFmtId="173" fontId="39" fillId="5" borderId="0" xfId="2" applyNumberFormat="1" applyFont="1" applyFill="1" applyBorder="1" applyAlignment="1" applyProtection="1">
      <alignment horizontal="center" vertical="center"/>
    </xf>
    <xf numFmtId="0" fontId="7" fillId="5" borderId="40" xfId="0" applyFont="1" applyFill="1" applyBorder="1" applyAlignment="1" applyProtection="1">
      <alignment horizontal="center" vertical="center"/>
    </xf>
    <xf numFmtId="10" fontId="32" fillId="2" borderId="29" xfId="0" applyNumberFormat="1" applyFont="1" applyFill="1" applyBorder="1" applyAlignment="1">
      <alignment horizontal="center"/>
    </xf>
    <xf numFmtId="10" fontId="32" fillId="12" borderId="46" xfId="0" applyNumberFormat="1" applyFont="1" applyFill="1" applyBorder="1" applyAlignment="1">
      <alignment horizontal="center"/>
    </xf>
    <xf numFmtId="10" fontId="32" fillId="12" borderId="29" xfId="0" applyNumberFormat="1" applyFont="1" applyFill="1" applyBorder="1" applyAlignment="1">
      <alignment horizontal="center"/>
    </xf>
    <xf numFmtId="0" fontId="37" fillId="7" borderId="0" xfId="0" applyFont="1" applyFill="1" applyProtection="1"/>
    <xf numFmtId="0" fontId="75" fillId="7" borderId="0" xfId="0" applyFont="1" applyFill="1" applyProtection="1"/>
    <xf numFmtId="0" fontId="0" fillId="5" borderId="0" xfId="0" applyFill="1" applyBorder="1" applyAlignment="1" applyProtection="1">
      <alignment horizontal="center"/>
    </xf>
    <xf numFmtId="0" fontId="0" fillId="5" borderId="0" xfId="0" applyFill="1" applyBorder="1" applyProtection="1"/>
    <xf numFmtId="0" fontId="0" fillId="5" borderId="45" xfId="0" applyFill="1" applyBorder="1" applyProtection="1"/>
    <xf numFmtId="0" fontId="43" fillId="7" borderId="0" xfId="0" applyFont="1" applyFill="1" applyProtection="1"/>
    <xf numFmtId="0" fontId="76" fillId="7" borderId="0" xfId="0" applyFont="1" applyFill="1" applyProtection="1"/>
    <xf numFmtId="0" fontId="43" fillId="7" borderId="0" xfId="0" applyFont="1" applyFill="1" applyAlignment="1" applyProtection="1">
      <alignment horizontal="center"/>
    </xf>
    <xf numFmtId="0" fontId="43" fillId="7" borderId="0" xfId="0" applyNumberFormat="1" applyFont="1" applyFill="1" applyAlignment="1">
      <alignment horizontal="center" vertical="center"/>
    </xf>
    <xf numFmtId="0" fontId="43" fillId="7" borderId="0" xfId="0" applyNumberFormat="1" applyFont="1" applyFill="1" applyAlignment="1" applyProtection="1">
      <alignment horizontal="center" vertical="center"/>
    </xf>
    <xf numFmtId="0" fontId="43" fillId="7" borderId="0" xfId="0" applyFont="1" applyFill="1" applyAlignment="1" applyProtection="1">
      <alignment horizontal="left"/>
    </xf>
    <xf numFmtId="0" fontId="77" fillId="7" borderId="0" xfId="0" applyFont="1" applyFill="1" applyBorder="1" applyAlignment="1" applyProtection="1">
      <alignment horizontal="center" wrapText="1"/>
      <protection hidden="1"/>
    </xf>
    <xf numFmtId="0" fontId="43" fillId="7" borderId="0" xfId="0" applyNumberFormat="1" applyFont="1" applyFill="1" applyBorder="1" applyAlignment="1" applyProtection="1">
      <alignment horizontal="center" vertical="center"/>
    </xf>
    <xf numFmtId="0" fontId="43" fillId="7" borderId="0" xfId="0" applyFont="1" applyFill="1"/>
    <xf numFmtId="0" fontId="43" fillId="7" borderId="0" xfId="1" applyFont="1" applyFill="1" applyAlignment="1">
      <alignment horizontal="center"/>
    </xf>
    <xf numFmtId="0" fontId="37" fillId="7" borderId="0" xfId="0" applyFont="1" applyFill="1" applyAlignment="1" applyProtection="1">
      <alignment horizontal="center"/>
    </xf>
    <xf numFmtId="11" fontId="37" fillId="7" borderId="0" xfId="0" applyNumberFormat="1" applyFont="1" applyFill="1" applyAlignment="1" applyProtection="1">
      <alignment horizontal="center"/>
    </xf>
    <xf numFmtId="0" fontId="43" fillId="7" borderId="0" xfId="0" applyFont="1" applyFill="1" applyAlignment="1">
      <alignment horizontal="center" vertical="center"/>
    </xf>
    <xf numFmtId="0" fontId="43" fillId="7" borderId="0" xfId="0" applyFont="1" applyFill="1" applyAlignment="1">
      <alignment horizontal="center"/>
    </xf>
    <xf numFmtId="181" fontId="43" fillId="7" borderId="0" xfId="0" applyNumberFormat="1" applyFont="1" applyFill="1" applyAlignment="1">
      <alignment horizontal="center"/>
    </xf>
    <xf numFmtId="2" fontId="32" fillId="2" borderId="30" xfId="0" applyNumberFormat="1" applyFont="1" applyFill="1" applyBorder="1" applyAlignment="1">
      <alignment horizontal="center"/>
    </xf>
    <xf numFmtId="2" fontId="32" fillId="2" borderId="29" xfId="0" applyNumberFormat="1" applyFont="1" applyFill="1" applyBorder="1" applyAlignment="1">
      <alignment horizontal="center"/>
    </xf>
    <xf numFmtId="175" fontId="32" fillId="2" borderId="29" xfId="0" applyNumberFormat="1" applyFont="1" applyFill="1" applyBorder="1" applyAlignment="1">
      <alignment horizontal="center"/>
    </xf>
    <xf numFmtId="164" fontId="32" fillId="2" borderId="29" xfId="0" applyNumberFormat="1" applyFont="1" applyFill="1" applyBorder="1" applyAlignment="1">
      <alignment horizontal="center"/>
    </xf>
    <xf numFmtId="174" fontId="32" fillId="2" borderId="29" xfId="0" applyNumberFormat="1" applyFont="1" applyFill="1" applyBorder="1" applyAlignment="1">
      <alignment horizontal="center" vertical="center"/>
    </xf>
    <xf numFmtId="165" fontId="32" fillId="2" borderId="29" xfId="0" applyNumberFormat="1" applyFont="1" applyFill="1" applyBorder="1" applyAlignment="1">
      <alignment horizontal="center" vertical="center"/>
    </xf>
    <xf numFmtId="2" fontId="32" fillId="2" borderId="29" xfId="0" applyNumberFormat="1" applyFont="1" applyFill="1" applyBorder="1" applyAlignment="1">
      <alignment horizontal="center" vertical="center"/>
    </xf>
    <xf numFmtId="10" fontId="32" fillId="2" borderId="31" xfId="0" applyNumberFormat="1" applyFont="1" applyFill="1" applyBorder="1" applyAlignment="1">
      <alignment horizontal="center"/>
    </xf>
    <xf numFmtId="0" fontId="78" fillId="7" borderId="0" xfId="0" applyFont="1" applyFill="1" applyProtection="1"/>
    <xf numFmtId="0" fontId="61" fillId="7" borderId="0" xfId="0" applyFont="1" applyFill="1" applyProtection="1"/>
    <xf numFmtId="0" fontId="61" fillId="7" borderId="0" xfId="0" applyFont="1" applyFill="1" applyBorder="1" applyProtection="1"/>
    <xf numFmtId="0" fontId="78" fillId="7" borderId="0" xfId="0" applyFont="1" applyFill="1" applyBorder="1" applyProtection="1"/>
    <xf numFmtId="0" fontId="79" fillId="7" borderId="0" xfId="0" applyFont="1" applyFill="1" applyAlignment="1" applyProtection="1">
      <alignment horizontal="center"/>
    </xf>
    <xf numFmtId="0" fontId="61" fillId="7" borderId="0" xfId="0" applyFont="1" applyFill="1" applyBorder="1" applyAlignment="1" applyProtection="1">
      <alignment horizontal="center" vertical="center"/>
    </xf>
    <xf numFmtId="180" fontId="61" fillId="7" borderId="0" xfId="0" applyNumberFormat="1" applyFont="1" applyFill="1" applyBorder="1" applyAlignment="1" applyProtection="1">
      <alignment horizontal="right" vertical="center"/>
    </xf>
    <xf numFmtId="176" fontId="61" fillId="7" borderId="0" xfId="0" applyNumberFormat="1" applyFont="1" applyFill="1" applyBorder="1" applyAlignment="1" applyProtection="1">
      <alignment horizontal="center" vertical="center"/>
    </xf>
    <xf numFmtId="179" fontId="61" fillId="7" borderId="0" xfId="0" applyNumberFormat="1" applyFont="1" applyFill="1" applyBorder="1" applyAlignment="1" applyProtection="1">
      <alignment vertical="top"/>
    </xf>
    <xf numFmtId="183" fontId="61" fillId="7" borderId="0" xfId="0" applyNumberFormat="1" applyFont="1" applyFill="1" applyBorder="1" applyAlignment="1" applyProtection="1">
      <alignment horizontal="left" vertical="center"/>
    </xf>
    <xf numFmtId="180" fontId="61" fillId="7" borderId="0" xfId="0" applyNumberFormat="1" applyFont="1" applyFill="1" applyBorder="1" applyAlignment="1" applyProtection="1">
      <alignment horizontal="left" vertical="center"/>
    </xf>
    <xf numFmtId="179" fontId="61" fillId="7" borderId="0" xfId="0" applyNumberFormat="1" applyFont="1" applyFill="1" applyBorder="1" applyAlignment="1" applyProtection="1">
      <alignment horizontal="left" vertical="top"/>
    </xf>
    <xf numFmtId="183" fontId="29" fillId="7" borderId="0" xfId="0" applyNumberFormat="1" applyFont="1" applyFill="1" applyBorder="1" applyAlignment="1" applyProtection="1">
      <alignment horizontal="center" vertical="center"/>
    </xf>
    <xf numFmtId="167" fontId="61" fillId="7" borderId="0" xfId="0" applyNumberFormat="1" applyFont="1" applyFill="1" applyBorder="1" applyAlignment="1" applyProtection="1">
      <alignment horizontal="left" vertical="center"/>
    </xf>
    <xf numFmtId="0" fontId="61" fillId="7" borderId="0" xfId="0" applyFont="1" applyFill="1" applyBorder="1" applyAlignment="1" applyProtection="1">
      <alignment horizontal="left"/>
    </xf>
    <xf numFmtId="176" fontId="38" fillId="7" borderId="0" xfId="0" applyNumberFormat="1" applyFont="1" applyFill="1" applyBorder="1" applyAlignment="1" applyProtection="1">
      <alignment horizontal="center" vertical="center"/>
    </xf>
    <xf numFmtId="0" fontId="38" fillId="7" borderId="0" xfId="0" applyFont="1" applyFill="1" applyBorder="1" applyAlignment="1" applyProtection="1">
      <alignment horizontal="left"/>
    </xf>
    <xf numFmtId="0" fontId="37" fillId="7" borderId="0" xfId="0" applyFont="1" applyFill="1" applyBorder="1" applyProtection="1"/>
    <xf numFmtId="176" fontId="37" fillId="7" borderId="0" xfId="0" applyNumberFormat="1" applyFont="1" applyFill="1" applyBorder="1" applyAlignment="1" applyProtection="1">
      <alignment horizontal="center" vertical="center"/>
    </xf>
    <xf numFmtId="0" fontId="80" fillId="7" borderId="0" xfId="0" applyFont="1" applyFill="1" applyBorder="1" applyAlignment="1" applyProtection="1">
      <alignment horizontal="center" vertical="center"/>
    </xf>
    <xf numFmtId="0" fontId="37" fillId="7" borderId="0" xfId="0" applyFont="1" applyFill="1" applyBorder="1" applyAlignment="1" applyProtection="1">
      <alignment horizontal="left"/>
    </xf>
    <xf numFmtId="0" fontId="37" fillId="7" borderId="0" xfId="0" applyFont="1" applyFill="1" applyBorder="1" applyAlignment="1" applyProtection="1">
      <alignment horizontal="center" vertical="center"/>
    </xf>
    <xf numFmtId="182" fontId="37" fillId="7" borderId="0" xfId="0" applyNumberFormat="1" applyFont="1" applyFill="1" applyBorder="1" applyAlignment="1" applyProtection="1">
      <alignment horizontal="center" vertical="center"/>
    </xf>
    <xf numFmtId="177" fontId="37" fillId="7" borderId="0" xfId="0" applyNumberFormat="1" applyFont="1" applyFill="1" applyBorder="1" applyAlignment="1" applyProtection="1">
      <alignment horizontal="center" vertical="center"/>
    </xf>
    <xf numFmtId="0" fontId="37" fillId="7" borderId="0" xfId="0" applyFont="1" applyFill="1" applyAlignment="1" applyProtection="1">
      <alignment horizontal="left"/>
    </xf>
    <xf numFmtId="164" fontId="37" fillId="7" borderId="0" xfId="0" applyNumberFormat="1" applyFont="1" applyFill="1" applyBorder="1" applyAlignment="1" applyProtection="1">
      <alignment horizontal="center" vertical="center"/>
    </xf>
    <xf numFmtId="0" fontId="0" fillId="5" borderId="4" xfId="0" applyFill="1" applyBorder="1" applyAlignment="1" applyProtection="1">
      <alignment horizontal="left" indent="1"/>
    </xf>
    <xf numFmtId="0" fontId="0" fillId="5" borderId="0" xfId="0" applyFill="1" applyBorder="1" applyAlignment="1" applyProtection="1">
      <alignment horizontal="left" indent="1"/>
    </xf>
    <xf numFmtId="0" fontId="0" fillId="5" borderId="26" xfId="0" applyFill="1" applyBorder="1" applyAlignment="1" applyProtection="1">
      <alignment horizontal="left" indent="1"/>
    </xf>
    <xf numFmtId="0" fontId="15" fillId="5" borderId="23" xfId="0" applyFont="1" applyFill="1" applyBorder="1" applyAlignment="1" applyProtection="1">
      <alignment horizontal="left" vertical="center" wrapText="1"/>
    </xf>
    <xf numFmtId="0" fontId="15" fillId="5" borderId="2" xfId="0" applyFont="1" applyFill="1" applyBorder="1" applyAlignment="1" applyProtection="1">
      <alignment horizontal="left" vertical="center" wrapText="1"/>
    </xf>
    <xf numFmtId="0" fontId="15" fillId="5" borderId="24" xfId="0" applyFont="1" applyFill="1" applyBorder="1" applyAlignment="1" applyProtection="1">
      <alignment horizontal="left" vertical="center" wrapText="1"/>
    </xf>
    <xf numFmtId="0" fontId="15" fillId="5" borderId="44" xfId="0" applyFont="1" applyFill="1" applyBorder="1" applyAlignment="1" applyProtection="1">
      <alignment horizontal="left" vertical="center" wrapText="1"/>
    </xf>
    <xf numFmtId="0" fontId="15" fillId="5" borderId="0" xfId="0" applyFont="1" applyFill="1" applyBorder="1" applyAlignment="1" applyProtection="1">
      <alignment horizontal="left" vertical="center" wrapText="1"/>
    </xf>
    <xf numFmtId="0" fontId="15" fillId="5" borderId="45" xfId="0" applyFont="1" applyFill="1" applyBorder="1" applyAlignment="1" applyProtection="1">
      <alignment horizontal="left" vertical="center" wrapText="1"/>
    </xf>
    <xf numFmtId="0" fontId="28" fillId="7" borderId="50" xfId="0" applyFont="1" applyFill="1" applyBorder="1" applyAlignment="1" applyProtection="1">
      <alignment horizontal="left" vertical="top" wrapText="1"/>
    </xf>
    <xf numFmtId="0" fontId="28" fillId="7" borderId="0" xfId="0" applyFont="1" applyFill="1" applyAlignment="1" applyProtection="1">
      <alignment horizontal="left" vertical="top" wrapText="1"/>
    </xf>
    <xf numFmtId="0" fontId="0" fillId="5" borderId="4" xfId="0" applyFill="1" applyBorder="1" applyAlignment="1" applyProtection="1">
      <alignment horizontal="left" vertical="center" indent="1"/>
    </xf>
    <xf numFmtId="0" fontId="0" fillId="5" borderId="0" xfId="0" applyFill="1" applyBorder="1" applyAlignment="1" applyProtection="1">
      <alignment horizontal="left" vertical="center" indent="1"/>
    </xf>
    <xf numFmtId="0" fontId="0" fillId="5" borderId="26" xfId="0" applyFill="1" applyBorder="1" applyAlignment="1" applyProtection="1">
      <alignment horizontal="left" vertical="center" indent="1"/>
    </xf>
    <xf numFmtId="0" fontId="0" fillId="5" borderId="4" xfId="0" applyFill="1" applyBorder="1" applyAlignment="1" applyProtection="1">
      <alignment horizontal="left" vertical="center" wrapText="1" indent="1"/>
    </xf>
    <xf numFmtId="0" fontId="0" fillId="5" borderId="0" xfId="0" applyFill="1" applyBorder="1" applyAlignment="1" applyProtection="1">
      <alignment horizontal="left" vertical="center" wrapText="1" indent="1"/>
    </xf>
    <xf numFmtId="0" fontId="0" fillId="5" borderId="26" xfId="0" applyFill="1" applyBorder="1" applyAlignment="1" applyProtection="1">
      <alignment horizontal="left" vertical="center" wrapText="1" indent="1"/>
    </xf>
    <xf numFmtId="0" fontId="60" fillId="9" borderId="23" xfId="0" applyFont="1" applyFill="1" applyBorder="1" applyAlignment="1" applyProtection="1">
      <alignment horizontal="center" vertical="center" wrapText="1"/>
    </xf>
    <xf numFmtId="0" fontId="40" fillId="9" borderId="2" xfId="0" applyFont="1" applyFill="1" applyBorder="1" applyAlignment="1" applyProtection="1">
      <alignment horizontal="center" vertical="center"/>
    </xf>
    <xf numFmtId="0" fontId="40" fillId="9" borderId="24" xfId="0" applyFont="1" applyFill="1" applyBorder="1" applyAlignment="1" applyProtection="1">
      <alignment horizontal="center" vertical="center"/>
    </xf>
    <xf numFmtId="0" fontId="0" fillId="5" borderId="47" xfId="0" applyFill="1" applyBorder="1" applyAlignment="1" applyProtection="1">
      <alignment horizontal="left" indent="1"/>
    </xf>
    <xf numFmtId="0" fontId="0" fillId="5" borderId="46" xfId="0" applyFill="1" applyBorder="1" applyAlignment="1" applyProtection="1">
      <alignment horizontal="left" indent="1"/>
    </xf>
    <xf numFmtId="0" fontId="0" fillId="5" borderId="41" xfId="0" applyFill="1" applyBorder="1" applyAlignment="1" applyProtection="1">
      <alignment horizontal="left" indent="1"/>
    </xf>
    <xf numFmtId="0" fontId="71" fillId="7" borderId="0" xfId="0" applyFont="1" applyFill="1" applyAlignment="1" applyProtection="1">
      <alignment horizontal="center"/>
    </xf>
    <xf numFmtId="0" fontId="28" fillId="7" borderId="0" xfId="0" applyFont="1" applyFill="1" applyAlignment="1" applyProtection="1">
      <alignment horizontal="center"/>
    </xf>
    <xf numFmtId="168" fontId="68" fillId="7" borderId="0" xfId="0" applyNumberFormat="1" applyFont="1" applyFill="1" applyAlignment="1" applyProtection="1">
      <alignment horizontal="center"/>
    </xf>
    <xf numFmtId="0" fontId="0" fillId="5" borderId="19" xfId="0" applyFill="1" applyBorder="1" applyAlignment="1" applyProtection="1">
      <alignment horizontal="left" indent="1"/>
    </xf>
    <xf numFmtId="0" fontId="0" fillId="5" borderId="21" xfId="0" applyFill="1" applyBorder="1" applyAlignment="1" applyProtection="1">
      <alignment horizontal="left" indent="1"/>
    </xf>
    <xf numFmtId="0" fontId="0" fillId="5" borderId="22" xfId="0" applyFill="1" applyBorder="1" applyAlignment="1" applyProtection="1">
      <alignment horizontal="left" indent="1"/>
    </xf>
    <xf numFmtId="0" fontId="0" fillId="5" borderId="45" xfId="0" applyFill="1" applyBorder="1" applyAlignment="1" applyProtection="1">
      <alignment horizontal="left" indent="1"/>
    </xf>
    <xf numFmtId="0" fontId="28" fillId="5" borderId="0" xfId="0" applyFont="1" applyFill="1" applyBorder="1" applyAlignment="1" applyProtection="1">
      <alignment horizontal="left" vertical="center"/>
    </xf>
    <xf numFmtId="0" fontId="28" fillId="5" borderId="45" xfId="0" applyFont="1" applyFill="1" applyBorder="1" applyAlignment="1" applyProtection="1">
      <alignment horizontal="left" vertical="center"/>
    </xf>
    <xf numFmtId="0" fontId="24" fillId="8" borderId="30" xfId="0" applyFont="1" applyFill="1" applyBorder="1" applyAlignment="1" applyProtection="1">
      <alignment horizontal="center" vertical="center"/>
    </xf>
    <xf numFmtId="0" fontId="24" fillId="8" borderId="29" xfId="0" applyFont="1" applyFill="1" applyBorder="1" applyAlignment="1" applyProtection="1">
      <alignment horizontal="center" vertical="center"/>
    </xf>
    <xf numFmtId="0" fontId="24" fillId="8" borderId="31" xfId="0" applyFont="1" applyFill="1" applyBorder="1" applyAlignment="1" applyProtection="1">
      <alignment horizontal="center" vertical="center"/>
    </xf>
    <xf numFmtId="0" fontId="11" fillId="11" borderId="43" xfId="0" applyFont="1" applyFill="1" applyBorder="1" applyAlignment="1" applyProtection="1">
      <alignment horizontal="center" vertical="center"/>
    </xf>
    <xf numFmtId="0" fontId="11" fillId="11" borderId="42" xfId="0" applyFont="1" applyFill="1" applyBorder="1" applyAlignment="1" applyProtection="1">
      <alignment horizontal="center" vertical="center"/>
    </xf>
    <xf numFmtId="0" fontId="11" fillId="11" borderId="39" xfId="0" applyFont="1" applyFill="1" applyBorder="1" applyAlignment="1" applyProtection="1">
      <alignment horizontal="center" vertical="center"/>
    </xf>
    <xf numFmtId="0" fontId="25" fillId="9" borderId="30" xfId="0" applyFont="1" applyFill="1" applyBorder="1" applyAlignment="1" applyProtection="1">
      <alignment horizontal="center" vertical="center" wrapText="1"/>
    </xf>
    <xf numFmtId="0" fontId="25" fillId="9" borderId="29" xfId="0" applyFont="1" applyFill="1" applyBorder="1" applyAlignment="1" applyProtection="1">
      <alignment horizontal="center" vertical="center"/>
    </xf>
    <xf numFmtId="0" fontId="25" fillId="9" borderId="31" xfId="0" applyFont="1" applyFill="1" applyBorder="1" applyAlignment="1" applyProtection="1">
      <alignment horizontal="center" vertical="center"/>
    </xf>
    <xf numFmtId="0" fontId="8" fillId="7" borderId="23" xfId="0" applyFont="1" applyFill="1" applyBorder="1" applyAlignment="1" applyProtection="1">
      <alignment horizontal="center" vertical="center"/>
      <protection locked="0"/>
    </xf>
    <xf numFmtId="0" fontId="8" fillId="7" borderId="24" xfId="0" applyFont="1" applyFill="1" applyBorder="1" applyAlignment="1" applyProtection="1">
      <alignment horizontal="center" vertical="center"/>
      <protection locked="0"/>
    </xf>
    <xf numFmtId="0" fontId="11" fillId="11" borderId="30" xfId="0" applyFont="1" applyFill="1" applyBorder="1" applyAlignment="1" applyProtection="1">
      <alignment horizontal="center" vertical="center"/>
    </xf>
    <xf numFmtId="0" fontId="11" fillId="11" borderId="46" xfId="0" applyFont="1" applyFill="1" applyBorder="1" applyAlignment="1" applyProtection="1">
      <alignment horizontal="center" vertical="center"/>
    </xf>
    <xf numFmtId="0" fontId="11" fillId="11" borderId="20" xfId="0" applyFont="1" applyFill="1" applyBorder="1" applyAlignment="1" applyProtection="1">
      <alignment horizontal="center" vertical="center"/>
    </xf>
    <xf numFmtId="0" fontId="11" fillId="11" borderId="29" xfId="0" applyFont="1" applyFill="1" applyBorder="1" applyAlignment="1" applyProtection="1">
      <alignment horizontal="center" vertical="center"/>
    </xf>
    <xf numFmtId="0" fontId="11" fillId="11" borderId="31" xfId="0" applyFont="1" applyFill="1" applyBorder="1" applyAlignment="1" applyProtection="1">
      <alignment horizontal="center" vertical="center"/>
    </xf>
    <xf numFmtId="0" fontId="0" fillId="4" borderId="9" xfId="0" applyFill="1" applyBorder="1" applyAlignment="1" applyProtection="1">
      <alignment horizontal="left" vertical="center" indent="1"/>
    </xf>
    <xf numFmtId="0" fontId="0" fillId="4" borderId="12" xfId="0" applyFill="1" applyBorder="1" applyAlignment="1" applyProtection="1">
      <alignment horizontal="left" vertical="center" indent="1"/>
    </xf>
    <xf numFmtId="0" fontId="0" fillId="7" borderId="30" xfId="0" applyFill="1" applyBorder="1" applyAlignment="1" applyProtection="1">
      <alignment horizontal="center" vertical="center"/>
      <protection locked="0"/>
    </xf>
    <xf numFmtId="0" fontId="0" fillId="7" borderId="31" xfId="0" applyFill="1" applyBorder="1" applyAlignment="1" applyProtection="1">
      <alignment horizontal="center" vertical="center"/>
      <protection locked="0"/>
    </xf>
    <xf numFmtId="0" fontId="29" fillId="5" borderId="4" xfId="0" applyFont="1" applyFill="1" applyBorder="1" applyAlignment="1" applyProtection="1">
      <alignment horizontal="left" indent="1"/>
    </xf>
    <xf numFmtId="0" fontId="29" fillId="5" borderId="0" xfId="0" applyFont="1" applyFill="1" applyBorder="1" applyAlignment="1" applyProtection="1">
      <alignment horizontal="left" indent="1"/>
    </xf>
    <xf numFmtId="0" fontId="29" fillId="5" borderId="26" xfId="0" applyFont="1" applyFill="1" applyBorder="1" applyAlignment="1" applyProtection="1">
      <alignment horizontal="left" indent="1"/>
    </xf>
    <xf numFmtId="0" fontId="0" fillId="5" borderId="19" xfId="0" applyFill="1" applyBorder="1" applyAlignment="1" applyProtection="1">
      <alignment horizontal="left" vertical="center" indent="1"/>
    </xf>
    <xf numFmtId="0" fontId="0" fillId="5" borderId="21" xfId="0" applyFill="1" applyBorder="1" applyAlignment="1" applyProtection="1">
      <alignment horizontal="left" vertical="center" indent="1"/>
    </xf>
    <xf numFmtId="0" fontId="0" fillId="5" borderId="22" xfId="0" applyFill="1" applyBorder="1" applyAlignment="1" applyProtection="1">
      <alignment horizontal="left" vertical="center" indent="1"/>
    </xf>
    <xf numFmtId="0" fontId="15" fillId="5" borderId="51" xfId="0" applyFont="1" applyFill="1" applyBorder="1" applyAlignment="1" applyProtection="1">
      <alignment horizontal="left" vertical="center" wrapText="1"/>
    </xf>
    <xf numFmtId="0" fontId="15" fillId="5" borderId="50" xfId="0" applyFont="1" applyFill="1" applyBorder="1" applyAlignment="1" applyProtection="1">
      <alignment horizontal="left" vertical="center" wrapText="1"/>
    </xf>
    <xf numFmtId="0" fontId="15" fillId="5" borderId="48" xfId="0" applyFont="1" applyFill="1" applyBorder="1" applyAlignment="1" applyProtection="1">
      <alignment horizontal="left" vertical="center" wrapText="1"/>
    </xf>
    <xf numFmtId="0" fontId="0" fillId="5" borderId="4" xfId="0" applyFill="1" applyBorder="1" applyProtection="1"/>
    <xf numFmtId="0" fontId="0" fillId="5" borderId="0" xfId="0" applyFill="1" applyBorder="1" applyProtection="1"/>
    <xf numFmtId="0" fontId="0" fillId="5" borderId="45" xfId="0" applyFill="1" applyBorder="1" applyProtection="1"/>
    <xf numFmtId="0" fontId="0" fillId="5" borderId="4" xfId="0" applyFill="1" applyBorder="1" applyAlignment="1" applyProtection="1"/>
    <xf numFmtId="0" fontId="0" fillId="5" borderId="0" xfId="0" applyFill="1" applyBorder="1" applyAlignment="1" applyProtection="1"/>
    <xf numFmtId="0" fontId="0" fillId="5" borderId="45" xfId="0" applyFill="1" applyBorder="1" applyAlignment="1" applyProtection="1"/>
    <xf numFmtId="0" fontId="0" fillId="5" borderId="4" xfId="0" applyFill="1" applyBorder="1" applyAlignment="1" applyProtection="1">
      <alignment horizontal="center"/>
    </xf>
    <xf numFmtId="0" fontId="0" fillId="5" borderId="0" xfId="0" applyFill="1" applyBorder="1" applyAlignment="1" applyProtection="1">
      <alignment horizontal="center"/>
    </xf>
    <xf numFmtId="0" fontId="0" fillId="5" borderId="45" xfId="0" applyFill="1" applyBorder="1" applyAlignment="1" applyProtection="1">
      <alignment horizontal="center"/>
    </xf>
    <xf numFmtId="164" fontId="0" fillId="5" borderId="4" xfId="0" applyNumberFormat="1" applyFill="1" applyBorder="1" applyAlignment="1" applyProtection="1">
      <alignment horizontal="left" vertical="center"/>
    </xf>
    <xf numFmtId="164" fontId="0" fillId="5" borderId="0" xfId="0" applyNumberFormat="1" applyFill="1" applyBorder="1" applyAlignment="1" applyProtection="1">
      <alignment horizontal="left" vertical="center"/>
    </xf>
    <xf numFmtId="164" fontId="0" fillId="5" borderId="45" xfId="0" applyNumberFormat="1" applyFill="1" applyBorder="1" applyAlignment="1" applyProtection="1">
      <alignment horizontal="left" vertical="center"/>
    </xf>
    <xf numFmtId="166" fontId="31" fillId="6" borderId="51" xfId="0" applyNumberFormat="1" applyFont="1" applyFill="1" applyBorder="1" applyAlignment="1">
      <alignment horizontal="center" vertical="center"/>
    </xf>
    <xf numFmtId="166" fontId="31" fillId="6" borderId="50" xfId="0" applyNumberFormat="1" applyFont="1" applyFill="1" applyBorder="1" applyAlignment="1">
      <alignment horizontal="center" vertical="center"/>
    </xf>
    <xf numFmtId="184" fontId="31" fillId="6" borderId="50" xfId="0" applyNumberFormat="1" applyFont="1" applyFill="1" applyBorder="1" applyAlignment="1">
      <alignment horizontal="center" vertical="center"/>
    </xf>
    <xf numFmtId="0" fontId="16" fillId="13" borderId="0" xfId="0" applyFont="1" applyFill="1" applyBorder="1" applyAlignment="1">
      <alignment horizontal="center" vertical="center"/>
    </xf>
    <xf numFmtId="0" fontId="16" fillId="13" borderId="46" xfId="0" applyFont="1" applyFill="1" applyBorder="1" applyAlignment="1">
      <alignment horizontal="center" vertical="center"/>
    </xf>
    <xf numFmtId="0" fontId="0" fillId="4" borderId="28" xfId="0" applyFill="1" applyBorder="1" applyAlignment="1" applyProtection="1">
      <alignment horizontal="left" vertical="center" indent="1"/>
    </xf>
    <xf numFmtId="0" fontId="0" fillId="4" borderId="14" xfId="0" applyFill="1" applyBorder="1" applyAlignment="1" applyProtection="1">
      <alignment horizontal="left" vertical="center" indent="1"/>
    </xf>
    <xf numFmtId="0" fontId="0" fillId="4" borderId="15" xfId="0" applyFill="1" applyBorder="1" applyAlignment="1" applyProtection="1">
      <alignment horizontal="left" vertical="center" indent="1"/>
    </xf>
    <xf numFmtId="0" fontId="18" fillId="9" borderId="40" xfId="0" applyFont="1" applyFill="1" applyBorder="1" applyAlignment="1" applyProtection="1">
      <alignment horizontal="center" vertical="center" wrapText="1"/>
    </xf>
    <xf numFmtId="0" fontId="12" fillId="9" borderId="46" xfId="0" applyFont="1" applyFill="1" applyBorder="1" applyAlignment="1" applyProtection="1">
      <alignment horizontal="center" vertical="center"/>
    </xf>
    <xf numFmtId="0" fontId="12" fillId="9" borderId="41" xfId="0" applyFont="1" applyFill="1" applyBorder="1" applyAlignment="1" applyProtection="1">
      <alignment horizontal="center" vertical="center"/>
    </xf>
    <xf numFmtId="0" fontId="11" fillId="6" borderId="43" xfId="0" applyFont="1" applyFill="1" applyBorder="1" applyAlignment="1" applyProtection="1">
      <alignment horizontal="center" vertical="center"/>
    </xf>
    <xf numFmtId="0" fontId="11" fillId="6" borderId="42" xfId="0" applyFont="1" applyFill="1" applyBorder="1" applyAlignment="1" applyProtection="1">
      <alignment horizontal="center" vertical="center"/>
    </xf>
    <xf numFmtId="0" fontId="11" fillId="6" borderId="39" xfId="0" applyFont="1" applyFill="1" applyBorder="1" applyAlignment="1" applyProtection="1">
      <alignment horizontal="center" vertical="center"/>
    </xf>
    <xf numFmtId="0" fontId="15" fillId="5" borderId="49" xfId="0" applyFont="1" applyFill="1" applyBorder="1" applyAlignment="1" applyProtection="1">
      <alignment horizontal="left" vertical="center" wrapText="1"/>
    </xf>
    <xf numFmtId="0" fontId="25" fillId="10" borderId="30" xfId="0" applyFont="1" applyFill="1" applyBorder="1" applyAlignment="1" applyProtection="1">
      <alignment horizontal="center" vertical="center"/>
    </xf>
    <xf numFmtId="0" fontId="25" fillId="10" borderId="29" xfId="0" applyFont="1" applyFill="1" applyBorder="1" applyAlignment="1" applyProtection="1">
      <alignment horizontal="center" vertical="center"/>
    </xf>
    <xf numFmtId="0" fontId="25" fillId="10" borderId="31" xfId="0" applyFont="1" applyFill="1" applyBorder="1" applyAlignment="1" applyProtection="1">
      <alignment horizontal="center" vertical="center"/>
    </xf>
    <xf numFmtId="0" fontId="11" fillId="6" borderId="43" xfId="0" applyFont="1" applyFill="1" applyBorder="1" applyAlignment="1" applyProtection="1">
      <alignment horizontal="center"/>
    </xf>
    <xf numFmtId="0" fontId="11" fillId="6" borderId="42" xfId="0" applyFont="1" applyFill="1" applyBorder="1" applyAlignment="1" applyProtection="1">
      <alignment horizontal="center"/>
    </xf>
    <xf numFmtId="0" fontId="11" fillId="6" borderId="39" xfId="0" applyFont="1" applyFill="1" applyBorder="1" applyAlignment="1" applyProtection="1">
      <alignment horizontal="center"/>
    </xf>
    <xf numFmtId="0" fontId="29" fillId="4" borderId="8" xfId="0" applyFont="1" applyFill="1" applyBorder="1" applyAlignment="1" applyProtection="1">
      <alignment horizontal="left" indent="1"/>
    </xf>
    <xf numFmtId="0" fontId="29" fillId="4" borderId="9" xfId="0" applyFont="1" applyFill="1" applyBorder="1" applyAlignment="1" applyProtection="1">
      <alignment horizontal="left" indent="1"/>
    </xf>
    <xf numFmtId="0" fontId="29" fillId="4" borderId="12" xfId="0" applyFont="1" applyFill="1" applyBorder="1" applyAlignment="1" applyProtection="1">
      <alignment horizontal="left" indent="1"/>
    </xf>
    <xf numFmtId="0" fontId="0" fillId="4" borderId="8" xfId="0" applyFill="1" applyBorder="1" applyAlignment="1" applyProtection="1">
      <alignment horizontal="left" vertical="center" indent="1"/>
    </xf>
    <xf numFmtId="0" fontId="0" fillId="4" borderId="8" xfId="0" applyFill="1" applyBorder="1" applyAlignment="1" applyProtection="1">
      <alignment horizontal="left" indent="1"/>
    </xf>
    <xf numFmtId="0" fontId="0" fillId="4" borderId="9" xfId="0" applyFill="1" applyBorder="1" applyAlignment="1" applyProtection="1">
      <alignment horizontal="left" indent="1"/>
    </xf>
    <xf numFmtId="0" fontId="0" fillId="4" borderId="12" xfId="0" applyFill="1" applyBorder="1" applyAlignment="1" applyProtection="1">
      <alignment horizontal="left" indent="1"/>
    </xf>
    <xf numFmtId="0" fontId="9" fillId="6" borderId="42" xfId="0" applyFont="1" applyFill="1" applyBorder="1" applyAlignment="1" applyProtection="1">
      <alignment horizontal="center"/>
    </xf>
    <xf numFmtId="0" fontId="9" fillId="6" borderId="39" xfId="0" applyFont="1" applyFill="1" applyBorder="1" applyAlignment="1" applyProtection="1">
      <alignment horizontal="center"/>
    </xf>
    <xf numFmtId="0" fontId="16" fillId="8" borderId="46" xfId="0" applyFont="1" applyFill="1" applyBorder="1" applyAlignment="1" applyProtection="1">
      <alignment horizontal="center" vertical="center"/>
    </xf>
    <xf numFmtId="0" fontId="43" fillId="7" borderId="0" xfId="1" applyFont="1" applyFill="1"/>
    <xf numFmtId="0" fontId="43" fillId="7" borderId="0" xfId="0" applyNumberFormat="1" applyFont="1" applyFill="1" applyAlignment="1" applyProtection="1">
      <alignment horizontal="center" vertical="center"/>
    </xf>
    <xf numFmtId="0" fontId="43" fillId="7" borderId="0" xfId="0" applyNumberFormat="1" applyFont="1" applyFill="1" applyAlignment="1">
      <alignment horizontal="center" vertical="center"/>
    </xf>
    <xf numFmtId="0" fontId="43" fillId="7" borderId="0" xfId="0" applyFont="1" applyFill="1" applyAlignment="1" applyProtection="1">
      <alignment horizontal="center"/>
    </xf>
    <xf numFmtId="0" fontId="43" fillId="7" borderId="0" xfId="1" applyNumberFormat="1" applyFont="1" applyFill="1" applyAlignment="1" applyProtection="1">
      <alignment horizontal="center" vertical="center"/>
    </xf>
  </cellXfs>
  <cellStyles count="3">
    <cellStyle name="Normal" xfId="0" builtinId="0"/>
    <cellStyle name="Normal 2" xfId="1" xr:uid="{00000000-0005-0000-0000-000001000000}"/>
    <cellStyle name="Percent" xfId="2" builtinId="5"/>
  </cellStyles>
  <dxfs count="50">
    <dxf>
      <fill>
        <patternFill>
          <bgColor rgb="FFFF6600"/>
        </patternFill>
      </fill>
    </dxf>
    <dxf>
      <fill>
        <patternFill>
          <bgColor rgb="FF990000"/>
        </patternFill>
      </fill>
    </dxf>
    <dxf>
      <fill>
        <patternFill>
          <bgColor rgb="FF8E0000"/>
        </patternFill>
      </fill>
    </dxf>
    <dxf>
      <fill>
        <patternFill>
          <bgColor rgb="FF990000"/>
        </patternFill>
      </fill>
    </dxf>
    <dxf>
      <fill>
        <patternFill>
          <bgColor rgb="FF8E0000"/>
        </patternFill>
      </fill>
    </dxf>
    <dxf>
      <fill>
        <patternFill>
          <bgColor rgb="FF990000"/>
        </patternFill>
      </fill>
    </dxf>
    <dxf>
      <fill>
        <patternFill>
          <bgColor rgb="FF8E0000"/>
        </patternFill>
      </fill>
    </dxf>
    <dxf>
      <fill>
        <patternFill>
          <bgColor rgb="FF990000"/>
        </patternFill>
      </fill>
    </dxf>
    <dxf>
      <fill>
        <patternFill>
          <bgColor rgb="FF8E0000"/>
        </patternFill>
      </fill>
    </dxf>
    <dxf>
      <fill>
        <patternFill>
          <bgColor rgb="FF990000"/>
        </patternFill>
      </fill>
    </dxf>
    <dxf>
      <fill>
        <patternFill>
          <bgColor rgb="FF8E0000"/>
        </patternFill>
      </fill>
    </dxf>
    <dxf>
      <fill>
        <patternFill>
          <bgColor rgb="FF990000"/>
        </patternFill>
      </fill>
    </dxf>
    <dxf>
      <fill>
        <patternFill>
          <bgColor rgb="FF8E0000"/>
        </patternFill>
      </fill>
    </dxf>
    <dxf>
      <fill>
        <patternFill>
          <bgColor rgb="FF990000"/>
        </patternFill>
      </fill>
    </dxf>
    <dxf>
      <fill>
        <patternFill>
          <bgColor rgb="FF8E0000"/>
        </patternFill>
      </fill>
    </dxf>
    <dxf>
      <fill>
        <patternFill>
          <bgColor rgb="FF990000"/>
        </patternFill>
      </fill>
    </dxf>
    <dxf>
      <fill>
        <patternFill>
          <bgColor rgb="FF8E0000"/>
        </patternFill>
      </fill>
    </dxf>
    <dxf>
      <fill>
        <patternFill>
          <bgColor rgb="FF990000"/>
        </patternFill>
      </fill>
    </dxf>
    <dxf>
      <fill>
        <patternFill>
          <bgColor rgb="FF8E0000"/>
        </patternFill>
      </fill>
    </dxf>
    <dxf>
      <fill>
        <patternFill>
          <bgColor rgb="FF990000"/>
        </patternFill>
      </fill>
    </dxf>
    <dxf>
      <fill>
        <patternFill>
          <bgColor rgb="FF990000"/>
        </patternFill>
      </fill>
    </dxf>
    <dxf>
      <fill>
        <patternFill>
          <bgColor rgb="FF8E0000"/>
        </patternFill>
      </fill>
    </dxf>
    <dxf>
      <fill>
        <patternFill>
          <bgColor rgb="FF990000"/>
        </patternFill>
      </fill>
    </dxf>
    <dxf>
      <fill>
        <patternFill>
          <bgColor theme="6" tint="0.59996337778862885"/>
        </patternFill>
      </fill>
    </dxf>
    <dxf>
      <fill>
        <patternFill>
          <bgColor rgb="FF990000"/>
        </patternFill>
      </fill>
    </dxf>
    <dxf>
      <fill>
        <patternFill>
          <bgColor rgb="FF99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00FF"/>
      </font>
      <numFmt numFmtId="185" formatCode="General\ &quot;Ω&quot;"/>
    </dxf>
    <dxf>
      <font>
        <color rgb="FF0000FF"/>
      </font>
      <numFmt numFmtId="186" formatCode="0.0\ &quot;kΩ&quot;"/>
    </dxf>
    <dxf>
      <font>
        <color auto="1"/>
      </font>
      <numFmt numFmtId="185" formatCode="General\ &quot;Ω&quot;"/>
    </dxf>
    <dxf>
      <numFmt numFmtId="186" formatCode="0.0\ &quot;kΩ&quot;"/>
    </dxf>
    <dxf>
      <font>
        <color rgb="FF0000FF"/>
      </font>
      <numFmt numFmtId="185" formatCode="General\ &quot;Ω&quot;"/>
    </dxf>
    <dxf>
      <font>
        <color rgb="FF0000FF"/>
      </font>
      <numFmt numFmtId="186" formatCode="0.0\ &quot;kΩ&quot;"/>
    </dxf>
    <dxf>
      <font>
        <color rgb="FF0000FF"/>
      </font>
      <numFmt numFmtId="185" formatCode="General\ &quot;Ω&quot;"/>
    </dxf>
    <dxf>
      <font>
        <color rgb="FF0000FF"/>
      </font>
      <numFmt numFmtId="186" formatCode="0.0\ &quot;kΩ&quot;"/>
    </dxf>
    <dxf>
      <font>
        <color auto="1"/>
      </font>
      <numFmt numFmtId="185" formatCode="General\ &quot;Ω&quot;"/>
    </dxf>
    <dxf>
      <numFmt numFmtId="186" formatCode="0.0\ &quot;kΩ&quot;"/>
    </dxf>
    <dxf>
      <font>
        <color auto="1"/>
      </font>
      <numFmt numFmtId="185" formatCode="General\ &quot;Ω&quot;"/>
    </dxf>
    <dxf>
      <font>
        <color auto="1"/>
      </font>
      <numFmt numFmtId="185" formatCode="General\ &quot;Ω&quot;"/>
    </dxf>
    <dxf>
      <font>
        <color auto="1"/>
      </font>
      <numFmt numFmtId="185" formatCode="General\ &quot;Ω&quot;"/>
    </dxf>
    <dxf>
      <font>
        <color auto="1"/>
      </font>
      <numFmt numFmtId="185" formatCode="General\ &quot;Ω&quot;"/>
    </dxf>
    <dxf>
      <numFmt numFmtId="186" formatCode="0.0\ &quot;kΩ&quot;"/>
    </dxf>
    <dxf>
      <fill>
        <patternFill>
          <bgColor rgb="FFFF0000"/>
        </patternFill>
      </fill>
    </dxf>
    <dxf>
      <numFmt numFmtId="172" formatCode="General\ &quot;µF&quot;"/>
    </dxf>
    <dxf>
      <font>
        <condense val="0"/>
        <extend val="0"/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b/>
        <i val="0"/>
        <u val="none"/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9" defaultPivotStyle="PivotStyleLight16"/>
  <colors>
    <mruColors>
      <color rgb="FF0000FF"/>
      <color rgb="FF8E0000"/>
      <color rgb="FF990000"/>
      <color rgb="FFCC6600"/>
      <color rgb="FFFF6600"/>
      <color rgb="FFFF9933"/>
      <color rgb="FF4A7E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solidFill>
                  <a:schemeClr val="tx1"/>
                </a:solidFill>
              </a:rPr>
              <a:t>Predicted  Efficiency vs.</a:t>
            </a:r>
            <a:r>
              <a:rPr lang="en-US" sz="1800" b="1" baseline="0">
                <a:solidFill>
                  <a:schemeClr val="tx1"/>
                </a:solidFill>
              </a:rPr>
              <a:t> VIN at </a:t>
            </a:r>
            <a:r>
              <a:rPr lang="en-US" sz="18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25°C</a:t>
            </a:r>
          </a:p>
        </c:rich>
      </c:tx>
      <c:layout>
        <c:manualLayout>
          <c:xMode val="edge"/>
          <c:yMode val="edge"/>
          <c:x val="0.22043074316808292"/>
          <c:y val="2.8573124897292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800197085094743"/>
          <c:y val="0.12101487839700652"/>
          <c:w val="0.79322700690542436"/>
          <c:h val="0.7586340769903761"/>
        </c:manualLayout>
      </c:layout>
      <c:scatterChart>
        <c:scatterStyle val="lineMarker"/>
        <c:varyColors val="0"/>
        <c:ser>
          <c:idx val="0"/>
          <c:order val="0"/>
          <c:tx>
            <c:v>25degreeC</c:v>
          </c:tx>
          <c:spPr>
            <a:ln w="6350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xVal>
            <c:numRef>
              <c:f>Efficiency!$B$6:$B$25</c:f>
              <c:numCache>
                <c:formatCode>0.00</c:formatCode>
                <c:ptCount val="20"/>
                <c:pt idx="0">
                  <c:v>6</c:v>
                </c:pt>
                <c:pt idx="1">
                  <c:v>6.6315789473684212</c:v>
                </c:pt>
                <c:pt idx="2">
                  <c:v>7.2631578947368425</c:v>
                </c:pt>
                <c:pt idx="3">
                  <c:v>7.8947368421052637</c:v>
                </c:pt>
                <c:pt idx="4">
                  <c:v>8.526315789473685</c:v>
                </c:pt>
                <c:pt idx="5">
                  <c:v>9.1578947368421062</c:v>
                </c:pt>
                <c:pt idx="6">
                  <c:v>9.7894736842105274</c:v>
                </c:pt>
                <c:pt idx="7">
                  <c:v>10.421052631578949</c:v>
                </c:pt>
                <c:pt idx="8">
                  <c:v>11.05263157894737</c:v>
                </c:pt>
                <c:pt idx="9">
                  <c:v>11.684210526315791</c:v>
                </c:pt>
                <c:pt idx="10">
                  <c:v>12.315789473684212</c:v>
                </c:pt>
                <c:pt idx="11">
                  <c:v>12.947368421052634</c:v>
                </c:pt>
                <c:pt idx="12">
                  <c:v>13.578947368421055</c:v>
                </c:pt>
                <c:pt idx="13">
                  <c:v>14.210526315789476</c:v>
                </c:pt>
                <c:pt idx="14">
                  <c:v>14.842105263157897</c:v>
                </c:pt>
                <c:pt idx="15">
                  <c:v>15.473684210526319</c:v>
                </c:pt>
                <c:pt idx="16">
                  <c:v>16.10526315789474</c:v>
                </c:pt>
                <c:pt idx="17">
                  <c:v>16.736842105263161</c:v>
                </c:pt>
                <c:pt idx="18">
                  <c:v>17.368421052631582</c:v>
                </c:pt>
                <c:pt idx="19">
                  <c:v>18</c:v>
                </c:pt>
              </c:numCache>
            </c:numRef>
          </c:xVal>
          <c:yVal>
            <c:numRef>
              <c:f>Efficiency!$Z$6:$Z$25</c:f>
              <c:numCache>
                <c:formatCode>0.00%</c:formatCode>
                <c:ptCount val="20"/>
                <c:pt idx="0">
                  <c:v>0.749355312167864</c:v>
                </c:pt>
                <c:pt idx="1">
                  <c:v>0.7522318069683912</c:v>
                </c:pt>
                <c:pt idx="2">
                  <c:v>0.75319634524649604</c:v>
                </c:pt>
                <c:pt idx="3">
                  <c:v>0.75281858790642076</c:v>
                </c:pt>
                <c:pt idx="4">
                  <c:v>0.75146133623099309</c:v>
                </c:pt>
                <c:pt idx="5">
                  <c:v>0.74936701649564796</c:v>
                </c:pt>
                <c:pt idx="6">
                  <c:v>0.74670398765687118</c:v>
                </c:pt>
                <c:pt idx="7">
                  <c:v>0.74359296512691342</c:v>
                </c:pt>
                <c:pt idx="8">
                  <c:v>0.74012288141091176</c:v>
                </c:pt>
                <c:pt idx="9">
                  <c:v>0.73636080931965509</c:v>
                </c:pt>
                <c:pt idx="10">
                  <c:v>0.7323583897057947</c:v>
                </c:pt>
                <c:pt idx="11">
                  <c:v>0.72815611993106544</c:v>
                </c:pt>
                <c:pt idx="12">
                  <c:v>0.7237862890355421</c:v>
                </c:pt>
                <c:pt idx="13">
                  <c:v>0.71927503197024245</c:v>
                </c:pt>
                <c:pt idx="14">
                  <c:v>0.71464379585408033</c:v>
                </c:pt>
                <c:pt idx="15">
                  <c:v>0.70991972964808947</c:v>
                </c:pt>
                <c:pt idx="16">
                  <c:v>0.70511780063514251</c:v>
                </c:pt>
                <c:pt idx="17">
                  <c:v>0.7002396953131349</c:v>
                </c:pt>
                <c:pt idx="18">
                  <c:v>0.69529652389470842</c:v>
                </c:pt>
                <c:pt idx="19">
                  <c:v>0.69029791322649692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B9C-4B23-BD90-8EAC649D2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624992"/>
        <c:axId val="112452784"/>
      </c:scatterChart>
      <c:valAx>
        <c:axId val="107624992"/>
        <c:scaling>
          <c:orientation val="minMax"/>
          <c:max val="18"/>
          <c:min val="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chemeClr val="tx1"/>
                    </a:solidFill>
                  </a:rPr>
                  <a:t>Input</a:t>
                </a:r>
                <a:r>
                  <a:rPr lang="en-US" sz="1200" b="1" baseline="0">
                    <a:solidFill>
                      <a:schemeClr val="tx1"/>
                    </a:solidFill>
                  </a:rPr>
                  <a:t> Voltage</a:t>
                </a:r>
                <a:r>
                  <a:rPr lang="en-US" sz="1200" b="1">
                    <a:solidFill>
                      <a:schemeClr val="tx1"/>
                    </a:solidFill>
                  </a:rPr>
                  <a:t> (V)</a:t>
                </a:r>
              </a:p>
            </c:rich>
          </c:tx>
          <c:layout>
            <c:manualLayout>
              <c:xMode val="edge"/>
              <c:yMode val="edge"/>
              <c:x val="0.43079855967336023"/>
              <c:y val="0.939739083878013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452784"/>
        <c:crosses val="autoZero"/>
        <c:crossBetween val="midCat"/>
      </c:valAx>
      <c:valAx>
        <c:axId val="11245278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chemeClr val="tx1"/>
                    </a:solidFill>
                  </a:rPr>
                  <a:t> Predicted Efficiency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624992"/>
        <c:crosses val="autoZero"/>
        <c:crossBetween val="midCat"/>
      </c:valAx>
      <c:spPr>
        <a:noFill/>
        <a:ln>
          <a:solidFill>
            <a:schemeClr val="tx1">
              <a:alpha val="94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solidFill>
                  <a:schemeClr val="tx1"/>
                </a:solidFill>
              </a:rPr>
              <a:t>Predicted TJ of ALT80802</a:t>
            </a:r>
            <a:r>
              <a:rPr lang="en-US" sz="1800" b="1" baseline="0">
                <a:solidFill>
                  <a:schemeClr val="tx1"/>
                </a:solidFill>
              </a:rPr>
              <a:t> </a:t>
            </a:r>
            <a:r>
              <a:rPr lang="en-US" sz="1800" b="1">
                <a:solidFill>
                  <a:schemeClr val="tx1"/>
                </a:solidFill>
              </a:rPr>
              <a:t>vs.</a:t>
            </a:r>
            <a:r>
              <a:rPr lang="en-US" sz="1800" b="1" baseline="0">
                <a:solidFill>
                  <a:schemeClr val="tx1"/>
                </a:solidFill>
              </a:rPr>
              <a:t> VIN at </a:t>
            </a:r>
            <a:r>
              <a:rPr lang="en-US" sz="18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25°C</a:t>
            </a:r>
          </a:p>
        </c:rich>
      </c:tx>
      <c:layout>
        <c:manualLayout>
          <c:xMode val="edge"/>
          <c:yMode val="edge"/>
          <c:x val="0.19759445845425741"/>
          <c:y val="3.14356747931277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420494313210846"/>
          <c:y val="0.12101487839700652"/>
          <c:w val="0.80702409594633984"/>
          <c:h val="0.7671370790328822"/>
        </c:manualLayout>
      </c:layout>
      <c:scatterChart>
        <c:scatterStyle val="lineMarker"/>
        <c:varyColors val="0"/>
        <c:ser>
          <c:idx val="0"/>
          <c:order val="0"/>
          <c:tx>
            <c:v>25degreeC</c:v>
          </c:tx>
          <c:spPr>
            <a:ln w="6350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xVal>
            <c:numRef>
              <c:f>Efficiency!$B$6:$B$25</c:f>
              <c:numCache>
                <c:formatCode>0.00</c:formatCode>
                <c:ptCount val="20"/>
                <c:pt idx="0">
                  <c:v>6</c:v>
                </c:pt>
                <c:pt idx="1">
                  <c:v>6.6315789473684212</c:v>
                </c:pt>
                <c:pt idx="2">
                  <c:v>7.2631578947368425</c:v>
                </c:pt>
                <c:pt idx="3">
                  <c:v>7.8947368421052637</c:v>
                </c:pt>
                <c:pt idx="4">
                  <c:v>8.526315789473685</c:v>
                </c:pt>
                <c:pt idx="5">
                  <c:v>9.1578947368421062</c:v>
                </c:pt>
                <c:pt idx="6">
                  <c:v>9.7894736842105274</c:v>
                </c:pt>
                <c:pt idx="7">
                  <c:v>10.421052631578949</c:v>
                </c:pt>
                <c:pt idx="8">
                  <c:v>11.05263157894737</c:v>
                </c:pt>
                <c:pt idx="9">
                  <c:v>11.684210526315791</c:v>
                </c:pt>
                <c:pt idx="10">
                  <c:v>12.315789473684212</c:v>
                </c:pt>
                <c:pt idx="11">
                  <c:v>12.947368421052634</c:v>
                </c:pt>
                <c:pt idx="12">
                  <c:v>13.578947368421055</c:v>
                </c:pt>
                <c:pt idx="13">
                  <c:v>14.210526315789476</c:v>
                </c:pt>
                <c:pt idx="14">
                  <c:v>14.842105263157897</c:v>
                </c:pt>
                <c:pt idx="15">
                  <c:v>15.473684210526319</c:v>
                </c:pt>
                <c:pt idx="16">
                  <c:v>16.10526315789474</c:v>
                </c:pt>
                <c:pt idx="17">
                  <c:v>16.736842105263161</c:v>
                </c:pt>
                <c:pt idx="18">
                  <c:v>17.368421052631582</c:v>
                </c:pt>
                <c:pt idx="19">
                  <c:v>18</c:v>
                </c:pt>
              </c:numCache>
            </c:numRef>
          </c:xVal>
          <c:yVal>
            <c:numRef>
              <c:f>Efficiency!$R$6:$R$25</c:f>
              <c:numCache>
                <c:formatCode>0.0</c:formatCode>
                <c:ptCount val="20"/>
                <c:pt idx="0">
                  <c:v>67.008066363839646</c:v>
                </c:pt>
                <c:pt idx="1">
                  <c:v>65.838065673268659</c:v>
                </c:pt>
                <c:pt idx="2">
                  <c:v>65.213671862769147</c:v>
                </c:pt>
                <c:pt idx="3">
                  <c:v>64.967285089541718</c:v>
                </c:pt>
                <c:pt idx="4">
                  <c:v>64.995592804714619</c:v>
                </c:pt>
                <c:pt idx="5">
                  <c:v>65.231378558402781</c:v>
                </c:pt>
                <c:pt idx="6">
                  <c:v>65.629010608783034</c:v>
                </c:pt>
                <c:pt idx="7">
                  <c:v>66.15642318601175</c:v>
                </c:pt>
                <c:pt idx="8">
                  <c:v>66.790429098493021</c:v>
                </c:pt>
                <c:pt idx="9">
                  <c:v>67.513851020369216</c:v>
                </c:pt>
                <c:pt idx="10">
                  <c:v>68.313697341612666</c:v>
                </c:pt>
                <c:pt idx="11">
                  <c:v>69.179963960055716</c:v>
                </c:pt>
                <c:pt idx="12">
                  <c:v>70.104824935052307</c:v>
                </c:pt>
                <c:pt idx="13">
                  <c:v>71.082072346465281</c:v>
                </c:pt>
                <c:pt idx="14">
                  <c:v>72.106720248094604</c:v>
                </c:pt>
                <c:pt idx="15">
                  <c:v>73.174517880424105</c:v>
                </c:pt>
                <c:pt idx="16">
                  <c:v>74.282141707918953</c:v>
                </c:pt>
                <c:pt idx="17">
                  <c:v>75.4270779836271</c:v>
                </c:pt>
                <c:pt idx="18">
                  <c:v>76.607025807385469</c:v>
                </c:pt>
                <c:pt idx="19">
                  <c:v>77.820049903437109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B27-44EC-9BA6-1A0E16916B63}"/>
            </c:ext>
          </c:extLst>
        </c:ser>
        <c:ser>
          <c:idx val="1"/>
          <c:order val="1"/>
          <c:tx>
            <c:v>"TSD Limit"</c:v>
          </c:tx>
          <c:spPr>
            <a:ln w="635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Efficiency!$A$50:$A$51</c:f>
              <c:numCache>
                <c:formatCode>General</c:formatCode>
                <c:ptCount val="2"/>
                <c:pt idx="0">
                  <c:v>6</c:v>
                </c:pt>
                <c:pt idx="1">
                  <c:v>18</c:v>
                </c:pt>
              </c:numCache>
            </c:numRef>
          </c:xVal>
          <c:yVal>
            <c:numRef>
              <c:f>Efficiency!$B$50:$B$51</c:f>
              <c:numCache>
                <c:formatCode>General</c:formatCode>
                <c:ptCount val="2"/>
                <c:pt idx="0">
                  <c:v>170</c:v>
                </c:pt>
                <c:pt idx="1">
                  <c:v>170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B27-44EC-9BA6-1A0E16916B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624992"/>
        <c:axId val="112452784"/>
      </c:scatterChart>
      <c:valAx>
        <c:axId val="107624992"/>
        <c:scaling>
          <c:orientation val="minMax"/>
          <c:max val="18"/>
          <c:min val="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chemeClr val="tx1"/>
                    </a:solidFill>
                  </a:rPr>
                  <a:t>Input</a:t>
                </a:r>
                <a:r>
                  <a:rPr lang="en-US" sz="1200" b="1" baseline="0">
                    <a:solidFill>
                      <a:schemeClr val="tx1"/>
                    </a:solidFill>
                  </a:rPr>
                  <a:t> Voltage</a:t>
                </a:r>
                <a:r>
                  <a:rPr lang="en-US" sz="1200" b="1">
                    <a:solidFill>
                      <a:schemeClr val="tx1"/>
                    </a:solidFill>
                  </a:rPr>
                  <a:t> (V)</a:t>
                </a:r>
              </a:p>
            </c:rich>
          </c:tx>
          <c:layout>
            <c:manualLayout>
              <c:xMode val="edge"/>
              <c:yMode val="edge"/>
              <c:x val="0.41010757133124298"/>
              <c:y val="0.950765414036036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452784"/>
        <c:crosses val="autoZero"/>
        <c:crossBetween val="midCat"/>
      </c:valAx>
      <c:valAx>
        <c:axId val="112452784"/>
        <c:scaling>
          <c:orientation val="minMax"/>
          <c:max val="20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baseline="0">
                    <a:solidFill>
                      <a:schemeClr val="tx1"/>
                    </a:solidFill>
                    <a:latin typeface="+mn-lt"/>
                  </a:rPr>
                  <a:t>Predicted  </a:t>
                </a:r>
                <a:r>
                  <a:rPr lang="en-US" sz="1200" b="1">
                    <a:solidFill>
                      <a:schemeClr val="tx1"/>
                    </a:solidFill>
                    <a:latin typeface="+mn-lt"/>
                  </a:rPr>
                  <a:t>Junction</a:t>
                </a:r>
                <a:r>
                  <a:rPr lang="en-US" sz="1200" b="1" baseline="0">
                    <a:solidFill>
                      <a:schemeClr val="tx1"/>
                    </a:solidFill>
                    <a:latin typeface="+mn-lt"/>
                  </a:rPr>
                  <a:t> Temperature </a:t>
                </a:r>
                <a:r>
                  <a:rPr lang="en-US" sz="1200" b="1">
                    <a:solidFill>
                      <a:schemeClr val="tx1"/>
                    </a:solidFill>
                    <a:latin typeface="+mn-lt"/>
                  </a:rPr>
                  <a:t> </a:t>
                </a:r>
                <a:r>
                  <a:rPr lang="en-US"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rPr>
                  <a:t>(°</a:t>
                </a:r>
                <a:r>
                  <a:rPr lang="en-US" sz="1200" b="1">
                    <a:solidFill>
                      <a:schemeClr val="tx1"/>
                    </a:solidFill>
                    <a:latin typeface="+mn-lt"/>
                    <a:cs typeface="Times New Roman" panose="02020603050405020304" pitchFamily="18" charset="0"/>
                  </a:rPr>
                  <a:t>C</a:t>
                </a:r>
                <a:r>
                  <a:rPr lang="en-US" sz="1200" b="1">
                    <a:solidFill>
                      <a:schemeClr val="tx1"/>
                    </a:solidFill>
                    <a:latin typeface="+mn-lt"/>
                  </a:rPr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624992"/>
        <c:crosses val="autoZero"/>
        <c:crossBetween val="midCat"/>
      </c:valAx>
      <c:spPr>
        <a:noFill/>
        <a:ln>
          <a:solidFill>
            <a:schemeClr val="tx1">
              <a:alpha val="94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solidFill>
                  <a:schemeClr val="tx1"/>
                </a:solidFill>
              </a:rPr>
              <a:t>Predicted  Efficiency vs.</a:t>
            </a:r>
            <a:r>
              <a:rPr lang="en-US" sz="1800" b="1" baseline="0">
                <a:solidFill>
                  <a:schemeClr val="tx1"/>
                </a:solidFill>
              </a:rPr>
              <a:t> VIN at </a:t>
            </a:r>
            <a:r>
              <a:rPr lang="en-US" sz="18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85°C</a:t>
            </a:r>
          </a:p>
        </c:rich>
      </c:tx>
      <c:layout>
        <c:manualLayout>
          <c:xMode val="edge"/>
          <c:yMode val="edge"/>
          <c:x val="0.24810837718803591"/>
          <c:y val="2.8573124897292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569550134928466"/>
          <c:y val="0.12101487839700652"/>
          <c:w val="0.79553347640708727"/>
          <c:h val="0.7586340769903761"/>
        </c:manualLayout>
      </c:layout>
      <c:scatterChart>
        <c:scatterStyle val="lineMarker"/>
        <c:varyColors val="0"/>
        <c:ser>
          <c:idx val="0"/>
          <c:order val="0"/>
          <c:tx>
            <c:v>85degreeC</c:v>
          </c:tx>
          <c:spPr>
            <a:ln w="6350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xVal>
            <c:numRef>
              <c:f>Efficiency!$B$28:$B$47</c:f>
              <c:numCache>
                <c:formatCode>0.00</c:formatCode>
                <c:ptCount val="20"/>
                <c:pt idx="0">
                  <c:v>6</c:v>
                </c:pt>
                <c:pt idx="1">
                  <c:v>6.6315789473684212</c:v>
                </c:pt>
                <c:pt idx="2">
                  <c:v>7.2631578947368425</c:v>
                </c:pt>
                <c:pt idx="3">
                  <c:v>7.8947368421052637</c:v>
                </c:pt>
                <c:pt idx="4">
                  <c:v>8.526315789473685</c:v>
                </c:pt>
                <c:pt idx="5">
                  <c:v>9.1578947368421062</c:v>
                </c:pt>
                <c:pt idx="6">
                  <c:v>9.7894736842105274</c:v>
                </c:pt>
                <c:pt idx="7">
                  <c:v>10.421052631578949</c:v>
                </c:pt>
                <c:pt idx="8">
                  <c:v>11.05263157894737</c:v>
                </c:pt>
                <c:pt idx="9">
                  <c:v>11.684210526315791</c:v>
                </c:pt>
                <c:pt idx="10">
                  <c:v>12.315789473684212</c:v>
                </c:pt>
                <c:pt idx="11">
                  <c:v>12.947368421052634</c:v>
                </c:pt>
                <c:pt idx="12">
                  <c:v>13.578947368421055</c:v>
                </c:pt>
                <c:pt idx="13">
                  <c:v>14.210526315789476</c:v>
                </c:pt>
                <c:pt idx="14">
                  <c:v>14.842105263157897</c:v>
                </c:pt>
                <c:pt idx="15">
                  <c:v>15.473684210526319</c:v>
                </c:pt>
                <c:pt idx="16">
                  <c:v>16.10526315789474</c:v>
                </c:pt>
                <c:pt idx="17">
                  <c:v>16.736842105263161</c:v>
                </c:pt>
                <c:pt idx="18">
                  <c:v>17.368421052631582</c:v>
                </c:pt>
                <c:pt idx="19">
                  <c:v>18</c:v>
                </c:pt>
              </c:numCache>
            </c:numRef>
          </c:xVal>
          <c:yVal>
            <c:numRef>
              <c:f>Efficiency!$Z$28:$Z$47</c:f>
              <c:numCache>
                <c:formatCode>0.00%</c:formatCode>
                <c:ptCount val="20"/>
                <c:pt idx="0">
                  <c:v>0.72052968549571017</c:v>
                </c:pt>
                <c:pt idx="1">
                  <c:v>0.72744789611479344</c:v>
                </c:pt>
                <c:pt idx="2">
                  <c:v>0.73155343622772384</c:v>
                </c:pt>
                <c:pt idx="3">
                  <c:v>0.73369626465406501</c:v>
                </c:pt>
                <c:pt idx="4">
                  <c:v>0.73441103378950356</c:v>
                </c:pt>
                <c:pt idx="5">
                  <c:v>0.73405237727569317</c:v>
                </c:pt>
                <c:pt idx="6">
                  <c:v>0.73286547114408007</c:v>
                </c:pt>
                <c:pt idx="7">
                  <c:v>0.7310256099382747</c:v>
                </c:pt>
                <c:pt idx="8">
                  <c:v>0.72866168860032976</c:v>
                </c:pt>
                <c:pt idx="9">
                  <c:v>0.72587077873204242</c:v>
                </c:pt>
                <c:pt idx="10">
                  <c:v>0.72272752009143826</c:v>
                </c:pt>
                <c:pt idx="11">
                  <c:v>0.71929036431363036</c:v>
                </c:pt>
                <c:pt idx="12">
                  <c:v>0.71560583884856521</c:v>
                </c:pt>
                <c:pt idx="13">
                  <c:v>0.71171152748558231</c:v>
                </c:pt>
                <c:pt idx="14">
                  <c:v>0.7076381967674864</c:v>
                </c:pt>
                <c:pt idx="15">
                  <c:v>0.70342119708932815</c:v>
                </c:pt>
                <c:pt idx="16">
                  <c:v>0.69908079011746571</c:v>
                </c:pt>
                <c:pt idx="17">
                  <c:v>0.69462457061180671</c:v>
                </c:pt>
                <c:pt idx="18">
                  <c:v>0.69006816541269012</c:v>
                </c:pt>
                <c:pt idx="19">
                  <c:v>0.68542504848888408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76D-48CE-AE3B-76F1A2D787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624992"/>
        <c:axId val="112452784"/>
      </c:scatterChart>
      <c:valAx>
        <c:axId val="107624992"/>
        <c:scaling>
          <c:orientation val="minMax"/>
          <c:max val="18"/>
          <c:min val="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chemeClr val="tx1"/>
                    </a:solidFill>
                  </a:rPr>
                  <a:t>Input</a:t>
                </a:r>
                <a:r>
                  <a:rPr lang="en-US" sz="1200" b="1" baseline="0">
                    <a:solidFill>
                      <a:schemeClr val="tx1"/>
                    </a:solidFill>
                  </a:rPr>
                  <a:t> Voltage</a:t>
                </a:r>
                <a:r>
                  <a:rPr lang="en-US" sz="1200" b="1">
                    <a:solidFill>
                      <a:schemeClr val="tx1"/>
                    </a:solidFill>
                  </a:rPr>
                  <a:t> (V)</a:t>
                </a:r>
              </a:p>
            </c:rich>
          </c:tx>
          <c:layout>
            <c:manualLayout>
              <c:xMode val="edge"/>
              <c:yMode val="edge"/>
              <c:x val="0.42157268166670936"/>
              <c:y val="0.934353249259182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452784"/>
        <c:crosses val="autoZero"/>
        <c:crossBetween val="midCat"/>
      </c:valAx>
      <c:valAx>
        <c:axId val="11245278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baseline="0">
                    <a:solidFill>
                      <a:schemeClr val="tx1"/>
                    </a:solidFill>
                  </a:rPr>
                  <a:t>Predicted </a:t>
                </a:r>
                <a:r>
                  <a:rPr lang="en-US" sz="1200" b="1">
                    <a:solidFill>
                      <a:schemeClr val="tx1"/>
                    </a:solidFill>
                  </a:rPr>
                  <a:t> Efficiency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624992"/>
        <c:crosses val="autoZero"/>
        <c:crossBetween val="midCat"/>
      </c:valAx>
      <c:spPr>
        <a:noFill/>
        <a:ln>
          <a:solidFill>
            <a:schemeClr val="tx1">
              <a:alpha val="94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solidFill>
                  <a:schemeClr val="tx1"/>
                </a:solidFill>
              </a:rPr>
              <a:t>Predicted TJ of ALT80802</a:t>
            </a:r>
            <a:r>
              <a:rPr lang="en-US" sz="1800" b="1" baseline="0">
                <a:solidFill>
                  <a:schemeClr val="tx1"/>
                </a:solidFill>
              </a:rPr>
              <a:t> </a:t>
            </a:r>
            <a:r>
              <a:rPr lang="en-US" sz="1800" b="1">
                <a:solidFill>
                  <a:schemeClr val="tx1"/>
                </a:solidFill>
              </a:rPr>
              <a:t>vs.</a:t>
            </a:r>
            <a:r>
              <a:rPr lang="en-US" sz="1800" b="1" baseline="0">
                <a:solidFill>
                  <a:schemeClr val="tx1"/>
                </a:solidFill>
              </a:rPr>
              <a:t> VIN at </a:t>
            </a:r>
            <a:r>
              <a:rPr lang="en-US" sz="18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85°C</a:t>
            </a:r>
          </a:p>
        </c:rich>
      </c:tx>
      <c:layout>
        <c:manualLayout>
          <c:xMode val="edge"/>
          <c:yMode val="edge"/>
          <c:x val="0.19299329008355831"/>
          <c:y val="3.41285921025428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420494313210846"/>
          <c:y val="0.12101487839700652"/>
          <c:w val="0.80702409594633984"/>
          <c:h val="0.77252296587926494"/>
        </c:manualLayout>
      </c:layout>
      <c:scatterChart>
        <c:scatterStyle val="lineMarker"/>
        <c:varyColors val="0"/>
        <c:ser>
          <c:idx val="0"/>
          <c:order val="0"/>
          <c:tx>
            <c:v>85degreeC</c:v>
          </c:tx>
          <c:spPr>
            <a:ln w="6350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xVal>
            <c:numRef>
              <c:f>Efficiency!$B$28:$B$47</c:f>
              <c:numCache>
                <c:formatCode>0.00</c:formatCode>
                <c:ptCount val="20"/>
                <c:pt idx="0">
                  <c:v>6</c:v>
                </c:pt>
                <c:pt idx="1">
                  <c:v>6.6315789473684212</c:v>
                </c:pt>
                <c:pt idx="2">
                  <c:v>7.2631578947368425</c:v>
                </c:pt>
                <c:pt idx="3">
                  <c:v>7.8947368421052637</c:v>
                </c:pt>
                <c:pt idx="4">
                  <c:v>8.526315789473685</c:v>
                </c:pt>
                <c:pt idx="5">
                  <c:v>9.1578947368421062</c:v>
                </c:pt>
                <c:pt idx="6">
                  <c:v>9.7894736842105274</c:v>
                </c:pt>
                <c:pt idx="7">
                  <c:v>10.421052631578949</c:v>
                </c:pt>
                <c:pt idx="8">
                  <c:v>11.05263157894737</c:v>
                </c:pt>
                <c:pt idx="9">
                  <c:v>11.684210526315791</c:v>
                </c:pt>
                <c:pt idx="10">
                  <c:v>12.315789473684212</c:v>
                </c:pt>
                <c:pt idx="11">
                  <c:v>12.947368421052634</c:v>
                </c:pt>
                <c:pt idx="12">
                  <c:v>13.578947368421055</c:v>
                </c:pt>
                <c:pt idx="13">
                  <c:v>14.210526315789476</c:v>
                </c:pt>
                <c:pt idx="14">
                  <c:v>14.842105263157897</c:v>
                </c:pt>
                <c:pt idx="15">
                  <c:v>15.473684210526319</c:v>
                </c:pt>
                <c:pt idx="16">
                  <c:v>16.10526315789474</c:v>
                </c:pt>
                <c:pt idx="17">
                  <c:v>16.736842105263161</c:v>
                </c:pt>
                <c:pt idx="18">
                  <c:v>17.368421052631582</c:v>
                </c:pt>
                <c:pt idx="19">
                  <c:v>18</c:v>
                </c:pt>
              </c:numCache>
            </c:numRef>
          </c:xVal>
          <c:yVal>
            <c:numRef>
              <c:f>Efficiency!$R$28:$R$47</c:f>
              <c:numCache>
                <c:formatCode>0.0</c:formatCode>
                <c:ptCount val="20"/>
                <c:pt idx="0">
                  <c:v>137.67396279565631</c:v>
                </c:pt>
                <c:pt idx="1">
                  <c:v>135.07727168258799</c:v>
                </c:pt>
                <c:pt idx="2">
                  <c:v>133.39300200509439</c:v>
                </c:pt>
                <c:pt idx="3">
                  <c:v>132.32568867349474</c:v>
                </c:pt>
                <c:pt idx="4">
                  <c:v>131.69800851734095</c:v>
                </c:pt>
                <c:pt idx="5">
                  <c:v>131.39673973290405</c:v>
                </c:pt>
                <c:pt idx="6">
                  <c:v>131.34606130960924</c:v>
                </c:pt>
                <c:pt idx="7">
                  <c:v>131.49323283949911</c:v>
                </c:pt>
                <c:pt idx="8">
                  <c:v>131.80041016866812</c:v>
                </c:pt>
                <c:pt idx="9">
                  <c:v>132.23972328394751</c:v>
                </c:pt>
                <c:pt idx="10">
                  <c:v>132.79018941176011</c:v>
                </c:pt>
                <c:pt idx="11">
                  <c:v>133.43570776406671</c:v>
                </c:pt>
                <c:pt idx="12">
                  <c:v>134.16371725888735</c:v>
                </c:pt>
                <c:pt idx="13">
                  <c:v>134.96427442874381</c:v>
                </c:pt>
                <c:pt idx="14">
                  <c:v>135.82940546928475</c:v>
                </c:pt>
                <c:pt idx="15">
                  <c:v>136.75238147686642</c:v>
                </c:pt>
                <c:pt idx="16">
                  <c:v>137.72793173183533</c:v>
                </c:pt>
                <c:pt idx="17">
                  <c:v>138.75194334493992</c:v>
                </c:pt>
                <c:pt idx="18">
                  <c:v>139.82074718919625</c:v>
                </c:pt>
                <c:pt idx="19">
                  <c:v>140.93125737541905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203-4FCE-897D-48F07BEC0185}"/>
            </c:ext>
          </c:extLst>
        </c:ser>
        <c:ser>
          <c:idx val="1"/>
          <c:order val="1"/>
          <c:tx>
            <c:v>"TSD Limit"</c:v>
          </c:tx>
          <c:spPr>
            <a:ln w="635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Efficiency!$A$50:$A$51</c:f>
              <c:numCache>
                <c:formatCode>General</c:formatCode>
                <c:ptCount val="2"/>
                <c:pt idx="0">
                  <c:v>6</c:v>
                </c:pt>
                <c:pt idx="1">
                  <c:v>18</c:v>
                </c:pt>
              </c:numCache>
            </c:numRef>
          </c:xVal>
          <c:yVal>
            <c:numRef>
              <c:f>Efficiency!$B$50:$B$51</c:f>
              <c:numCache>
                <c:formatCode>General</c:formatCode>
                <c:ptCount val="2"/>
                <c:pt idx="0">
                  <c:v>170</c:v>
                </c:pt>
                <c:pt idx="1">
                  <c:v>170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203-4FCE-897D-48F07BEC0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624992"/>
        <c:axId val="112452784"/>
      </c:scatterChart>
      <c:valAx>
        <c:axId val="107624992"/>
        <c:scaling>
          <c:orientation val="minMax"/>
          <c:max val="18"/>
          <c:min val="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chemeClr val="tx1"/>
                    </a:solidFill>
                  </a:rPr>
                  <a:t>Input</a:t>
                </a:r>
                <a:r>
                  <a:rPr lang="en-US" sz="1200" b="1" baseline="0">
                    <a:solidFill>
                      <a:schemeClr val="tx1"/>
                    </a:solidFill>
                  </a:rPr>
                  <a:t> Voltage</a:t>
                </a:r>
                <a:r>
                  <a:rPr lang="en-US" sz="1200" b="1">
                    <a:solidFill>
                      <a:schemeClr val="tx1"/>
                    </a:solidFill>
                  </a:rPr>
                  <a:t> (V)</a:t>
                </a:r>
              </a:p>
            </c:rich>
          </c:tx>
          <c:layout>
            <c:manualLayout>
              <c:xMode val="edge"/>
              <c:yMode val="edge"/>
              <c:x val="0.43311341318473856"/>
              <c:y val="0.945379579417206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452784"/>
        <c:crosses val="autoZero"/>
        <c:crossBetween val="midCat"/>
      </c:valAx>
      <c:valAx>
        <c:axId val="112452784"/>
        <c:scaling>
          <c:orientation val="minMax"/>
          <c:max val="20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chemeClr val="tx1"/>
                    </a:solidFill>
                    <a:latin typeface="+mn-lt"/>
                  </a:rPr>
                  <a:t>Predicted Junction</a:t>
                </a:r>
                <a:r>
                  <a:rPr lang="en-US" sz="1200" b="1" baseline="0">
                    <a:solidFill>
                      <a:schemeClr val="tx1"/>
                    </a:solidFill>
                    <a:latin typeface="+mn-lt"/>
                  </a:rPr>
                  <a:t> Temperature </a:t>
                </a:r>
                <a:r>
                  <a:rPr lang="en-US" sz="1200" b="1">
                    <a:solidFill>
                      <a:schemeClr val="tx1"/>
                    </a:solidFill>
                    <a:latin typeface="+mn-lt"/>
                  </a:rPr>
                  <a:t> (</a:t>
                </a:r>
                <a:r>
                  <a:rPr lang="en-US" sz="1200" b="1">
                    <a:solidFill>
                      <a:schemeClr val="tx1"/>
                    </a:solidFill>
                    <a:latin typeface="+mn-lt"/>
                    <a:cs typeface="Times New Roman" panose="02020603050405020304" pitchFamily="18" charset="0"/>
                  </a:rPr>
                  <a:t>°C</a:t>
                </a:r>
                <a:r>
                  <a:rPr lang="en-US" sz="1200" b="1">
                    <a:solidFill>
                      <a:schemeClr val="tx1"/>
                    </a:solidFill>
                    <a:latin typeface="+mn-lt"/>
                  </a:rPr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624992"/>
        <c:crosses val="autoZero"/>
        <c:crossBetween val="midCat"/>
      </c:valAx>
      <c:spPr>
        <a:noFill/>
        <a:ln>
          <a:solidFill>
            <a:schemeClr val="tx1">
              <a:alpha val="94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12830</xdr:colOff>
      <xdr:row>1</xdr:row>
      <xdr:rowOff>120019</xdr:rowOff>
    </xdr:from>
    <xdr:to>
      <xdr:col>12</xdr:col>
      <xdr:colOff>650422</xdr:colOff>
      <xdr:row>22</xdr:row>
      <xdr:rowOff>81992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98952" y="421320"/>
          <a:ext cx="4447592" cy="4734192"/>
        </a:xfrm>
        <a:prstGeom prst="rect">
          <a:avLst/>
        </a:prstGeom>
      </xdr:spPr>
    </xdr:pic>
    <xdr:clientData/>
  </xdr:twoCellAnchor>
  <xdr:twoCellAnchor editAs="oneCell">
    <xdr:from>
      <xdr:col>6</xdr:col>
      <xdr:colOff>589965</xdr:colOff>
      <xdr:row>83</xdr:row>
      <xdr:rowOff>191278</xdr:rowOff>
    </xdr:from>
    <xdr:to>
      <xdr:col>13</xdr:col>
      <xdr:colOff>506218</xdr:colOff>
      <xdr:row>98</xdr:row>
      <xdr:rowOff>38029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781" y="18901099"/>
          <a:ext cx="5436866" cy="28306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437373</xdr:colOff>
      <xdr:row>23</xdr:row>
      <xdr:rowOff>106912</xdr:rowOff>
    </xdr:from>
    <xdr:to>
      <xdr:col>20</xdr:col>
      <xdr:colOff>387803</xdr:colOff>
      <xdr:row>51</xdr:row>
      <xdr:rowOff>96027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8189" y="5588647"/>
          <a:ext cx="10233543" cy="59859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95411</xdr:colOff>
      <xdr:row>49</xdr:row>
      <xdr:rowOff>33962</xdr:rowOff>
    </xdr:from>
    <xdr:to>
      <xdr:col>14</xdr:col>
      <xdr:colOff>256776</xdr:colOff>
      <xdr:row>74</xdr:row>
      <xdr:rowOff>123609</xdr:rowOff>
    </xdr:to>
    <xdr:graphicFrame macro="">
      <xdr:nvGraphicFramePr>
        <xdr:cNvPr id="10" name="Chart 9" title="Efficiency 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49</xdr:row>
          <xdr:rowOff>9525</xdr:rowOff>
        </xdr:from>
        <xdr:to>
          <xdr:col>5</xdr:col>
          <xdr:colOff>38100</xdr:colOff>
          <xdr:row>52</xdr:row>
          <xdr:rowOff>19050</xdr:rowOff>
        </xdr:to>
        <xdr:sp macro="" textlink="">
          <xdr:nvSpPr>
            <xdr:cNvPr id="3074" name="CommandButton1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14</xdr:col>
      <xdr:colOff>493059</xdr:colOff>
      <xdr:row>49</xdr:row>
      <xdr:rowOff>35859</xdr:rowOff>
    </xdr:from>
    <xdr:to>
      <xdr:col>25</xdr:col>
      <xdr:colOff>80682</xdr:colOff>
      <xdr:row>74</xdr:row>
      <xdr:rowOff>125506</xdr:rowOff>
    </xdr:to>
    <xdr:graphicFrame macro="">
      <xdr:nvGraphicFramePr>
        <xdr:cNvPr id="4" name="Chart 3" title="Temperatur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5</xdr:col>
      <xdr:colOff>98611</xdr:colOff>
      <xdr:row>75</xdr:row>
      <xdr:rowOff>1</xdr:rowOff>
    </xdr:from>
    <xdr:to>
      <xdr:col>14</xdr:col>
      <xdr:colOff>259976</xdr:colOff>
      <xdr:row>100</xdr:row>
      <xdr:rowOff>89648</xdr:rowOff>
    </xdr:to>
    <xdr:graphicFrame macro="">
      <xdr:nvGraphicFramePr>
        <xdr:cNvPr id="5" name="Chart 4" title="Efficiency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22</xdr:col>
      <xdr:colOff>62755</xdr:colOff>
      <xdr:row>53</xdr:row>
      <xdr:rowOff>152401</xdr:rowOff>
    </xdr:from>
    <xdr:to>
      <xdr:col>24</xdr:col>
      <xdr:colOff>179295</xdr:colOff>
      <xdr:row>55</xdr:row>
      <xdr:rowOff>26894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2667131" y="9744636"/>
          <a:ext cx="1048870" cy="233082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TSD Threshold</a:t>
          </a:r>
        </a:p>
      </xdr:txBody>
    </xdr:sp>
    <xdr:clientData/>
  </xdr:twoCellAnchor>
  <xdr:twoCellAnchor>
    <xdr:from>
      <xdr:col>14</xdr:col>
      <xdr:colOff>502024</xdr:colOff>
      <xdr:row>75</xdr:row>
      <xdr:rowOff>0</xdr:rowOff>
    </xdr:from>
    <xdr:to>
      <xdr:col>25</xdr:col>
      <xdr:colOff>89647</xdr:colOff>
      <xdr:row>100</xdr:row>
      <xdr:rowOff>89647</xdr:rowOff>
    </xdr:to>
    <xdr:graphicFrame macro="">
      <xdr:nvGraphicFramePr>
        <xdr:cNvPr id="7" name="Chart 6" title="Temperature 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22</xdr:col>
      <xdr:colOff>71719</xdr:colOff>
      <xdr:row>79</xdr:row>
      <xdr:rowOff>107578</xdr:rowOff>
    </xdr:from>
    <xdr:to>
      <xdr:col>24</xdr:col>
      <xdr:colOff>188259</xdr:colOff>
      <xdr:row>80</xdr:row>
      <xdr:rowOff>161366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2676095" y="14361460"/>
          <a:ext cx="1048870" cy="233082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TSD Threshold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609600</xdr:colOff>
      <xdr:row>17</xdr:row>
      <xdr:rowOff>171450</xdr:rowOff>
    </xdr:from>
    <xdr:to>
      <xdr:col>5</xdr:col>
      <xdr:colOff>473075</xdr:colOff>
      <xdr:row>31</xdr:row>
      <xdr:rowOff>95250</xdr:rowOff>
    </xdr:to>
    <xdr:pic>
      <xdr:nvPicPr>
        <xdr:cNvPr id="1025" name="Picture 0" descr="A8600SAA19.png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90725" y="3857625"/>
          <a:ext cx="3454400" cy="2590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28575</xdr:colOff>
      <xdr:row>2</xdr:row>
      <xdr:rowOff>228601</xdr:rowOff>
    </xdr:from>
    <xdr:to>
      <xdr:col>15</xdr:col>
      <xdr:colOff>28575</xdr:colOff>
      <xdr:row>15</xdr:row>
      <xdr:rowOff>6645</xdr:rowOff>
    </xdr:to>
    <xdr:pic>
      <xdr:nvPicPr>
        <xdr:cNvPr id="4097" name="Picture 1">
          <a:extLst>
            <a:ext uri="{FF2B5EF4-FFF2-40B4-BE49-F238E27FC236}">
              <a16:creationId xmlns:a16="http://schemas.microsoft.com/office/drawing/2014/main" id="{00000000-0008-0000-02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77175" y="809626"/>
          <a:ext cx="3657600" cy="294986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4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>
    <pageSetUpPr fitToPage="1"/>
  </sheetPr>
  <dimension ref="A1:AL111"/>
  <sheetViews>
    <sheetView tabSelected="1" zoomScaleNormal="100" workbookViewId="0">
      <selection activeCell="C4" sqref="C4"/>
    </sheetView>
  </sheetViews>
  <sheetFormatPr defaultColWidth="9.140625" defaultRowHeight="15" x14ac:dyDescent="0.25"/>
  <cols>
    <col min="1" max="1" width="23.140625" style="69" customWidth="1"/>
    <col min="2" max="4" width="12.7109375" style="66" customWidth="1"/>
    <col min="5" max="5" width="15.7109375" style="68" customWidth="1"/>
    <col min="6" max="6" width="52.42578125" style="66" customWidth="1"/>
    <col min="7" max="7" width="12.85546875" style="106" customWidth="1"/>
    <col min="8" max="8" width="10.42578125" style="135" customWidth="1"/>
    <col min="9" max="10" width="10.42578125" style="106" customWidth="1"/>
    <col min="11" max="14" width="12.85546875" style="106" customWidth="1"/>
    <col min="15" max="16" width="10.28515625" style="106" customWidth="1"/>
    <col min="17" max="17" width="10.28515625" style="328" customWidth="1"/>
    <col min="18" max="20" width="9.140625" style="106"/>
    <col min="21" max="21" width="9.140625" style="109"/>
    <col min="22" max="22" width="19.28515625" style="109" bestFit="1" customWidth="1"/>
    <col min="23" max="23" width="7.7109375" style="109" customWidth="1"/>
    <col min="24" max="25" width="9.140625" style="305"/>
    <col min="26" max="26" width="4.7109375" style="305" bestFit="1" customWidth="1"/>
    <col min="27" max="35" width="9.140625" style="106"/>
    <col min="36" max="16384" width="9.140625" style="66"/>
  </cols>
  <sheetData>
    <row r="1" spans="1:36" ht="24" customHeight="1" thickBot="1" x14ac:dyDescent="0.3">
      <c r="A1" s="454" t="s">
        <v>328</v>
      </c>
      <c r="B1" s="455"/>
      <c r="C1" s="455"/>
      <c r="D1" s="455"/>
      <c r="E1" s="455"/>
      <c r="F1" s="456"/>
      <c r="H1" s="125"/>
      <c r="I1" s="237"/>
      <c r="J1" s="237"/>
      <c r="K1" s="237"/>
      <c r="L1" s="237"/>
      <c r="M1" s="237"/>
      <c r="N1" s="237"/>
      <c r="O1" s="237"/>
      <c r="P1" s="237"/>
      <c r="Q1" s="237"/>
      <c r="U1" s="106"/>
      <c r="V1" s="108"/>
      <c r="X1" s="109"/>
      <c r="Y1" s="110"/>
      <c r="Z1" s="111"/>
      <c r="AA1" s="111"/>
      <c r="AJ1" s="106"/>
    </row>
    <row r="2" spans="1:36" ht="37.5" customHeight="1" thickBot="1" x14ac:dyDescent="0.3">
      <c r="A2" s="460" t="s">
        <v>269</v>
      </c>
      <c r="B2" s="461"/>
      <c r="C2" s="461"/>
      <c r="D2" s="461"/>
      <c r="E2" s="461"/>
      <c r="F2" s="462"/>
      <c r="H2" s="126"/>
      <c r="I2" s="238"/>
      <c r="J2" s="238"/>
      <c r="K2" s="238"/>
      <c r="L2" s="238"/>
      <c r="M2" s="238"/>
      <c r="N2" s="238"/>
      <c r="O2" s="238"/>
      <c r="P2" s="238"/>
      <c r="Q2" s="238"/>
      <c r="R2" s="261"/>
      <c r="U2" s="106"/>
      <c r="X2" s="109"/>
      <c r="AA2" s="305"/>
      <c r="AJ2" s="106"/>
    </row>
    <row r="3" spans="1:36" s="306" customFormat="1" ht="18" customHeight="1" thickBot="1" x14ac:dyDescent="0.35">
      <c r="A3" s="71" t="s">
        <v>66</v>
      </c>
      <c r="B3" s="72" t="s">
        <v>25</v>
      </c>
      <c r="C3" s="72" t="s">
        <v>26</v>
      </c>
      <c r="D3" s="204" t="s">
        <v>27</v>
      </c>
      <c r="E3" s="73" t="s">
        <v>28</v>
      </c>
      <c r="F3" s="74" t="s">
        <v>30</v>
      </c>
      <c r="G3" s="106"/>
      <c r="H3" s="127"/>
      <c r="I3" s="239"/>
      <c r="J3" s="239"/>
      <c r="K3" s="239"/>
      <c r="L3" s="239"/>
      <c r="M3" s="239"/>
      <c r="N3" s="239"/>
      <c r="O3" s="239"/>
      <c r="P3" s="239"/>
      <c r="Q3" s="239"/>
      <c r="R3" s="331"/>
      <c r="S3" s="332"/>
      <c r="T3" s="332"/>
      <c r="U3" s="332"/>
      <c r="V3" s="109"/>
      <c r="W3" s="109"/>
      <c r="X3" s="109"/>
      <c r="Y3" s="332"/>
      <c r="Z3" s="332"/>
      <c r="AA3" s="332"/>
      <c r="AB3" s="332"/>
      <c r="AC3" s="332"/>
      <c r="AD3" s="332"/>
      <c r="AE3" s="332"/>
      <c r="AF3" s="332"/>
      <c r="AG3" s="332"/>
      <c r="AH3" s="332"/>
      <c r="AI3" s="332"/>
      <c r="AJ3" s="332"/>
    </row>
    <row r="4" spans="1:36" ht="15.75" thickBot="1" x14ac:dyDescent="0.3">
      <c r="A4" s="12" t="s">
        <v>60</v>
      </c>
      <c r="B4" s="197">
        <v>6</v>
      </c>
      <c r="C4" s="198">
        <v>13.5</v>
      </c>
      <c r="D4" s="198">
        <v>18</v>
      </c>
      <c r="E4" s="8" t="s">
        <v>2</v>
      </c>
      <c r="F4" s="62" t="str">
        <f>IF(B4&lt;VIN_MIN_IC,"Vin_min is lower than minimum VIN level",IF((VIN_MAX_app+VOUT)&gt;VIN_MAX_IC,"Vin_max is higher than maximum VIN level","Steady-state input operating voltages"))</f>
        <v>Steady-state input operating voltages</v>
      </c>
      <c r="H4" s="128"/>
      <c r="I4" s="240"/>
      <c r="J4" s="240"/>
      <c r="K4" s="240"/>
      <c r="L4" s="240"/>
      <c r="M4" s="240"/>
      <c r="N4" s="240"/>
      <c r="O4" s="240"/>
      <c r="P4" s="240"/>
      <c r="Q4" s="240"/>
      <c r="R4" s="261"/>
      <c r="U4" s="106"/>
      <c r="X4" s="109"/>
      <c r="Y4" s="112"/>
      <c r="Z4" s="113"/>
      <c r="AA4" s="114"/>
      <c r="AJ4" s="106"/>
    </row>
    <row r="5" spans="1:36" ht="15.75" thickBot="1" x14ac:dyDescent="0.3">
      <c r="A5" s="12" t="s">
        <v>187</v>
      </c>
      <c r="B5" s="199" t="s">
        <v>19</v>
      </c>
      <c r="C5" s="200">
        <v>0.35</v>
      </c>
      <c r="D5" s="203" t="s">
        <v>19</v>
      </c>
      <c r="E5" s="8" t="s">
        <v>10</v>
      </c>
      <c r="F5" s="63" t="str">
        <f ca="1">IF(COUNTIF(Efficiency!AA4:AA48,"TSD")&gt;0,"IC may overheat!","Desired output Current  (recommended 0.1A-1A)")</f>
        <v>Desired output Current  (recommended 0.1A-1A)</v>
      </c>
      <c r="H5" s="128"/>
      <c r="I5" s="240"/>
      <c r="J5" s="240"/>
      <c r="K5" s="240"/>
      <c r="L5" s="240"/>
      <c r="M5" s="240"/>
      <c r="N5" s="240"/>
      <c r="O5" s="240"/>
      <c r="P5" s="240"/>
      <c r="Q5" s="240"/>
      <c r="R5" s="261"/>
      <c r="U5" s="106"/>
      <c r="X5" s="109"/>
      <c r="Y5" s="115"/>
      <c r="Z5" s="116"/>
      <c r="AA5" s="117"/>
      <c r="AJ5" s="106"/>
    </row>
    <row r="6" spans="1:36" ht="15.75" thickBot="1" x14ac:dyDescent="0.3">
      <c r="A6" s="12" t="s">
        <v>188</v>
      </c>
      <c r="B6" s="9" t="s">
        <v>19</v>
      </c>
      <c r="C6" s="7">
        <v>4</v>
      </c>
      <c r="D6" s="52" t="s">
        <v>19</v>
      </c>
      <c r="E6" s="8" t="s">
        <v>19</v>
      </c>
      <c r="F6" s="63" t="str">
        <f xml:space="preserve"> IF(VOUT&gt;=Constants!B9, "Output voltage is higher than the output voltage limit","Recommended 1-4 white LEDs or 1-6 red LEDs")</f>
        <v>Recommended 1-4 white LEDs or 1-6 red LEDs</v>
      </c>
      <c r="H6" s="128"/>
      <c r="I6" s="240"/>
      <c r="J6" s="240"/>
      <c r="K6" s="240"/>
      <c r="L6" s="240"/>
      <c r="M6" s="240"/>
      <c r="N6" s="240"/>
      <c r="O6" s="240"/>
      <c r="P6" s="240"/>
      <c r="Q6" s="240"/>
      <c r="R6" s="261"/>
      <c r="U6" s="106"/>
      <c r="X6" s="109"/>
      <c r="Y6" s="115"/>
      <c r="Z6" s="116"/>
      <c r="AA6" s="117"/>
      <c r="AJ6" s="106"/>
    </row>
    <row r="7" spans="1:36" ht="15.75" thickBot="1" x14ac:dyDescent="0.3">
      <c r="A7" s="12" t="s">
        <v>189</v>
      </c>
      <c r="B7" s="201" t="s">
        <v>19</v>
      </c>
      <c r="C7" s="202">
        <v>3.05</v>
      </c>
      <c r="D7" s="52" t="s">
        <v>19</v>
      </c>
      <c r="E7" s="8" t="s">
        <v>2</v>
      </c>
      <c r="F7" s="63" t="s">
        <v>332</v>
      </c>
      <c r="H7" s="128"/>
      <c r="I7" s="240"/>
      <c r="J7" s="240"/>
      <c r="K7" s="240"/>
      <c r="L7" s="240"/>
      <c r="M7" s="240"/>
      <c r="N7" s="240"/>
      <c r="O7" s="240"/>
      <c r="P7" s="240"/>
      <c r="Q7" s="240"/>
      <c r="R7" s="261"/>
      <c r="U7" s="106"/>
      <c r="X7" s="109"/>
      <c r="Y7" s="115"/>
      <c r="Z7" s="116"/>
      <c r="AA7" s="117"/>
      <c r="AJ7" s="106"/>
    </row>
    <row r="8" spans="1:36" ht="15.75" thickBot="1" x14ac:dyDescent="0.3">
      <c r="A8" s="12" t="s">
        <v>215</v>
      </c>
      <c r="B8" s="9" t="s">
        <v>19</v>
      </c>
      <c r="C8" s="200">
        <v>0.9</v>
      </c>
      <c r="D8" s="205" t="s">
        <v>19</v>
      </c>
      <c r="E8" s="52" t="s">
        <v>43</v>
      </c>
      <c r="F8" s="63" t="s">
        <v>210</v>
      </c>
      <c r="H8" s="128"/>
      <c r="I8" s="240"/>
      <c r="J8" s="240"/>
      <c r="K8" s="240"/>
      <c r="L8" s="240"/>
      <c r="M8" s="240"/>
      <c r="N8" s="240"/>
      <c r="O8" s="240"/>
      <c r="P8" s="240"/>
      <c r="Q8" s="240"/>
      <c r="R8" s="261"/>
      <c r="U8" s="106"/>
      <c r="X8" s="109"/>
      <c r="Y8" s="115"/>
      <c r="Z8" s="116"/>
      <c r="AA8" s="117"/>
      <c r="AJ8" s="106"/>
    </row>
    <row r="9" spans="1:36" ht="15.75" thickBot="1" x14ac:dyDescent="0.3">
      <c r="A9" s="12" t="s">
        <v>190</v>
      </c>
      <c r="B9" s="219" t="s">
        <v>19</v>
      </c>
      <c r="C9" s="196">
        <v>1</v>
      </c>
      <c r="D9" s="196">
        <v>1.6</v>
      </c>
      <c r="E9" s="8" t="s">
        <v>21</v>
      </c>
      <c r="F9" s="63" t="s">
        <v>81</v>
      </c>
      <c r="H9" s="128"/>
      <c r="I9" s="240"/>
      <c r="J9" s="240"/>
      <c r="K9" s="240"/>
      <c r="L9" s="240"/>
      <c r="M9" s="240"/>
      <c r="N9" s="240"/>
      <c r="O9" s="240"/>
      <c r="P9" s="240"/>
      <c r="Q9" s="240"/>
      <c r="R9" s="261"/>
      <c r="U9" s="106"/>
      <c r="W9" s="117"/>
      <c r="X9" s="117"/>
      <c r="Y9" s="116"/>
      <c r="Z9" s="116"/>
      <c r="AA9" s="118"/>
      <c r="AJ9" s="106"/>
    </row>
    <row r="10" spans="1:36" ht="15.75" thickBot="1" x14ac:dyDescent="0.3">
      <c r="A10" s="12" t="s">
        <v>67</v>
      </c>
      <c r="B10" s="196">
        <v>-20</v>
      </c>
      <c r="C10" s="220" t="s">
        <v>19</v>
      </c>
      <c r="D10" s="196">
        <v>20</v>
      </c>
      <c r="E10" s="8" t="s">
        <v>21</v>
      </c>
      <c r="F10" s="63" t="s">
        <v>38</v>
      </c>
      <c r="H10" s="128"/>
      <c r="I10" s="240"/>
      <c r="J10" s="240"/>
      <c r="K10" s="240"/>
      <c r="L10" s="240"/>
      <c r="M10" s="240"/>
      <c r="N10" s="240"/>
      <c r="O10" s="240"/>
      <c r="P10" s="240"/>
      <c r="Q10" s="240"/>
      <c r="R10" s="261"/>
      <c r="U10" s="106"/>
      <c r="W10" s="117"/>
      <c r="X10" s="117"/>
      <c r="Y10" s="116"/>
      <c r="Z10" s="116"/>
      <c r="AA10" s="117"/>
      <c r="AJ10" s="106"/>
    </row>
    <row r="11" spans="1:36" ht="18.75" thickBot="1" x14ac:dyDescent="0.3">
      <c r="A11" s="42" t="s">
        <v>74</v>
      </c>
      <c r="B11" s="333" t="s">
        <v>19</v>
      </c>
      <c r="C11" s="206">
        <v>45</v>
      </c>
      <c r="D11" s="334" t="s">
        <v>19</v>
      </c>
      <c r="E11" s="335" t="s">
        <v>20</v>
      </c>
      <c r="F11" s="336" t="s">
        <v>275</v>
      </c>
      <c r="H11" s="129"/>
      <c r="I11" s="241"/>
      <c r="J11" s="241"/>
      <c r="K11" s="241"/>
      <c r="L11" s="241"/>
      <c r="M11" s="241"/>
      <c r="N11" s="241"/>
      <c r="O11" s="241"/>
      <c r="P11" s="241"/>
      <c r="Q11" s="241"/>
      <c r="R11" s="261"/>
      <c r="U11" s="106"/>
      <c r="W11" s="117"/>
      <c r="X11" s="117"/>
      <c r="Y11" s="116"/>
      <c r="Z11" s="116"/>
      <c r="AA11" s="117"/>
      <c r="AJ11" s="106"/>
    </row>
    <row r="12" spans="1:36" ht="18.75" thickBot="1" x14ac:dyDescent="0.3">
      <c r="A12" s="337" t="s">
        <v>331</v>
      </c>
      <c r="B12" s="16" t="s">
        <v>19</v>
      </c>
      <c r="C12" s="207">
        <v>2</v>
      </c>
      <c r="D12" s="338" t="s">
        <v>19</v>
      </c>
      <c r="E12" s="18" t="s">
        <v>14</v>
      </c>
      <c r="F12" s="339" t="s">
        <v>273</v>
      </c>
      <c r="H12" s="129"/>
      <c r="I12" s="241"/>
      <c r="J12" s="241"/>
      <c r="K12" s="241"/>
      <c r="L12" s="241"/>
      <c r="M12" s="241"/>
      <c r="N12" s="241"/>
      <c r="O12" s="241"/>
      <c r="P12" s="241"/>
      <c r="Q12" s="241"/>
      <c r="R12" s="261"/>
      <c r="U12" s="106"/>
      <c r="W12" s="117"/>
      <c r="X12" s="117"/>
      <c r="Y12" s="116"/>
      <c r="Z12" s="116"/>
      <c r="AA12" s="117"/>
      <c r="AJ12" s="106"/>
    </row>
    <row r="13" spans="1:36" ht="18.75" thickBot="1" x14ac:dyDescent="0.3">
      <c r="A13" s="139" t="s">
        <v>57</v>
      </c>
      <c r="B13" s="41" t="s">
        <v>19</v>
      </c>
      <c r="C13" s="214" t="s">
        <v>19</v>
      </c>
      <c r="D13" s="209">
        <v>85</v>
      </c>
      <c r="E13" s="15" t="s">
        <v>56</v>
      </c>
      <c r="F13" s="64" t="s">
        <v>85</v>
      </c>
      <c r="H13" s="129"/>
      <c r="I13" s="241"/>
      <c r="J13" s="241"/>
      <c r="K13" s="241"/>
      <c r="L13" s="241"/>
      <c r="M13" s="241"/>
      <c r="N13" s="241"/>
      <c r="O13" s="241"/>
      <c r="P13" s="241"/>
      <c r="Q13" s="241"/>
      <c r="R13" s="261"/>
      <c r="U13" s="106"/>
      <c r="V13" s="117"/>
      <c r="W13" s="117"/>
      <c r="X13" s="117"/>
      <c r="Y13" s="116"/>
      <c r="Z13" s="116"/>
      <c r="AA13" s="117"/>
      <c r="AJ13" s="106"/>
    </row>
    <row r="14" spans="1:36" ht="18" customHeight="1" thickBot="1" x14ac:dyDescent="0.3">
      <c r="A14" s="465" t="s">
        <v>134</v>
      </c>
      <c r="B14" s="466"/>
      <c r="C14" s="467"/>
      <c r="D14" s="208" t="s">
        <v>28</v>
      </c>
      <c r="E14" s="468" t="s">
        <v>30</v>
      </c>
      <c r="F14" s="469"/>
      <c r="H14" s="130"/>
      <c r="I14" s="242"/>
      <c r="J14" s="242"/>
      <c r="K14" s="242"/>
      <c r="L14" s="242"/>
      <c r="M14" s="242"/>
      <c r="N14" s="242"/>
      <c r="O14" s="242"/>
      <c r="P14" s="242"/>
      <c r="Q14" s="242"/>
      <c r="R14" s="261"/>
      <c r="U14" s="106"/>
      <c r="V14" s="340"/>
      <c r="W14" s="105"/>
      <c r="X14" s="117"/>
      <c r="Y14" s="116"/>
      <c r="Z14" s="116"/>
      <c r="AA14" s="117"/>
      <c r="AJ14" s="106"/>
    </row>
    <row r="15" spans="1:36" ht="15.75" thickBot="1" x14ac:dyDescent="0.3">
      <c r="A15" s="222" t="s">
        <v>192</v>
      </c>
      <c r="B15" s="209">
        <v>0.7</v>
      </c>
      <c r="C15" s="70">
        <v>0.42</v>
      </c>
      <c r="D15" s="47" t="s">
        <v>127</v>
      </c>
      <c r="E15" s="327" t="s">
        <v>261</v>
      </c>
      <c r="F15" s="320"/>
      <c r="H15" s="129"/>
      <c r="I15" s="241"/>
      <c r="J15" s="241"/>
      <c r="K15" s="241"/>
      <c r="L15" s="241"/>
      <c r="M15" s="241"/>
      <c r="N15" s="241"/>
      <c r="O15" s="241"/>
      <c r="P15" s="241"/>
      <c r="Q15" s="241"/>
      <c r="R15" s="261"/>
      <c r="U15" s="106"/>
      <c r="V15" s="340"/>
      <c r="W15" s="117"/>
      <c r="X15" s="117"/>
      <c r="Y15" s="116"/>
      <c r="Z15" s="116"/>
      <c r="AA15" s="117"/>
      <c r="AJ15" s="106"/>
    </row>
    <row r="16" spans="1:36" ht="15.75" thickBot="1" x14ac:dyDescent="0.3">
      <c r="A16" s="42"/>
      <c r="B16" s="54">
        <v>0.2</v>
      </c>
      <c r="C16" s="70">
        <v>0.36</v>
      </c>
      <c r="D16" s="47" t="s">
        <v>127</v>
      </c>
      <c r="E16" s="319" t="s">
        <v>270</v>
      </c>
      <c r="F16" s="320"/>
      <c r="H16" s="129"/>
      <c r="I16" s="241"/>
      <c r="J16" s="241"/>
      <c r="K16" s="241"/>
      <c r="L16" s="241"/>
      <c r="M16" s="241"/>
      <c r="N16" s="241"/>
      <c r="O16" s="241"/>
      <c r="P16" s="241"/>
      <c r="Q16" s="241"/>
      <c r="R16" s="261"/>
      <c r="U16" s="106"/>
      <c r="V16" s="340"/>
      <c r="W16" s="117"/>
      <c r="X16" s="117"/>
      <c r="Y16" s="116"/>
      <c r="Z16" s="116"/>
      <c r="AA16" s="117"/>
      <c r="AJ16" s="106"/>
    </row>
    <row r="17" spans="1:36" ht="15.75" thickBot="1" x14ac:dyDescent="0.3">
      <c r="A17" s="42"/>
      <c r="B17" s="54">
        <v>0.6</v>
      </c>
      <c r="C17" s="70">
        <v>0.40699999999999997</v>
      </c>
      <c r="D17" s="47" t="s">
        <v>127</v>
      </c>
      <c r="E17" s="319" t="s">
        <v>270</v>
      </c>
      <c r="F17" s="320"/>
      <c r="H17" s="129"/>
      <c r="I17" s="241"/>
      <c r="J17" s="241"/>
      <c r="K17" s="241"/>
      <c r="L17" s="241"/>
      <c r="M17" s="241"/>
      <c r="N17" s="241"/>
      <c r="O17" s="241"/>
      <c r="P17" s="241"/>
      <c r="Q17" s="241"/>
      <c r="R17" s="261"/>
      <c r="U17" s="106"/>
      <c r="V17" s="340"/>
      <c r="W17" s="117"/>
      <c r="X17" s="117"/>
      <c r="Y17" s="116"/>
      <c r="Z17" s="116"/>
      <c r="AA17" s="117"/>
      <c r="AJ17" s="106"/>
    </row>
    <row r="18" spans="1:36" ht="15.75" thickBot="1" x14ac:dyDescent="0.3">
      <c r="A18" s="42"/>
      <c r="B18" s="54">
        <v>1</v>
      </c>
      <c r="C18" s="70">
        <v>0.435</v>
      </c>
      <c r="D18" s="47" t="s">
        <v>127</v>
      </c>
      <c r="E18" s="319" t="s">
        <v>270</v>
      </c>
      <c r="F18" s="320"/>
      <c r="H18" s="129"/>
      <c r="I18" s="241"/>
      <c r="J18" s="241"/>
      <c r="K18" s="241"/>
      <c r="L18" s="241"/>
      <c r="M18" s="241"/>
      <c r="N18" s="241"/>
      <c r="O18" s="241"/>
      <c r="P18" s="241"/>
      <c r="Q18" s="241"/>
      <c r="R18" s="261"/>
      <c r="U18" s="106"/>
      <c r="V18" s="340"/>
      <c r="W18" s="117"/>
      <c r="X18" s="117"/>
      <c r="Y18" s="116"/>
      <c r="Z18" s="116"/>
      <c r="AA18" s="117"/>
      <c r="AJ18" s="106"/>
    </row>
    <row r="19" spans="1:36" ht="15.75" thickBot="1" x14ac:dyDescent="0.3">
      <c r="A19" s="42"/>
      <c r="B19" s="54">
        <v>2</v>
      </c>
      <c r="C19" s="70">
        <v>0.48</v>
      </c>
      <c r="D19" s="47" t="s">
        <v>127</v>
      </c>
      <c r="E19" s="319" t="s">
        <v>270</v>
      </c>
      <c r="F19" s="320"/>
      <c r="H19" s="129"/>
      <c r="I19" s="241"/>
      <c r="J19" s="241"/>
      <c r="K19" s="241"/>
      <c r="L19" s="241"/>
      <c r="M19" s="241"/>
      <c r="N19" s="241"/>
      <c r="O19" s="241"/>
      <c r="P19" s="241"/>
      <c r="Q19" s="241"/>
      <c r="R19" s="261"/>
      <c r="U19" s="106"/>
      <c r="V19" s="340"/>
      <c r="W19" s="117"/>
      <c r="X19" s="117"/>
      <c r="Y19" s="116"/>
      <c r="Z19" s="116"/>
      <c r="AA19" s="117"/>
      <c r="AJ19" s="106"/>
    </row>
    <row r="20" spans="1:36" ht="15.75" thickBot="1" x14ac:dyDescent="0.3">
      <c r="A20" s="42"/>
      <c r="B20" s="54">
        <v>4</v>
      </c>
      <c r="C20" s="70">
        <v>0.56999999999999995</v>
      </c>
      <c r="D20" s="47" t="s">
        <v>127</v>
      </c>
      <c r="E20" s="319" t="s">
        <v>270</v>
      </c>
      <c r="F20" s="320"/>
      <c r="H20" s="129"/>
      <c r="I20" s="241"/>
      <c r="J20" s="241"/>
      <c r="K20" s="241"/>
      <c r="L20" s="241"/>
      <c r="M20" s="241"/>
      <c r="N20" s="241"/>
      <c r="O20" s="241"/>
      <c r="P20" s="241"/>
      <c r="Q20" s="241"/>
      <c r="R20" s="261"/>
      <c r="U20" s="106"/>
      <c r="V20" s="340"/>
      <c r="W20" s="117"/>
      <c r="X20" s="117"/>
      <c r="Y20" s="116"/>
      <c r="Z20" s="116"/>
      <c r="AA20" s="117"/>
      <c r="AJ20" s="106"/>
    </row>
    <row r="21" spans="1:36" ht="15.75" thickBot="1" x14ac:dyDescent="0.3">
      <c r="A21" s="42" t="s">
        <v>151</v>
      </c>
      <c r="B21" s="463">
        <v>-1</v>
      </c>
      <c r="C21" s="464"/>
      <c r="D21" s="47" t="s">
        <v>128</v>
      </c>
      <c r="E21" s="470" t="s">
        <v>150</v>
      </c>
      <c r="F21" s="471"/>
      <c r="H21" s="129"/>
      <c r="M21" s="243"/>
      <c r="N21" s="243"/>
      <c r="O21" s="243"/>
      <c r="P21" s="243"/>
      <c r="Q21" s="243"/>
      <c r="R21" s="261"/>
      <c r="U21" s="106"/>
      <c r="V21" s="105"/>
      <c r="W21" s="105"/>
      <c r="X21" s="109"/>
      <c r="Y21" s="116"/>
      <c r="Z21" s="116"/>
      <c r="AA21" s="305"/>
      <c r="AJ21" s="106"/>
    </row>
    <row r="22" spans="1:36" ht="18.75" thickBot="1" x14ac:dyDescent="0.3">
      <c r="A22" s="42" t="s">
        <v>152</v>
      </c>
      <c r="B22" s="472">
        <v>55</v>
      </c>
      <c r="C22" s="473"/>
      <c r="D22" s="18" t="s">
        <v>20</v>
      </c>
      <c r="E22" s="326" t="s">
        <v>153</v>
      </c>
      <c r="F22" s="53"/>
      <c r="H22" s="131"/>
      <c r="I22" s="244"/>
      <c r="J22" s="244"/>
      <c r="K22" s="244"/>
      <c r="L22" s="244"/>
      <c r="O22" s="244"/>
      <c r="P22" s="244"/>
      <c r="Q22" s="244"/>
      <c r="R22" s="261"/>
      <c r="U22" s="106"/>
      <c r="V22" s="120"/>
      <c r="W22" s="119"/>
      <c r="X22" s="109"/>
      <c r="Y22" s="116"/>
      <c r="Z22" s="116"/>
      <c r="AA22" s="305"/>
      <c r="AJ22" s="106"/>
    </row>
    <row r="23" spans="1:36" s="306" customFormat="1" ht="32.25" customHeight="1" thickBot="1" x14ac:dyDescent="0.35">
      <c r="A23" s="439" t="s">
        <v>260</v>
      </c>
      <c r="B23" s="440"/>
      <c r="C23" s="440"/>
      <c r="D23" s="440"/>
      <c r="E23" s="440"/>
      <c r="F23" s="441"/>
      <c r="G23" s="106"/>
      <c r="H23" s="123"/>
      <c r="I23" s="446" t="s">
        <v>181</v>
      </c>
      <c r="J23" s="446"/>
      <c r="K23" s="446"/>
      <c r="L23" s="446"/>
      <c r="M23" s="245"/>
      <c r="N23" s="245"/>
      <c r="O23" s="245"/>
      <c r="P23" s="245"/>
      <c r="Q23" s="245"/>
      <c r="R23" s="332"/>
      <c r="S23" s="332"/>
      <c r="T23" s="332"/>
      <c r="U23" s="332"/>
      <c r="V23" s="120"/>
      <c r="W23" s="119"/>
      <c r="X23" s="109"/>
      <c r="Y23" s="116"/>
      <c r="Z23" s="116"/>
      <c r="AA23" s="114"/>
      <c r="AB23" s="332"/>
      <c r="AC23" s="332"/>
      <c r="AD23" s="332"/>
      <c r="AE23" s="332"/>
      <c r="AF23" s="332"/>
      <c r="AG23" s="332"/>
      <c r="AH23" s="332"/>
      <c r="AI23" s="332"/>
      <c r="AJ23" s="332"/>
    </row>
    <row r="24" spans="1:36" ht="18.75" x14ac:dyDescent="0.25">
      <c r="A24" s="98" t="s">
        <v>24</v>
      </c>
      <c r="B24" s="318" t="s">
        <v>23</v>
      </c>
      <c r="C24" s="318" t="s">
        <v>28</v>
      </c>
      <c r="D24" s="457" t="s">
        <v>30</v>
      </c>
      <c r="E24" s="458"/>
      <c r="F24" s="459"/>
      <c r="H24" s="122"/>
      <c r="I24" s="246"/>
      <c r="J24" s="246"/>
      <c r="K24" s="246"/>
      <c r="M24" s="246"/>
      <c r="N24" s="246"/>
      <c r="O24" s="246"/>
      <c r="P24" s="246"/>
      <c r="Q24" s="246"/>
      <c r="U24" s="106"/>
      <c r="V24" s="120"/>
      <c r="W24" s="119"/>
      <c r="X24" s="109"/>
      <c r="Y24" s="116"/>
      <c r="Z24" s="116"/>
      <c r="AA24" s="117"/>
      <c r="AJ24" s="106"/>
    </row>
    <row r="25" spans="1:36" ht="15.75" x14ac:dyDescent="0.25">
      <c r="A25" s="428" t="s">
        <v>333</v>
      </c>
      <c r="B25" s="429"/>
      <c r="C25" s="429"/>
      <c r="D25" s="429"/>
      <c r="E25" s="429"/>
      <c r="F25" s="430"/>
      <c r="H25" s="122"/>
      <c r="I25" s="246"/>
      <c r="J25" s="246"/>
      <c r="K25" s="246"/>
      <c r="M25" s="246"/>
      <c r="N25" s="246"/>
      <c r="O25" s="246"/>
      <c r="P25" s="246"/>
      <c r="Q25" s="246"/>
      <c r="U25" s="106"/>
      <c r="V25" s="120"/>
      <c r="W25" s="119"/>
      <c r="X25" s="109"/>
      <c r="Y25" s="116"/>
      <c r="Z25" s="116"/>
      <c r="AA25" s="117"/>
      <c r="AJ25" s="106"/>
    </row>
    <row r="26" spans="1:36" ht="18.75" thickBot="1" x14ac:dyDescent="0.4">
      <c r="A26" s="99" t="s">
        <v>272</v>
      </c>
      <c r="B26" s="27">
        <f>(Constants!C4)/(Design!C5)</f>
        <v>0.57142857142857151</v>
      </c>
      <c r="C26" s="58" t="s">
        <v>43</v>
      </c>
      <c r="D26" s="316" t="s">
        <v>282</v>
      </c>
      <c r="E26" s="3"/>
      <c r="F26" s="315"/>
      <c r="H26" s="132"/>
      <c r="I26" s="247"/>
      <c r="J26" s="248"/>
      <c r="K26" s="248"/>
      <c r="L26" s="248"/>
      <c r="M26" s="248"/>
      <c r="N26" s="248"/>
      <c r="O26" s="248"/>
      <c r="P26" s="248"/>
      <c r="Q26" s="248"/>
      <c r="U26" s="106"/>
      <c r="V26" s="120"/>
      <c r="W26" s="119"/>
      <c r="X26" s="109"/>
      <c r="Y26" s="116"/>
      <c r="Z26" s="116"/>
      <c r="AA26" s="117"/>
      <c r="AJ26" s="106"/>
    </row>
    <row r="27" spans="1:36" ht="18.75" thickBot="1" x14ac:dyDescent="0.4">
      <c r="A27" s="100" t="s">
        <v>271</v>
      </c>
      <c r="B27" s="56">
        <v>0.57099999999999995</v>
      </c>
      <c r="C27" s="33" t="s">
        <v>43</v>
      </c>
      <c r="D27" s="316" t="s">
        <v>283</v>
      </c>
      <c r="E27" s="3"/>
      <c r="F27" s="315"/>
      <c r="H27" s="124"/>
      <c r="I27" s="247"/>
      <c r="J27" s="248"/>
      <c r="K27" s="248"/>
      <c r="L27" s="248"/>
      <c r="M27" s="248"/>
      <c r="N27" s="248"/>
      <c r="O27" s="248"/>
      <c r="P27" s="248"/>
      <c r="Q27" s="248"/>
      <c r="U27" s="106"/>
      <c r="V27" s="120"/>
      <c r="W27" s="119"/>
      <c r="X27" s="109"/>
      <c r="AA27" s="305"/>
      <c r="AJ27" s="106"/>
    </row>
    <row r="28" spans="1:36" ht="16.5" thickBot="1" x14ac:dyDescent="0.3">
      <c r="A28" s="101"/>
      <c r="B28" s="36"/>
      <c r="C28" s="102"/>
      <c r="D28" s="321"/>
      <c r="E28" s="103"/>
      <c r="F28" s="104"/>
      <c r="H28" s="131"/>
      <c r="I28" s="247"/>
      <c r="J28" s="248"/>
      <c r="K28" s="248"/>
      <c r="L28" s="248"/>
      <c r="M28" s="248"/>
      <c r="N28" s="248"/>
      <c r="O28" s="248"/>
      <c r="P28" s="248"/>
      <c r="Q28" s="248"/>
      <c r="U28" s="106"/>
      <c r="V28" s="120"/>
      <c r="W28" s="119"/>
      <c r="X28" s="109"/>
      <c r="AA28" s="305"/>
      <c r="AJ28" s="106"/>
    </row>
    <row r="29" spans="1:36" ht="15.75" x14ac:dyDescent="0.25">
      <c r="A29" s="425" t="s">
        <v>191</v>
      </c>
      <c r="B29" s="426"/>
      <c r="C29" s="426"/>
      <c r="D29" s="426"/>
      <c r="E29" s="426"/>
      <c r="F29" s="427"/>
      <c r="H29" s="131"/>
      <c r="I29" s="246"/>
      <c r="J29" s="246"/>
      <c r="K29" s="246"/>
      <c r="L29" s="246"/>
      <c r="M29" s="246"/>
      <c r="N29" s="246"/>
      <c r="O29" s="246"/>
      <c r="P29" s="246"/>
      <c r="Q29" s="246"/>
      <c r="U29" s="106"/>
      <c r="V29" s="120"/>
      <c r="W29" s="119"/>
      <c r="X29" s="109"/>
      <c r="AA29" s="305"/>
      <c r="AJ29" s="106"/>
    </row>
    <row r="30" spans="1:36" ht="15.75" customHeight="1" x14ac:dyDescent="0.35">
      <c r="A30" s="60" t="s">
        <v>274</v>
      </c>
      <c r="B30" s="210">
        <f>Constants!B4/(IF(ISBLANK(RFB_1),$B$26,RFB_1)*(1+C9/100))</f>
        <v>0.33292295954639251</v>
      </c>
      <c r="C30" s="210">
        <f>Constants!C4/IF(ISBLANK(RFB_1),$B$26,RFB_1)</f>
        <v>0.35026269702276713</v>
      </c>
      <c r="D30" s="210">
        <f>Constants!D4/(IF(ISBLANK(RFB_1),$B$26,RFB_1)*(1-C9/100))</f>
        <v>0.36795273222593716</v>
      </c>
      <c r="E30" s="316" t="s">
        <v>79</v>
      </c>
      <c r="F30" s="13"/>
      <c r="H30" s="132"/>
      <c r="I30" s="248"/>
      <c r="J30" s="248"/>
      <c r="K30" s="248"/>
      <c r="L30" s="248"/>
      <c r="M30" s="248"/>
      <c r="N30" s="248"/>
      <c r="O30" s="248"/>
      <c r="P30" s="248"/>
      <c r="Q30" s="248"/>
      <c r="U30" s="106"/>
      <c r="V30" s="120"/>
      <c r="W30" s="119"/>
      <c r="X30" s="109"/>
      <c r="AA30" s="305"/>
      <c r="AJ30" s="106"/>
    </row>
    <row r="31" spans="1:36" ht="15.75" customHeight="1" x14ac:dyDescent="0.25">
      <c r="A31" s="99" t="s">
        <v>320</v>
      </c>
      <c r="B31" s="210" t="s">
        <v>19</v>
      </c>
      <c r="C31" s="210">
        <f>C6*C7+V_cs</f>
        <v>12.399999999999999</v>
      </c>
      <c r="D31" s="210" t="s">
        <v>19</v>
      </c>
      <c r="E31" s="316"/>
      <c r="F31" s="315"/>
      <c r="H31" s="131"/>
      <c r="I31" s="249"/>
      <c r="J31" s="249"/>
      <c r="K31" s="249"/>
      <c r="L31" s="249"/>
      <c r="M31" s="249"/>
      <c r="N31" s="249"/>
      <c r="O31" s="249"/>
      <c r="P31" s="249"/>
      <c r="Q31" s="249"/>
      <c r="U31" s="106"/>
      <c r="V31" s="120"/>
      <c r="W31" s="119"/>
      <c r="X31" s="109"/>
      <c r="AA31" s="305"/>
      <c r="AJ31" s="106"/>
    </row>
    <row r="32" spans="1:36" ht="15.75" customHeight="1" x14ac:dyDescent="0.25">
      <c r="A32" s="60" t="s">
        <v>132</v>
      </c>
      <c r="B32" s="140">
        <f ca="1">MIN(Efficiency!D6:D25)</f>
        <v>0.41836477220667517</v>
      </c>
      <c r="C32" s="140">
        <f ca="1">Efficiency!D26</f>
        <v>0.49066094847717984</v>
      </c>
      <c r="D32" s="140">
        <f ca="1">MAX(Efficiency!D6:D26)</f>
        <v>0.69189485060398936</v>
      </c>
      <c r="E32" s="316" t="s">
        <v>133</v>
      </c>
      <c r="F32" s="65"/>
      <c r="H32" s="131"/>
      <c r="I32" s="249"/>
      <c r="J32" s="249"/>
      <c r="K32" s="249"/>
      <c r="L32" s="249"/>
      <c r="M32" s="249"/>
      <c r="N32" s="249"/>
      <c r="O32" s="249"/>
      <c r="P32" s="249"/>
      <c r="Q32" s="249"/>
      <c r="U32" s="106"/>
      <c r="V32" s="120"/>
      <c r="W32" s="119"/>
      <c r="X32" s="109"/>
      <c r="AA32" s="305"/>
      <c r="AJ32" s="106"/>
    </row>
    <row r="33" spans="1:36" ht="15.75" customHeight="1" thickBot="1" x14ac:dyDescent="0.4">
      <c r="A33" s="147" t="s">
        <v>244</v>
      </c>
      <c r="B33" s="210">
        <f ca="1">MIN(Efficiency!Y6:Y25)</f>
        <v>0.60220337470210394</v>
      </c>
      <c r="C33" s="210">
        <f ca="1">Efficiency!Y26</f>
        <v>0.68768082081189907</v>
      </c>
      <c r="D33" s="210">
        <f ca="1">MAX(Efficiency!Y6:Y25)</f>
        <v>1.136828442203577</v>
      </c>
      <c r="E33" s="316" t="s">
        <v>79</v>
      </c>
      <c r="F33" s="315"/>
      <c r="H33" s="133"/>
      <c r="I33" s="246"/>
      <c r="J33" s="246"/>
      <c r="K33" s="246"/>
      <c r="L33" s="246"/>
      <c r="M33" s="246"/>
      <c r="N33" s="447"/>
      <c r="O33" s="447"/>
      <c r="P33" s="246"/>
      <c r="Q33" s="246"/>
      <c r="U33" s="106"/>
      <c r="V33" s="120"/>
      <c r="W33" s="119"/>
      <c r="X33" s="109"/>
      <c r="AA33" s="305"/>
      <c r="AJ33" s="106"/>
    </row>
    <row r="34" spans="1:36" ht="15.75" x14ac:dyDescent="0.25">
      <c r="A34" s="425" t="s">
        <v>68</v>
      </c>
      <c r="B34" s="426"/>
      <c r="C34" s="426"/>
      <c r="D34" s="426"/>
      <c r="E34" s="426"/>
      <c r="F34" s="427"/>
      <c r="H34" s="131"/>
      <c r="I34" s="249"/>
      <c r="J34" s="249"/>
      <c r="K34" s="249"/>
      <c r="L34" s="249"/>
      <c r="M34" s="249"/>
      <c r="N34" s="249"/>
      <c r="O34" s="249"/>
      <c r="P34" s="249"/>
      <c r="Q34" s="249"/>
      <c r="U34" s="106"/>
      <c r="V34" s="120"/>
      <c r="W34" s="119"/>
      <c r="X34" s="109"/>
      <c r="AA34" s="305"/>
      <c r="AJ34" s="106"/>
    </row>
    <row r="35" spans="1:36" ht="15.75" x14ac:dyDescent="0.25">
      <c r="A35" s="60" t="s">
        <v>171</v>
      </c>
      <c r="B35" s="27">
        <f ca="1">MIN($B$32/Constants!D$19/10^-9/10^6, Constants!D16)</f>
        <v>2.5</v>
      </c>
      <c r="C35" s="3" t="s">
        <v>14</v>
      </c>
      <c r="D35" s="422" t="s">
        <v>102</v>
      </c>
      <c r="E35" s="423"/>
      <c r="F35" s="424"/>
      <c r="H35" s="132"/>
      <c r="I35" s="250"/>
      <c r="J35" s="250"/>
      <c r="K35" s="250"/>
      <c r="L35" s="250"/>
      <c r="M35" s="250"/>
      <c r="N35" s="250"/>
      <c r="O35" s="250"/>
      <c r="P35" s="250"/>
      <c r="Q35" s="250"/>
      <c r="R35" s="304"/>
      <c r="S35" s="304"/>
      <c r="T35" s="304"/>
      <c r="U35" s="304"/>
      <c r="V35" s="120"/>
      <c r="W35" s="119"/>
      <c r="X35" s="109"/>
      <c r="AA35" s="305"/>
      <c r="AJ35" s="106"/>
    </row>
    <row r="36" spans="1:36" ht="15.75" x14ac:dyDescent="0.25">
      <c r="A36" s="60" t="s">
        <v>170</v>
      </c>
      <c r="B36" s="4">
        <f>fsw_desire</f>
        <v>2</v>
      </c>
      <c r="C36" s="3" t="s">
        <v>14</v>
      </c>
      <c r="D36" s="323" t="s">
        <v>193</v>
      </c>
      <c r="E36" s="452" t="str">
        <f ca="1">IF(D32&gt;B40," See the DROPOUT tab for operation approaching Vin_min "," ")</f>
        <v xml:space="preserve"> </v>
      </c>
      <c r="F36" s="453"/>
      <c r="H36" s="128"/>
      <c r="I36" s="251"/>
      <c r="J36" s="251"/>
      <c r="K36" s="251"/>
      <c r="L36" s="251"/>
      <c r="M36" s="251"/>
      <c r="N36" s="251"/>
      <c r="O36" s="251"/>
      <c r="P36" s="251"/>
      <c r="Q36" s="251"/>
      <c r="R36" s="304"/>
      <c r="S36" s="304"/>
      <c r="T36" s="304"/>
      <c r="U36" s="304"/>
      <c r="V36" s="120"/>
      <c r="W36" s="119"/>
      <c r="X36" s="109"/>
      <c r="AA36" s="305"/>
      <c r="AJ36" s="106"/>
    </row>
    <row r="37" spans="1:36" ht="18" x14ac:dyDescent="0.35">
      <c r="A37" s="30" t="s">
        <v>161</v>
      </c>
      <c r="B37" s="31">
        <f>(IF((10^(LOG(16.256*fsw^(-1.025))-INT(LOG(16.256*fsw^(-1.025))))*100)-VLOOKUP((10^(LOG(16.256*fsw^(-1.025))-INT(LOG(16.256*fsw^(-1.025))))*100),E96_s:E96_f,1)&lt;VLOOKUP((10^(LOG(16.256*fsw^(-1.025))-INT(LOG(16.256*fsw^(-1.025))))*100),E96_s:E96_f,2)-(10^(LOG(16.256*fsw^(-1.025))-INT(LOG(16.256*fsw^(-1.025))))*100),VLOOKUP((10^(LOG(16.256*fsw^(-1.025))-INT(LOG(16.256*fsw^(-1.025))))*100),E96_s:E96_f,1),VLOOKUP((10^(LOG(16.256*fsw^(-1.025))-INT(LOG(16.256*fsw^(-1.025))))*100),E96_s:E96_f,2)))*10^INT(LOG(16.256*fsw^(-1.025)))/100</f>
        <v>8.06</v>
      </c>
      <c r="C37" s="221" t="s">
        <v>172</v>
      </c>
      <c r="D37" s="422" t="s">
        <v>46</v>
      </c>
      <c r="E37" s="423"/>
      <c r="F37" s="424"/>
      <c r="H37" s="134"/>
      <c r="I37" s="250"/>
      <c r="J37" s="250"/>
      <c r="K37" s="250"/>
      <c r="L37" s="250"/>
      <c r="M37" s="250"/>
      <c r="N37" s="250"/>
      <c r="O37" s="252"/>
      <c r="P37" s="250"/>
      <c r="Q37" s="250"/>
      <c r="R37" s="304"/>
      <c r="S37" s="304"/>
      <c r="T37" s="304"/>
      <c r="U37" s="304"/>
      <c r="V37" s="120"/>
      <c r="W37" s="119"/>
      <c r="X37" s="109"/>
      <c r="AA37" s="305"/>
      <c r="AJ37" s="106"/>
    </row>
    <row r="38" spans="1:36" ht="15.75" x14ac:dyDescent="0.25">
      <c r="A38" s="60" t="s">
        <v>206</v>
      </c>
      <c r="B38" s="36">
        <f>1000*1/fsw</f>
        <v>500</v>
      </c>
      <c r="C38" s="36" t="s">
        <v>4</v>
      </c>
      <c r="D38" s="323" t="s">
        <v>334</v>
      </c>
      <c r="E38" s="317"/>
      <c r="F38" s="325"/>
      <c r="H38" s="124"/>
      <c r="I38" s="250"/>
      <c r="J38" s="250"/>
      <c r="K38" s="250"/>
      <c r="L38" s="250"/>
      <c r="M38" s="250"/>
      <c r="N38" s="250"/>
      <c r="O38" s="250"/>
      <c r="P38" s="250"/>
      <c r="Q38" s="250"/>
      <c r="R38" s="304"/>
      <c r="S38" s="304"/>
      <c r="T38" s="304"/>
      <c r="U38" s="304"/>
      <c r="V38" s="120"/>
      <c r="W38" s="119"/>
      <c r="X38" s="109"/>
      <c r="AA38" s="305"/>
      <c r="AJ38" s="106"/>
    </row>
    <row r="39" spans="1:36" ht="15.75" customHeight="1" x14ac:dyDescent="0.35">
      <c r="A39" s="60" t="s">
        <v>131</v>
      </c>
      <c r="B39" s="140">
        <f>fsw*mega*Constants!C19*nano</f>
        <v>0.16</v>
      </c>
      <c r="C39" s="140">
        <f>fsw*mega*Constants!D19*nano</f>
        <v>0.2</v>
      </c>
      <c r="D39" s="422" t="s">
        <v>154</v>
      </c>
      <c r="E39" s="423"/>
      <c r="F39" s="424"/>
      <c r="H39" s="124"/>
      <c r="I39" s="250"/>
      <c r="J39" s="250"/>
      <c r="K39" s="250"/>
      <c r="L39" s="250"/>
      <c r="M39" s="250"/>
      <c r="N39" s="250"/>
      <c r="O39" s="250"/>
      <c r="P39" s="253"/>
      <c r="Q39" s="250"/>
      <c r="R39" s="304"/>
      <c r="S39" s="304"/>
      <c r="T39" s="304"/>
      <c r="U39" s="304"/>
      <c r="V39" s="120"/>
      <c r="W39" s="119"/>
      <c r="X39" s="109"/>
      <c r="AA39" s="305"/>
      <c r="AJ39" s="106"/>
    </row>
    <row r="40" spans="1:36" ht="18.75" thickBot="1" x14ac:dyDescent="0.4">
      <c r="A40" s="60" t="s">
        <v>130</v>
      </c>
      <c r="B40" s="141">
        <f>(Tsw-Min_tOFF_typ)/Tsw</f>
        <v>0.8</v>
      </c>
      <c r="C40" s="36" t="s">
        <v>19</v>
      </c>
      <c r="D40" s="422" t="s">
        <v>155</v>
      </c>
      <c r="E40" s="423"/>
      <c r="F40" s="424"/>
      <c r="H40" s="128"/>
      <c r="I40" s="250"/>
      <c r="J40" s="250"/>
      <c r="K40" s="250"/>
      <c r="L40" s="250"/>
      <c r="M40" s="250"/>
      <c r="N40" s="250"/>
      <c r="O40" s="250"/>
      <c r="P40" s="254"/>
      <c r="Q40" s="250"/>
      <c r="R40" s="304"/>
      <c r="S40" s="304"/>
      <c r="T40" s="304"/>
      <c r="U40" s="304"/>
      <c r="V40" s="120"/>
      <c r="W40" s="119"/>
      <c r="X40" s="109"/>
      <c r="AA40" s="305"/>
      <c r="AJ40" s="106"/>
    </row>
    <row r="41" spans="1:36" ht="15.75" x14ac:dyDescent="0.25">
      <c r="A41" s="425" t="s">
        <v>72</v>
      </c>
      <c r="B41" s="426"/>
      <c r="C41" s="426"/>
      <c r="D41" s="426"/>
      <c r="E41" s="426"/>
      <c r="F41" s="427"/>
      <c r="H41" s="128"/>
      <c r="I41" s="250"/>
      <c r="J41" s="255"/>
      <c r="K41" s="246"/>
      <c r="L41" s="246"/>
      <c r="M41" s="246"/>
      <c r="N41" s="246"/>
      <c r="O41" s="246"/>
      <c r="P41" s="246"/>
      <c r="Q41" s="246"/>
      <c r="R41" s="304"/>
      <c r="S41" s="304"/>
      <c r="T41" s="304"/>
      <c r="U41" s="304"/>
      <c r="V41" s="120"/>
      <c r="W41" s="119"/>
      <c r="X41" s="109"/>
      <c r="AA41" s="305"/>
      <c r="AJ41" s="106"/>
    </row>
    <row r="42" spans="1:36" ht="15.75" x14ac:dyDescent="0.25">
      <c r="A42" s="60" t="s">
        <v>163</v>
      </c>
      <c r="B42" s="4">
        <f>Se_2MHz*(1/(2*mega)-0.0000001)/(1/(fsw*mega)-0.0000001)</f>
        <v>3.1</v>
      </c>
      <c r="C42" s="3" t="s">
        <v>197</v>
      </c>
      <c r="D42" s="422" t="s">
        <v>196</v>
      </c>
      <c r="E42" s="423"/>
      <c r="F42" s="424"/>
      <c r="H42" s="132"/>
      <c r="I42" s="250"/>
      <c r="J42" s="250"/>
      <c r="K42" s="250"/>
      <c r="L42" s="250"/>
      <c r="M42" s="250"/>
      <c r="N42" s="250"/>
      <c r="O42" s="250"/>
      <c r="P42" s="250"/>
      <c r="Q42" s="250"/>
      <c r="R42" s="304"/>
      <c r="S42" s="304"/>
      <c r="T42" s="304"/>
      <c r="U42" s="304"/>
      <c r="V42" s="120"/>
      <c r="W42" s="119"/>
      <c r="X42" s="121"/>
      <c r="AA42" s="305"/>
      <c r="AJ42" s="106"/>
    </row>
    <row r="43" spans="1:36" ht="15.75" x14ac:dyDescent="0.25">
      <c r="A43" s="99" t="s">
        <v>198</v>
      </c>
      <c r="B43" s="4">
        <f ca="1">(MAX(VOUT/(2*Se_p)/(1+B10/100),VOUT*(1-B32)^2/(2*Iout_sys_min*fsw*(1-Constants!C18/100)*(1+fsw_tol_min/100))))/(1+B10/100)</f>
        <v>4.6053564564428058</v>
      </c>
      <c r="C43" s="3" t="s">
        <v>41</v>
      </c>
      <c r="D43" s="316" t="s">
        <v>284</v>
      </c>
      <c r="E43" s="317"/>
      <c r="F43" s="325"/>
      <c r="H43" s="132"/>
      <c r="I43" s="250"/>
      <c r="J43" s="250"/>
      <c r="K43" s="250"/>
      <c r="L43" s="250"/>
      <c r="M43" s="250"/>
      <c r="N43" s="250"/>
      <c r="O43" s="250"/>
      <c r="P43" s="250"/>
      <c r="Q43" s="250"/>
      <c r="R43" s="304"/>
      <c r="S43" s="304"/>
      <c r="T43" s="304"/>
      <c r="U43" s="304"/>
      <c r="V43" s="120"/>
      <c r="W43" s="119"/>
      <c r="X43" s="121"/>
      <c r="AA43" s="305"/>
      <c r="AJ43" s="106"/>
    </row>
    <row r="44" spans="1:36" ht="15.75" x14ac:dyDescent="0.25">
      <c r="A44" s="99" t="s">
        <v>199</v>
      </c>
      <c r="B44" s="4">
        <f>2.5*VOUT/(Se_p)</f>
        <v>9.9999999999999982</v>
      </c>
      <c r="C44" s="3" t="s">
        <v>41</v>
      </c>
      <c r="D44" s="316" t="s">
        <v>335</v>
      </c>
      <c r="E44" s="317"/>
      <c r="F44" s="325"/>
      <c r="H44" s="132"/>
      <c r="I44" s="250"/>
      <c r="J44" s="250"/>
      <c r="K44" s="250"/>
      <c r="L44" s="250"/>
      <c r="M44" s="250"/>
      <c r="N44" s="250"/>
      <c r="O44" s="250"/>
      <c r="P44" s="250"/>
      <c r="Q44" s="250"/>
      <c r="R44" s="304"/>
      <c r="S44" s="304"/>
      <c r="T44" s="304"/>
      <c r="U44" s="304"/>
      <c r="V44" s="120"/>
      <c r="W44" s="119"/>
      <c r="X44" s="121"/>
      <c r="AA44" s="305"/>
      <c r="AJ44" s="106"/>
    </row>
    <row r="45" spans="1:36" ht="16.5" thickBot="1" x14ac:dyDescent="0.3">
      <c r="A45" s="60" t="s">
        <v>86</v>
      </c>
      <c r="B45" s="4">
        <f>VOUT/Se_p*(1-0.18/D_max)</f>
        <v>3.0999999999999996</v>
      </c>
      <c r="C45" s="3" t="s">
        <v>41</v>
      </c>
      <c r="D45" s="422" t="s">
        <v>262</v>
      </c>
      <c r="E45" s="423"/>
      <c r="F45" s="424"/>
      <c r="H45" s="132"/>
      <c r="I45" s="250"/>
      <c r="J45" s="250"/>
      <c r="K45" s="250"/>
      <c r="L45" s="250"/>
      <c r="M45" s="250"/>
      <c r="N45" s="250"/>
      <c r="O45" s="250"/>
      <c r="P45" s="250"/>
      <c r="Q45" s="250"/>
      <c r="R45" s="304"/>
      <c r="S45" s="304"/>
      <c r="T45" s="304"/>
      <c r="U45" s="304"/>
      <c r="V45" s="120"/>
      <c r="W45" s="119"/>
      <c r="X45" s="121"/>
      <c r="AA45" s="305"/>
      <c r="AJ45" s="106"/>
    </row>
    <row r="46" spans="1:36" ht="16.5" thickBot="1" x14ac:dyDescent="0.3">
      <c r="A46" s="30" t="s">
        <v>31</v>
      </c>
      <c r="B46" s="56">
        <v>4.7</v>
      </c>
      <c r="C46" s="32" t="s">
        <v>96</v>
      </c>
      <c r="D46" s="422" t="s">
        <v>89</v>
      </c>
      <c r="E46" s="423"/>
      <c r="F46" s="424"/>
      <c r="H46" s="128"/>
      <c r="I46" s="250"/>
      <c r="J46" s="250"/>
      <c r="K46" s="256"/>
      <c r="L46" s="250"/>
      <c r="M46" s="250"/>
      <c r="N46" s="250"/>
      <c r="O46" s="252"/>
      <c r="P46" s="250"/>
      <c r="Q46" s="250"/>
      <c r="R46" s="304"/>
      <c r="S46" s="304"/>
      <c r="T46" s="304"/>
      <c r="U46" s="304"/>
      <c r="V46" s="120"/>
      <c r="W46" s="119"/>
      <c r="X46" s="121"/>
      <c r="AA46" s="305"/>
      <c r="AJ46" s="106"/>
    </row>
    <row r="47" spans="1:36" ht="18.75" thickBot="1" x14ac:dyDescent="0.4">
      <c r="A47" s="30" t="s">
        <v>314</v>
      </c>
      <c r="B47" s="265">
        <v>33.1</v>
      </c>
      <c r="C47" s="32" t="s">
        <v>315</v>
      </c>
      <c r="D47" s="474" t="s">
        <v>259</v>
      </c>
      <c r="E47" s="475"/>
      <c r="F47" s="476"/>
      <c r="H47" s="128"/>
      <c r="I47" s="250"/>
      <c r="J47" s="252"/>
      <c r="K47" s="250"/>
      <c r="L47" s="257"/>
      <c r="M47" s="250"/>
      <c r="N47" s="250"/>
      <c r="O47" s="250"/>
      <c r="P47" s="250"/>
      <c r="Q47" s="250"/>
      <c r="R47" s="304"/>
      <c r="S47" s="304"/>
      <c r="T47" s="304"/>
      <c r="U47" s="304"/>
      <c r="V47" s="120"/>
      <c r="W47" s="119"/>
      <c r="X47" s="121"/>
      <c r="AA47" s="305"/>
      <c r="AJ47" s="106"/>
    </row>
    <row r="48" spans="1:36" ht="18" x14ac:dyDescent="0.35">
      <c r="A48" s="60" t="s">
        <v>35</v>
      </c>
      <c r="B48" s="4">
        <f ca="1">(Vin_nom)/(L_buckboost*micro)*$C$32*Tsw*nano</f>
        <v>0.70467263877041797</v>
      </c>
      <c r="C48" s="3" t="s">
        <v>39</v>
      </c>
      <c r="D48" s="422" t="s">
        <v>207</v>
      </c>
      <c r="E48" s="423"/>
      <c r="F48" s="424"/>
      <c r="H48" s="128"/>
      <c r="I48" s="250"/>
      <c r="J48" s="250"/>
      <c r="K48" s="250"/>
      <c r="L48" s="250"/>
      <c r="M48" s="250"/>
      <c r="N48" s="250"/>
      <c r="O48" s="250"/>
      <c r="P48" s="250"/>
      <c r="Q48" s="250"/>
      <c r="R48" s="304"/>
      <c r="S48" s="304"/>
      <c r="T48" s="304"/>
      <c r="U48" s="304"/>
      <c r="V48" s="120"/>
      <c r="W48" s="119"/>
      <c r="X48" s="121"/>
      <c r="AA48" s="305"/>
      <c r="AJ48" s="106"/>
    </row>
    <row r="49" spans="1:36" ht="15.75" customHeight="1" x14ac:dyDescent="0.35">
      <c r="A49" s="60" t="s">
        <v>34</v>
      </c>
      <c r="B49" s="4">
        <f ca="1">VOUT/((1+B10/100)*L_buckboost*micro)*(1-Design!B32)/((1+fsw_tol_min/100)*(1-Constants!C18/100)*fsw*mega)</f>
        <v>1.121730251436672</v>
      </c>
      <c r="C49" s="3" t="s">
        <v>39</v>
      </c>
      <c r="D49" s="422" t="s">
        <v>73</v>
      </c>
      <c r="E49" s="423"/>
      <c r="F49" s="424"/>
      <c r="H49" s="128"/>
      <c r="I49" s="250"/>
      <c r="J49" s="250"/>
      <c r="K49" s="250"/>
      <c r="L49" s="250"/>
      <c r="M49" s="250"/>
      <c r="N49" s="250"/>
      <c r="O49" s="250"/>
      <c r="P49" s="250"/>
      <c r="Q49" s="250"/>
      <c r="R49" s="304"/>
      <c r="S49" s="304"/>
      <c r="T49" s="304"/>
      <c r="U49" s="304"/>
      <c r="V49" s="120"/>
      <c r="W49" s="119"/>
      <c r="X49" s="109"/>
      <c r="AA49" s="305"/>
      <c r="AJ49" s="106"/>
    </row>
    <row r="50" spans="1:36" ht="15.75" customHeight="1" x14ac:dyDescent="0.35">
      <c r="A50" s="147" t="s">
        <v>245</v>
      </c>
      <c r="B50" s="4">
        <f ca="1">Iout_sys_min+IIN_sys_min-B49/2</f>
        <v>0.37426120853016043</v>
      </c>
      <c r="C50" s="3" t="s">
        <v>246</v>
      </c>
      <c r="D50" s="316" t="s">
        <v>336</v>
      </c>
      <c r="E50" s="317"/>
      <c r="F50" s="325"/>
      <c r="H50" s="128"/>
      <c r="I50" s="250"/>
      <c r="J50" s="258"/>
      <c r="K50" s="258"/>
      <c r="L50" s="258"/>
      <c r="M50" s="258"/>
      <c r="N50" s="258"/>
      <c r="O50" s="258"/>
      <c r="P50" s="258"/>
      <c r="Q50" s="258"/>
      <c r="R50" s="304"/>
      <c r="S50" s="304"/>
      <c r="T50" s="304"/>
      <c r="U50" s="304"/>
      <c r="V50" s="120"/>
      <c r="W50" s="119"/>
      <c r="X50" s="109"/>
      <c r="AA50" s="305"/>
      <c r="AJ50" s="106"/>
    </row>
    <row r="51" spans="1:36" ht="15.75" customHeight="1" x14ac:dyDescent="0.35">
      <c r="A51" s="60" t="s">
        <v>93</v>
      </c>
      <c r="B51" s="4">
        <f ca="1">Iout_sys_max+IIN_sys_max+B49/2</f>
        <v>2.0656463001478502</v>
      </c>
      <c r="C51" s="3" t="s">
        <v>40</v>
      </c>
      <c r="D51" s="422" t="s">
        <v>80</v>
      </c>
      <c r="E51" s="423"/>
      <c r="F51" s="424"/>
      <c r="H51" s="128"/>
      <c r="I51" s="250"/>
      <c r="J51" s="258"/>
      <c r="K51" s="258"/>
      <c r="L51" s="258"/>
      <c r="M51" s="258"/>
      <c r="N51" s="258"/>
      <c r="O51" s="258"/>
      <c r="P51" s="258"/>
      <c r="Q51" s="258"/>
      <c r="R51" s="304"/>
      <c r="S51" s="304"/>
      <c r="T51" s="304"/>
      <c r="U51" s="304"/>
      <c r="V51" s="120"/>
      <c r="W51" s="119"/>
      <c r="X51" s="109"/>
      <c r="AA51" s="305"/>
      <c r="AJ51" s="106"/>
    </row>
    <row r="52" spans="1:36" ht="15.75" customHeight="1" thickBot="1" x14ac:dyDescent="0.3">
      <c r="A52" s="20" t="s">
        <v>78</v>
      </c>
      <c r="B52" s="22">
        <f ca="1">Constants!C30+Constants!C29*B32-B51</f>
        <v>2.8828190332667583</v>
      </c>
      <c r="C52" s="23" t="s">
        <v>10</v>
      </c>
      <c r="D52" s="477" t="s">
        <v>285</v>
      </c>
      <c r="E52" s="478"/>
      <c r="F52" s="479"/>
      <c r="H52" s="128"/>
      <c r="I52" s="258"/>
      <c r="J52" s="246"/>
      <c r="O52" s="246"/>
      <c r="P52" s="246"/>
      <c r="Q52" s="246"/>
      <c r="R52" s="304"/>
      <c r="S52" s="304"/>
      <c r="T52" s="304"/>
      <c r="U52" s="304"/>
      <c r="V52" s="120"/>
      <c r="W52" s="119"/>
      <c r="X52" s="109"/>
      <c r="AA52" s="305"/>
      <c r="AJ52" s="106"/>
    </row>
    <row r="53" spans="1:36" ht="19.5" thickBot="1" x14ac:dyDescent="0.35">
      <c r="A53" s="425" t="s">
        <v>69</v>
      </c>
      <c r="B53" s="426"/>
      <c r="C53" s="426"/>
      <c r="D53" s="426"/>
      <c r="E53" s="426"/>
      <c r="F53" s="427"/>
      <c r="H53" s="129"/>
      <c r="I53" s="246"/>
      <c r="J53" s="241"/>
      <c r="K53" s="241"/>
      <c r="L53" s="445" t="s">
        <v>180</v>
      </c>
      <c r="M53" s="445"/>
      <c r="N53" s="445"/>
      <c r="O53" s="445"/>
      <c r="P53" s="241"/>
      <c r="Q53" s="241"/>
      <c r="R53" s="304"/>
      <c r="S53" s="304"/>
      <c r="T53" s="304"/>
      <c r="U53" s="304"/>
      <c r="V53" s="120"/>
      <c r="W53" s="119"/>
      <c r="X53" s="109"/>
      <c r="AA53" s="305"/>
      <c r="AJ53" s="106"/>
    </row>
    <row r="54" spans="1:36" ht="15.75" thickBot="1" x14ac:dyDescent="0.3">
      <c r="A54" s="24" t="s">
        <v>257</v>
      </c>
      <c r="B54" s="25">
        <v>50</v>
      </c>
      <c r="C54" s="146" t="s">
        <v>213</v>
      </c>
      <c r="D54" s="433" t="s">
        <v>299</v>
      </c>
      <c r="E54" s="434"/>
      <c r="F54" s="435"/>
      <c r="H54" s="132"/>
      <c r="I54" s="341"/>
      <c r="J54" s="241"/>
      <c r="K54" s="241"/>
      <c r="L54" s="241"/>
      <c r="M54" s="241"/>
      <c r="N54" s="241"/>
      <c r="O54" s="241"/>
      <c r="P54" s="241"/>
      <c r="Q54" s="241"/>
      <c r="R54" s="304"/>
      <c r="S54" s="304"/>
      <c r="T54" s="304"/>
      <c r="U54" s="304"/>
      <c r="V54" s="120"/>
      <c r="W54" s="119"/>
      <c r="X54" s="109"/>
      <c r="AA54" s="305"/>
      <c r="AJ54" s="106"/>
    </row>
    <row r="55" spans="1:36" ht="18.75" thickBot="1" x14ac:dyDescent="0.3">
      <c r="A55" s="145" t="s">
        <v>294</v>
      </c>
      <c r="B55" s="28">
        <f ca="1">10^6*Iout_typ*C32*Tsw*10^-9/(B54*RLED*milli*C6)</f>
        <v>0.47738951982601679</v>
      </c>
      <c r="C55" s="37" t="s">
        <v>65</v>
      </c>
      <c r="D55" s="323" t="s">
        <v>337</v>
      </c>
      <c r="E55" s="324"/>
      <c r="F55" s="142"/>
      <c r="I55" s="259"/>
      <c r="J55" s="241"/>
      <c r="K55" s="241"/>
      <c r="L55" s="241"/>
      <c r="M55" s="241"/>
      <c r="N55" s="241"/>
      <c r="O55" s="241"/>
      <c r="P55" s="241"/>
      <c r="Q55" s="241"/>
      <c r="R55" s="304"/>
      <c r="S55" s="304"/>
      <c r="T55" s="304"/>
      <c r="U55" s="304"/>
      <c r="V55" s="120"/>
      <c r="W55" s="119"/>
      <c r="X55" s="109"/>
      <c r="AA55" s="305"/>
      <c r="AJ55" s="106"/>
    </row>
    <row r="56" spans="1:36" ht="18.75" thickBot="1" x14ac:dyDescent="0.3">
      <c r="A56" s="223" t="s">
        <v>295</v>
      </c>
      <c r="B56" s="226">
        <v>1</v>
      </c>
      <c r="C56" s="224" t="s">
        <v>296</v>
      </c>
      <c r="D56" s="433" t="s">
        <v>286</v>
      </c>
      <c r="E56" s="434"/>
      <c r="F56" s="435"/>
      <c r="I56" s="259"/>
      <c r="J56" s="241"/>
      <c r="K56" s="241"/>
      <c r="L56" s="241"/>
      <c r="M56" s="241"/>
      <c r="N56" s="241"/>
      <c r="O56" s="241"/>
      <c r="P56" s="241"/>
      <c r="Q56" s="241"/>
      <c r="R56" s="304"/>
      <c r="S56" s="304"/>
      <c r="T56" s="304"/>
      <c r="U56" s="304"/>
      <c r="V56" s="120"/>
      <c r="W56" s="119"/>
      <c r="X56" s="109"/>
      <c r="AA56" s="305"/>
      <c r="AJ56" s="106"/>
    </row>
    <row r="57" spans="1:36" ht="15.75" thickBot="1" x14ac:dyDescent="0.3">
      <c r="A57" s="223" t="s">
        <v>168</v>
      </c>
      <c r="B57" s="266">
        <v>3</v>
      </c>
      <c r="C57" s="33" t="s">
        <v>169</v>
      </c>
      <c r="D57" s="433" t="s">
        <v>287</v>
      </c>
      <c r="E57" s="434"/>
      <c r="F57" s="435"/>
      <c r="I57" s="260"/>
      <c r="J57" s="241"/>
      <c r="K57" s="241"/>
      <c r="L57" s="241"/>
      <c r="M57" s="241"/>
      <c r="N57" s="241"/>
      <c r="O57" s="241"/>
      <c r="P57" s="241"/>
      <c r="Q57" s="241"/>
      <c r="R57" s="304"/>
      <c r="S57" s="304"/>
      <c r="T57" s="304"/>
      <c r="U57" s="304"/>
      <c r="V57" s="120"/>
      <c r="W57" s="119"/>
      <c r="X57" s="109"/>
      <c r="AA57" s="305"/>
      <c r="AJ57" s="106"/>
    </row>
    <row r="58" spans="1:36" x14ac:dyDescent="0.25">
      <c r="A58" s="143" t="s">
        <v>211</v>
      </c>
      <c r="B58" s="59">
        <f ca="1">B48*B57+Iout_typ*D_typ/(fsw*mega*Cout*nano)</f>
        <v>88.044131484994239</v>
      </c>
      <c r="C58" s="144" t="s">
        <v>17</v>
      </c>
      <c r="D58" s="323" t="s">
        <v>214</v>
      </c>
      <c r="E58" s="324"/>
      <c r="F58" s="142"/>
      <c r="I58" s="241"/>
      <c r="L58" s="240"/>
      <c r="M58" s="240"/>
      <c r="N58" s="240"/>
      <c r="O58" s="240"/>
      <c r="P58" s="240"/>
      <c r="Q58" s="240"/>
      <c r="R58" s="304"/>
      <c r="S58" s="304"/>
      <c r="T58" s="304"/>
      <c r="U58" s="304"/>
      <c r="V58" s="120"/>
      <c r="W58" s="119"/>
      <c r="X58" s="109"/>
      <c r="AA58" s="305"/>
      <c r="AJ58" s="106"/>
    </row>
    <row r="59" spans="1:36" ht="15.75" thickBot="1" x14ac:dyDescent="0.3">
      <c r="A59" s="20" t="s">
        <v>212</v>
      </c>
      <c r="B59" s="21">
        <f ca="1">B58/(RLED*C6)</f>
        <v>24.456703190276176</v>
      </c>
      <c r="C59" s="14" t="s">
        <v>213</v>
      </c>
      <c r="D59" s="448" t="s">
        <v>338</v>
      </c>
      <c r="E59" s="449"/>
      <c r="F59" s="450"/>
      <c r="I59" s="241"/>
      <c r="J59" s="240"/>
      <c r="K59" s="240"/>
      <c r="L59" s="240"/>
      <c r="M59" s="240"/>
      <c r="N59" s="240"/>
      <c r="O59" s="240"/>
      <c r="P59" s="240"/>
      <c r="Q59" s="240"/>
      <c r="R59" s="304"/>
      <c r="S59" s="304"/>
      <c r="T59" s="304"/>
      <c r="U59" s="304"/>
      <c r="V59" s="120"/>
      <c r="W59" s="119"/>
      <c r="X59" s="109"/>
      <c r="AA59" s="305"/>
      <c r="AJ59" s="106"/>
    </row>
    <row r="60" spans="1:36" ht="15.75" customHeight="1" x14ac:dyDescent="0.25">
      <c r="A60" s="29" t="s">
        <v>94</v>
      </c>
      <c r="B60" s="28"/>
      <c r="C60" s="3"/>
      <c r="D60" s="317"/>
      <c r="E60" s="3"/>
      <c r="F60" s="13"/>
      <c r="H60" s="128"/>
      <c r="J60" s="243"/>
      <c r="K60" s="243"/>
      <c r="L60" s="243"/>
      <c r="M60" s="243"/>
      <c r="N60" s="243"/>
      <c r="O60" s="243"/>
      <c r="P60" s="243"/>
      <c r="Q60" s="243"/>
      <c r="R60" s="304"/>
      <c r="S60" s="304"/>
      <c r="T60" s="304"/>
      <c r="U60" s="304"/>
      <c r="V60" s="120"/>
      <c r="W60" s="119"/>
      <c r="X60" s="109"/>
      <c r="AA60" s="305"/>
      <c r="AJ60" s="106"/>
    </row>
    <row r="61" spans="1:36" ht="15.75" customHeight="1" x14ac:dyDescent="0.25">
      <c r="A61" s="34" t="s">
        <v>216</v>
      </c>
      <c r="B61" s="217">
        <f>Constants!D3*1.2</f>
        <v>60</v>
      </c>
      <c r="C61" s="3"/>
      <c r="D61" s="422" t="s">
        <v>288</v>
      </c>
      <c r="E61" s="423"/>
      <c r="F61" s="451"/>
      <c r="H61" s="128"/>
      <c r="J61" s="240"/>
      <c r="K61" s="240"/>
      <c r="L61" s="240"/>
      <c r="M61" s="240"/>
      <c r="N61" s="240"/>
      <c r="O61" s="240"/>
      <c r="P61" s="240"/>
      <c r="Q61" s="240"/>
      <c r="R61" s="304"/>
      <c r="S61" s="304"/>
      <c r="T61" s="304"/>
      <c r="U61" s="304"/>
      <c r="V61" s="120"/>
      <c r="W61" s="119"/>
      <c r="X61" s="109"/>
      <c r="AA61" s="305"/>
      <c r="AJ61" s="106"/>
    </row>
    <row r="62" spans="1:36" ht="18.75" thickBot="1" x14ac:dyDescent="0.4">
      <c r="A62" s="34" t="s">
        <v>97</v>
      </c>
      <c r="B62" s="35">
        <f ca="1">SQRT(Iout_typ^2/(1-D32)*(7/6))</f>
        <v>0.68158151548792645</v>
      </c>
      <c r="C62" s="32" t="s">
        <v>98</v>
      </c>
      <c r="D62" s="448" t="s">
        <v>289</v>
      </c>
      <c r="E62" s="449"/>
      <c r="F62" s="450"/>
      <c r="H62" s="128"/>
      <c r="J62" s="240"/>
      <c r="K62" s="240"/>
      <c r="L62" s="240"/>
      <c r="M62" s="240"/>
      <c r="N62" s="240"/>
      <c r="O62" s="240"/>
      <c r="P62" s="240"/>
      <c r="Q62" s="240"/>
      <c r="R62" s="304"/>
      <c r="S62" s="304"/>
      <c r="T62" s="304"/>
      <c r="U62" s="304"/>
      <c r="V62" s="120"/>
      <c r="W62" s="119"/>
      <c r="X62" s="109"/>
      <c r="AA62" s="305"/>
      <c r="AJ62" s="106"/>
    </row>
    <row r="63" spans="1:36" ht="16.5" thickBot="1" x14ac:dyDescent="0.3">
      <c r="A63" s="425" t="s">
        <v>70</v>
      </c>
      <c r="B63" s="426"/>
      <c r="C63" s="426"/>
      <c r="D63" s="426"/>
      <c r="E63" s="426"/>
      <c r="F63" s="427"/>
      <c r="H63" s="131"/>
      <c r="J63" s="246"/>
      <c r="K63" s="246"/>
      <c r="L63" s="246"/>
      <c r="M63" s="246"/>
      <c r="N63" s="246"/>
      <c r="O63" s="246"/>
      <c r="P63" s="246"/>
      <c r="Q63" s="246"/>
      <c r="R63" s="304"/>
      <c r="S63" s="304"/>
      <c r="T63" s="304"/>
      <c r="U63" s="304"/>
      <c r="V63" s="120"/>
      <c r="W63" s="119"/>
      <c r="X63" s="109"/>
      <c r="AA63" s="305"/>
      <c r="AJ63" s="106"/>
    </row>
    <row r="64" spans="1:36" ht="16.5" thickBot="1" x14ac:dyDescent="0.3">
      <c r="A64" s="267" t="s">
        <v>297</v>
      </c>
      <c r="B64" s="266">
        <v>50</v>
      </c>
      <c r="C64" s="268" t="s">
        <v>17</v>
      </c>
      <c r="D64" s="433" t="s">
        <v>300</v>
      </c>
      <c r="E64" s="434"/>
      <c r="F64" s="435"/>
      <c r="H64" s="128"/>
      <c r="I64" s="246"/>
      <c r="J64" s="240"/>
      <c r="K64" s="240"/>
      <c r="L64" s="240"/>
      <c r="M64" s="240"/>
      <c r="N64" s="240"/>
      <c r="O64" s="240"/>
      <c r="P64" s="240"/>
      <c r="Q64" s="240"/>
      <c r="R64" s="304"/>
      <c r="S64" s="304"/>
      <c r="T64" s="304"/>
      <c r="U64" s="304"/>
      <c r="V64" s="120"/>
      <c r="W64" s="119"/>
      <c r="X64" s="109"/>
      <c r="AA64" s="305"/>
      <c r="AJ64" s="106"/>
    </row>
    <row r="65" spans="1:36" ht="16.5" customHeight="1" thickBot="1" x14ac:dyDescent="0.3">
      <c r="A65" s="60" t="s">
        <v>32</v>
      </c>
      <c r="B65" s="57">
        <f ca="1">IOUT*D32/(0.8*fsw*0.05)</f>
        <v>3.027039971392453</v>
      </c>
      <c r="C65" s="61" t="s">
        <v>293</v>
      </c>
      <c r="D65" s="422" t="s">
        <v>268</v>
      </c>
      <c r="E65" s="423"/>
      <c r="F65" s="424"/>
      <c r="H65" s="128"/>
      <c r="I65" s="246"/>
      <c r="J65" s="240"/>
      <c r="K65" s="240"/>
      <c r="L65" s="240"/>
      <c r="M65" s="240"/>
      <c r="N65" s="240"/>
      <c r="O65" s="240"/>
      <c r="P65" s="240"/>
      <c r="Q65" s="240"/>
      <c r="R65" s="304"/>
      <c r="S65" s="304"/>
      <c r="T65" s="304"/>
      <c r="U65" s="304"/>
      <c r="V65" s="120"/>
      <c r="W65" s="119"/>
      <c r="X65" s="109"/>
      <c r="AA65" s="305"/>
      <c r="AJ65" s="106"/>
    </row>
    <row r="66" spans="1:36" ht="18.75" thickBot="1" x14ac:dyDescent="0.4">
      <c r="A66" s="234" t="s">
        <v>298</v>
      </c>
      <c r="B66" s="225">
        <v>4.7</v>
      </c>
      <c r="C66" s="32" t="s">
        <v>99</v>
      </c>
      <c r="D66" s="316" t="s">
        <v>258</v>
      </c>
      <c r="E66" s="317"/>
      <c r="F66" s="325"/>
      <c r="H66" s="132"/>
      <c r="I66" s="240"/>
      <c r="J66" s="240"/>
      <c r="K66" s="240"/>
      <c r="L66" s="240"/>
      <c r="M66" s="240"/>
      <c r="N66" s="240"/>
      <c r="O66" s="240"/>
      <c r="P66" s="240"/>
      <c r="Q66" s="240"/>
      <c r="R66" s="304"/>
      <c r="S66" s="304"/>
      <c r="T66" s="304"/>
      <c r="U66" s="304"/>
      <c r="V66" s="120"/>
      <c r="W66" s="119"/>
      <c r="X66" s="109"/>
      <c r="AA66" s="305"/>
      <c r="AJ66" s="106"/>
    </row>
    <row r="67" spans="1:36" ht="18.75" thickBot="1" x14ac:dyDescent="0.4">
      <c r="A67" s="235" t="s">
        <v>306</v>
      </c>
      <c r="B67" s="57">
        <f ca="1">SQRT(D32*((1+D32)/(1-D32)*Iout_typ^2+B49^2/12))</f>
        <v>0.73394454598806547</v>
      </c>
      <c r="C67" s="103" t="s">
        <v>307</v>
      </c>
      <c r="D67" s="442" t="s">
        <v>339</v>
      </c>
      <c r="E67" s="443"/>
      <c r="F67" s="444"/>
      <c r="H67" s="132"/>
      <c r="J67" s="240"/>
      <c r="K67" s="240"/>
      <c r="L67" s="240"/>
      <c r="M67" s="240"/>
      <c r="N67" s="240"/>
      <c r="O67" s="240"/>
      <c r="P67" s="240"/>
      <c r="Q67" s="240"/>
      <c r="R67" s="304"/>
      <c r="S67" s="304"/>
      <c r="T67" s="304"/>
      <c r="U67" s="304"/>
      <c r="V67" s="120"/>
      <c r="W67" s="119"/>
      <c r="X67" s="109"/>
      <c r="AA67" s="305"/>
      <c r="AJ67" s="106"/>
    </row>
    <row r="68" spans="1:36" ht="37.5" customHeight="1" thickBot="1" x14ac:dyDescent="0.3">
      <c r="A68" s="439" t="s">
        <v>301</v>
      </c>
      <c r="B68" s="440"/>
      <c r="C68" s="440"/>
      <c r="D68" s="440"/>
      <c r="E68" s="440"/>
      <c r="F68" s="441"/>
      <c r="H68" s="128"/>
      <c r="I68" s="246"/>
      <c r="J68" s="240"/>
      <c r="K68" s="240"/>
      <c r="L68" s="240"/>
      <c r="M68" s="240"/>
      <c r="N68" s="240"/>
      <c r="O68" s="240"/>
      <c r="P68" s="240"/>
      <c r="Q68" s="240"/>
      <c r="R68" s="304"/>
      <c r="S68" s="304"/>
      <c r="T68" s="304"/>
      <c r="U68" s="304"/>
      <c r="V68" s="120"/>
      <c r="W68" s="119"/>
      <c r="X68" s="109"/>
      <c r="AA68" s="305"/>
      <c r="AJ68" s="106"/>
    </row>
    <row r="69" spans="1:36" ht="15.75" x14ac:dyDescent="0.25">
      <c r="A69" s="425" t="s">
        <v>71</v>
      </c>
      <c r="B69" s="426"/>
      <c r="C69" s="426"/>
      <c r="D69" s="426"/>
      <c r="E69" s="426"/>
      <c r="F69" s="427"/>
      <c r="H69" s="132"/>
      <c r="I69" s="240"/>
      <c r="J69" s="240"/>
      <c r="K69" s="240"/>
      <c r="L69" s="240"/>
      <c r="M69" s="240"/>
      <c r="N69" s="240"/>
      <c r="O69" s="240"/>
      <c r="P69" s="240"/>
      <c r="Q69" s="240"/>
      <c r="R69" s="304"/>
      <c r="S69" s="304"/>
      <c r="T69" s="304"/>
      <c r="U69" s="304"/>
      <c r="V69" s="120"/>
      <c r="W69" s="119"/>
      <c r="X69" s="109"/>
      <c r="AA69" s="305"/>
      <c r="AJ69" s="106"/>
    </row>
    <row r="70" spans="1:36" ht="18" x14ac:dyDescent="0.35">
      <c r="A70" s="147" t="s">
        <v>247</v>
      </c>
      <c r="B70" s="19">
        <f ca="1">10^3*RLED*(1-D_typ)^2/(L_buckboost*D_typ)</f>
        <v>101.24582135898552</v>
      </c>
      <c r="C70" s="3" t="s">
        <v>166</v>
      </c>
      <c r="D70" s="316" t="s">
        <v>248</v>
      </c>
      <c r="E70" s="317"/>
      <c r="F70" s="325"/>
      <c r="H70" s="132"/>
      <c r="I70" s="240"/>
      <c r="J70" s="240"/>
      <c r="K70" s="240"/>
      <c r="L70" s="240"/>
      <c r="M70" s="240"/>
      <c r="N70" s="240"/>
      <c r="O70" s="240"/>
      <c r="P70" s="240"/>
      <c r="Q70" s="240"/>
      <c r="R70" s="304"/>
      <c r="S70" s="304"/>
      <c r="T70" s="304"/>
      <c r="U70" s="304"/>
      <c r="V70" s="120"/>
      <c r="W70" s="119"/>
      <c r="X70" s="109"/>
      <c r="AA70" s="305"/>
      <c r="AJ70" s="106"/>
    </row>
    <row r="71" spans="1:36" ht="18.75" thickBot="1" x14ac:dyDescent="0.4">
      <c r="A71" s="60" t="s">
        <v>42</v>
      </c>
      <c r="B71" s="5">
        <f ca="1">MIN(1000*IF(ISBLANK(B36),B35,B36)/11,75,B70/5)</f>
        <v>20.249164271797106</v>
      </c>
      <c r="C71" s="3" t="s">
        <v>166</v>
      </c>
      <c r="D71" s="422" t="s">
        <v>48</v>
      </c>
      <c r="E71" s="423"/>
      <c r="F71" s="424"/>
      <c r="H71" s="128"/>
      <c r="I71" s="240"/>
      <c r="J71" s="240"/>
      <c r="K71" s="240"/>
      <c r="L71" s="240"/>
      <c r="M71" s="240"/>
      <c r="N71" s="240"/>
      <c r="O71" s="240"/>
      <c r="P71" s="240"/>
      <c r="Q71" s="240"/>
      <c r="R71" s="304"/>
      <c r="S71" s="304"/>
      <c r="T71" s="304"/>
      <c r="U71" s="304"/>
      <c r="V71" s="120"/>
      <c r="W71" s="119"/>
      <c r="X71" s="109"/>
      <c r="AA71" s="305"/>
      <c r="AJ71" s="106"/>
    </row>
    <row r="72" spans="1:36" ht="18.75" thickBot="1" x14ac:dyDescent="0.4">
      <c r="A72" s="30" t="s">
        <v>33</v>
      </c>
      <c r="B72" s="269">
        <v>20</v>
      </c>
      <c r="C72" s="32" t="s">
        <v>166</v>
      </c>
      <c r="D72" s="422" t="s">
        <v>140</v>
      </c>
      <c r="E72" s="423"/>
      <c r="F72" s="424"/>
      <c r="H72" s="128"/>
      <c r="I72" s="240"/>
      <c r="J72" s="240"/>
      <c r="K72" s="240"/>
      <c r="L72" s="240"/>
      <c r="M72" s="240"/>
      <c r="N72" s="240"/>
      <c r="O72" s="240"/>
      <c r="P72" s="240"/>
      <c r="Q72" s="240"/>
      <c r="R72" s="304"/>
      <c r="S72" s="304"/>
      <c r="T72" s="304"/>
      <c r="U72" s="304"/>
      <c r="V72" s="120"/>
      <c r="W72" s="119"/>
      <c r="X72" s="109"/>
      <c r="AA72" s="305"/>
      <c r="AJ72" s="106"/>
    </row>
    <row r="73" spans="1:36" ht="18" x14ac:dyDescent="0.35">
      <c r="A73" s="60" t="s">
        <v>47</v>
      </c>
      <c r="B73" s="5">
        <f>RLED</f>
        <v>0.9</v>
      </c>
      <c r="C73" s="6" t="s">
        <v>43</v>
      </c>
      <c r="D73" s="422" t="s">
        <v>49</v>
      </c>
      <c r="E73" s="423"/>
      <c r="F73" s="424"/>
      <c r="H73" s="128"/>
      <c r="I73" s="240"/>
      <c r="J73" s="240"/>
      <c r="K73" s="240"/>
      <c r="L73" s="240"/>
      <c r="M73" s="240"/>
      <c r="N73" s="240"/>
      <c r="O73" s="240"/>
      <c r="P73" s="240"/>
      <c r="Q73" s="240"/>
      <c r="R73" s="304"/>
      <c r="S73" s="304"/>
      <c r="T73" s="304"/>
      <c r="U73" s="304"/>
      <c r="V73" s="120"/>
      <c r="W73" s="119"/>
      <c r="X73" s="109"/>
      <c r="AA73" s="305"/>
      <c r="AJ73" s="106"/>
    </row>
    <row r="74" spans="1:36" ht="18" x14ac:dyDescent="0.35">
      <c r="A74" s="60" t="s">
        <v>219</v>
      </c>
      <c r="B74" s="4">
        <f ca="1">1000*(1+D_typ)/(2*PI()*RLED*Cout)</f>
        <v>263.60673158244032</v>
      </c>
      <c r="C74" s="6" t="s">
        <v>166</v>
      </c>
      <c r="D74" s="422" t="s">
        <v>147</v>
      </c>
      <c r="E74" s="423"/>
      <c r="F74" s="424"/>
      <c r="H74" s="128"/>
      <c r="I74" s="240"/>
      <c r="J74" s="240"/>
      <c r="K74" s="240"/>
      <c r="L74" s="240"/>
      <c r="M74" s="240"/>
      <c r="N74" s="240"/>
      <c r="O74" s="240"/>
      <c r="P74" s="240"/>
      <c r="Q74" s="240"/>
      <c r="R74" s="304"/>
      <c r="S74" s="304"/>
      <c r="T74" s="304"/>
      <c r="U74" s="304"/>
      <c r="V74" s="120"/>
      <c r="W74" s="119"/>
      <c r="X74" s="109"/>
      <c r="AA74" s="305"/>
      <c r="AJ74" s="106"/>
    </row>
    <row r="75" spans="1:36" x14ac:dyDescent="0.25">
      <c r="A75" s="147" t="s">
        <v>218</v>
      </c>
      <c r="B75" s="4">
        <f ca="1">20*LOG10((1-D_typ)/(1+D_typ)*gm_POWER)+20*LOG10(RFB_1)+Constants!C10</f>
        <v>64.890134374321448</v>
      </c>
      <c r="C75" s="6" t="s">
        <v>8</v>
      </c>
      <c r="D75" s="316" t="s">
        <v>263</v>
      </c>
      <c r="E75" s="317"/>
      <c r="F75" s="325"/>
      <c r="H75" s="128"/>
      <c r="I75" s="240"/>
      <c r="J75" s="240"/>
      <c r="K75" s="240"/>
      <c r="L75" s="240"/>
      <c r="M75" s="240"/>
      <c r="N75" s="240"/>
      <c r="O75" s="240"/>
      <c r="P75" s="240"/>
      <c r="Q75" s="240"/>
      <c r="R75" s="304"/>
      <c r="S75" s="304"/>
      <c r="T75" s="304"/>
      <c r="U75" s="304"/>
      <c r="V75" s="120"/>
      <c r="W75" s="119"/>
      <c r="X75" s="109"/>
      <c r="AA75" s="305"/>
      <c r="AJ75" s="106"/>
    </row>
    <row r="76" spans="1:36" ht="18" x14ac:dyDescent="0.35">
      <c r="A76" s="60" t="s">
        <v>220</v>
      </c>
      <c r="B76" s="4">
        <f ca="1">fc*kilo/(10^(B75/20))</f>
        <v>11.38998827334478</v>
      </c>
      <c r="C76" s="6" t="s">
        <v>264</v>
      </c>
      <c r="D76" s="316" t="s">
        <v>290</v>
      </c>
      <c r="E76" s="317"/>
      <c r="F76" s="325"/>
      <c r="H76" s="128"/>
      <c r="I76" s="240"/>
      <c r="J76" s="240"/>
      <c r="K76" s="240"/>
      <c r="L76" s="240"/>
      <c r="M76" s="240"/>
      <c r="N76" s="240"/>
      <c r="O76" s="240"/>
      <c r="P76" s="240"/>
      <c r="Q76" s="240"/>
      <c r="R76" s="304"/>
      <c r="S76" s="304"/>
      <c r="T76" s="304"/>
      <c r="U76" s="304"/>
      <c r="V76" s="120"/>
      <c r="W76" s="119"/>
      <c r="X76" s="109"/>
      <c r="AA76" s="305"/>
      <c r="AJ76" s="106"/>
    </row>
    <row r="77" spans="1:36" x14ac:dyDescent="0.25">
      <c r="A77" s="60" t="s">
        <v>11</v>
      </c>
      <c r="B77" s="5">
        <f ca="1">1000/(2*PI()*B81*B74)</f>
        <v>0.40250601628287391</v>
      </c>
      <c r="C77" s="58" t="s">
        <v>167</v>
      </c>
      <c r="D77" s="422" t="s">
        <v>291</v>
      </c>
      <c r="E77" s="423"/>
      <c r="F77" s="424"/>
      <c r="H77" s="128"/>
      <c r="I77" s="240"/>
      <c r="J77" s="240"/>
      <c r="K77" s="240"/>
      <c r="L77" s="240"/>
      <c r="M77" s="240"/>
      <c r="N77" s="240"/>
      <c r="O77" s="240"/>
      <c r="P77" s="240"/>
      <c r="Q77" s="240"/>
      <c r="R77" s="304"/>
      <c r="S77" s="304"/>
      <c r="T77" s="304"/>
      <c r="U77" s="304"/>
      <c r="V77" s="120"/>
      <c r="W77" s="119"/>
      <c r="X77" s="109"/>
      <c r="AA77" s="305"/>
      <c r="AJ77" s="106"/>
    </row>
    <row r="78" spans="1:36" ht="15.75" thickBot="1" x14ac:dyDescent="0.3">
      <c r="A78" s="147" t="s">
        <v>266</v>
      </c>
      <c r="B78" s="5">
        <f ca="1">1000/(2*PI()*B81*MIN(B72*3,B74))</f>
        <v>1.7683882565766149</v>
      </c>
      <c r="C78" s="58" t="s">
        <v>167</v>
      </c>
      <c r="D78" s="316" t="s">
        <v>267</v>
      </c>
      <c r="E78" s="317"/>
      <c r="F78" s="325"/>
      <c r="H78" s="124"/>
      <c r="I78" s="240"/>
      <c r="J78" s="240"/>
      <c r="K78" s="240"/>
      <c r="L78" s="240"/>
      <c r="M78" s="240"/>
      <c r="N78" s="240"/>
      <c r="O78" s="240"/>
      <c r="P78" s="240"/>
      <c r="Q78" s="240"/>
      <c r="R78" s="304"/>
      <c r="S78" s="304"/>
      <c r="T78" s="304"/>
      <c r="U78" s="304"/>
      <c r="V78" s="120"/>
      <c r="W78" s="119"/>
      <c r="X78" s="109"/>
      <c r="AA78" s="305"/>
      <c r="AJ78" s="106"/>
    </row>
    <row r="79" spans="1:36" ht="15.75" thickBot="1" x14ac:dyDescent="0.3">
      <c r="A79" s="30" t="s">
        <v>173</v>
      </c>
      <c r="B79" s="56">
        <v>1.2</v>
      </c>
      <c r="C79" s="33" t="s">
        <v>167</v>
      </c>
      <c r="D79" s="436" t="s">
        <v>265</v>
      </c>
      <c r="E79" s="437"/>
      <c r="F79" s="438"/>
      <c r="H79" s="128"/>
      <c r="I79" s="240"/>
      <c r="J79" s="240"/>
      <c r="K79" s="240"/>
      <c r="L79" s="240"/>
      <c r="M79" s="240"/>
      <c r="N79" s="240"/>
      <c r="O79" s="240"/>
      <c r="P79" s="240"/>
      <c r="Q79" s="240"/>
      <c r="R79" s="304"/>
      <c r="S79" s="304"/>
      <c r="T79" s="304"/>
      <c r="U79" s="304"/>
      <c r="V79" s="120"/>
      <c r="W79" s="119"/>
      <c r="X79" s="109"/>
      <c r="AA79" s="305"/>
      <c r="AJ79" s="106"/>
    </row>
    <row r="80" spans="1:36" ht="15.75" thickBot="1" x14ac:dyDescent="0.3">
      <c r="A80" s="60" t="s">
        <v>12</v>
      </c>
      <c r="B80" s="57">
        <f ca="1">1*giga/(2*PI()*RO_ea_IC*mega*Design!B76)</f>
        <v>1.6767877817506267</v>
      </c>
      <c r="C80" s="61" t="s">
        <v>15</v>
      </c>
      <c r="D80" s="422" t="s">
        <v>50</v>
      </c>
      <c r="E80" s="423"/>
      <c r="F80" s="424"/>
      <c r="H80" s="124"/>
      <c r="I80" s="240"/>
      <c r="J80" s="240"/>
      <c r="K80" s="240"/>
      <c r="L80" s="240"/>
      <c r="M80" s="240"/>
      <c r="N80" s="240"/>
      <c r="O80" s="240"/>
      <c r="P80" s="240"/>
      <c r="Q80" s="240"/>
      <c r="R80" s="304"/>
      <c r="S80" s="304"/>
      <c r="T80" s="304"/>
      <c r="U80" s="304"/>
      <c r="V80" s="120"/>
      <c r="W80" s="119"/>
      <c r="X80" s="109"/>
      <c r="AA80" s="305"/>
      <c r="AJ80" s="106"/>
    </row>
    <row r="81" spans="1:38" ht="15.75" thickBot="1" x14ac:dyDescent="0.3">
      <c r="A81" s="30" t="s">
        <v>164</v>
      </c>
      <c r="B81" s="56">
        <v>1.5</v>
      </c>
      <c r="C81" s="3" t="s">
        <v>15</v>
      </c>
      <c r="D81" s="422" t="s">
        <v>303</v>
      </c>
      <c r="E81" s="423"/>
      <c r="F81" s="424"/>
      <c r="H81" s="124"/>
      <c r="I81" s="240"/>
      <c r="J81" s="240"/>
      <c r="K81" s="240"/>
      <c r="L81" s="240"/>
      <c r="M81" s="240"/>
      <c r="N81" s="240"/>
      <c r="O81" s="240"/>
      <c r="P81" s="240"/>
      <c r="Q81" s="240"/>
      <c r="R81" s="304"/>
      <c r="S81" s="304"/>
      <c r="T81" s="304"/>
      <c r="U81" s="304"/>
      <c r="V81" s="120"/>
      <c r="W81" s="119"/>
      <c r="X81" s="109"/>
      <c r="AA81" s="305"/>
      <c r="AJ81" s="106"/>
    </row>
    <row r="82" spans="1:38" ht="15.75" thickBot="1" x14ac:dyDescent="0.3">
      <c r="A82" s="60" t="s">
        <v>13</v>
      </c>
      <c r="B82" s="50">
        <v>22</v>
      </c>
      <c r="C82" s="61" t="s">
        <v>16</v>
      </c>
      <c r="D82" s="422" t="s">
        <v>51</v>
      </c>
      <c r="E82" s="423"/>
      <c r="F82" s="424"/>
      <c r="H82" s="124"/>
      <c r="I82" s="240"/>
      <c r="J82" s="240"/>
      <c r="K82" s="240"/>
      <c r="L82" s="240"/>
      <c r="M82" s="240"/>
      <c r="N82" s="240"/>
      <c r="O82" s="240"/>
      <c r="P82" s="240"/>
      <c r="Q82" s="240"/>
      <c r="R82" s="304"/>
      <c r="S82" s="304"/>
      <c r="T82" s="304"/>
      <c r="U82" s="304"/>
      <c r="V82" s="120"/>
      <c r="W82" s="119"/>
      <c r="X82" s="109"/>
      <c r="AA82" s="305"/>
      <c r="AJ82" s="106"/>
    </row>
    <row r="83" spans="1:38" ht="15.75" thickBot="1" x14ac:dyDescent="0.3">
      <c r="A83" s="101" t="s">
        <v>165</v>
      </c>
      <c r="B83" s="56">
        <v>22</v>
      </c>
      <c r="C83" s="102" t="s">
        <v>16</v>
      </c>
      <c r="D83" s="442" t="s">
        <v>304</v>
      </c>
      <c r="E83" s="443"/>
      <c r="F83" s="444"/>
      <c r="H83" s="128"/>
      <c r="Q83" s="106"/>
      <c r="R83" s="304"/>
      <c r="S83" s="304"/>
      <c r="T83" s="304"/>
      <c r="U83" s="304"/>
      <c r="V83" s="120"/>
      <c r="W83" s="119"/>
      <c r="X83" s="109"/>
      <c r="AA83" s="305"/>
      <c r="AJ83" s="106"/>
    </row>
    <row r="84" spans="1:38" ht="15.75" customHeight="1" x14ac:dyDescent="0.25">
      <c r="A84" s="480" t="s">
        <v>313</v>
      </c>
      <c r="B84" s="481"/>
      <c r="C84" s="481"/>
      <c r="D84" s="481"/>
      <c r="E84" s="481"/>
      <c r="F84" s="482"/>
      <c r="Q84" s="106"/>
      <c r="R84" s="304"/>
      <c r="S84" s="304"/>
      <c r="T84" s="304"/>
      <c r="U84" s="304"/>
      <c r="V84" s="120"/>
      <c r="W84" s="119"/>
      <c r="X84" s="109"/>
      <c r="AA84" s="305"/>
      <c r="AJ84" s="106"/>
    </row>
    <row r="85" spans="1:38" ht="15.75" thickBot="1" x14ac:dyDescent="0.3">
      <c r="A85" s="342" t="s">
        <v>309</v>
      </c>
      <c r="B85" s="343">
        <v>100</v>
      </c>
      <c r="C85" s="370" t="s">
        <v>21</v>
      </c>
      <c r="D85" s="483" t="s">
        <v>316</v>
      </c>
      <c r="E85" s="484"/>
      <c r="F85" s="485"/>
      <c r="Q85" s="106"/>
      <c r="R85" s="304"/>
      <c r="S85" s="304"/>
      <c r="T85" s="304"/>
      <c r="U85" s="304"/>
      <c r="V85" s="120"/>
      <c r="W85" s="119"/>
      <c r="X85" s="109"/>
      <c r="AA85" s="305"/>
      <c r="AJ85" s="106"/>
    </row>
    <row r="86" spans="1:38" ht="15.75" thickBot="1" x14ac:dyDescent="0.3">
      <c r="A86" s="344" t="s">
        <v>234</v>
      </c>
      <c r="B86" s="273">
        <v>90</v>
      </c>
      <c r="C86" s="32" t="s">
        <v>21</v>
      </c>
      <c r="D86" s="483" t="s">
        <v>340</v>
      </c>
      <c r="E86" s="484"/>
      <c r="F86" s="485"/>
      <c r="G86" s="66"/>
      <c r="H86" s="66"/>
      <c r="J86" s="135"/>
      <c r="Q86" s="106"/>
      <c r="R86" s="304"/>
      <c r="S86" s="304"/>
      <c r="T86" s="304"/>
      <c r="U86" s="304"/>
      <c r="V86" s="120"/>
      <c r="W86" s="119"/>
      <c r="X86" s="109"/>
      <c r="AA86" s="305"/>
      <c r="AJ86" s="106"/>
    </row>
    <row r="87" spans="1:38" ht="15.75" thickBot="1" x14ac:dyDescent="0.3">
      <c r="A87" s="344" t="s">
        <v>235</v>
      </c>
      <c r="B87" s="273">
        <v>80</v>
      </c>
      <c r="C87" s="32" t="s">
        <v>21</v>
      </c>
      <c r="D87" s="483" t="s">
        <v>340</v>
      </c>
      <c r="E87" s="484"/>
      <c r="F87" s="485"/>
      <c r="G87" s="66"/>
      <c r="H87" s="66"/>
      <c r="I87" s="397"/>
      <c r="J87" s="396"/>
      <c r="K87" s="397"/>
      <c r="Q87" s="106"/>
      <c r="R87" s="304"/>
      <c r="S87" s="304"/>
      <c r="T87" s="304"/>
      <c r="U87" s="304"/>
      <c r="V87" s="120"/>
      <c r="W87" s="119"/>
      <c r="X87" s="109"/>
      <c r="AA87" s="305"/>
      <c r="AJ87" s="106"/>
    </row>
    <row r="88" spans="1:38" ht="15.75" thickBot="1" x14ac:dyDescent="0.3">
      <c r="A88" s="344" t="s">
        <v>310</v>
      </c>
      <c r="B88" s="273">
        <v>70</v>
      </c>
      <c r="C88" s="32" t="s">
        <v>21</v>
      </c>
      <c r="D88" s="483" t="s">
        <v>340</v>
      </c>
      <c r="E88" s="484"/>
      <c r="F88" s="485"/>
      <c r="G88" s="345"/>
      <c r="H88" s="345"/>
      <c r="I88" s="398"/>
      <c r="K88" s="397"/>
      <c r="L88" s="397"/>
      <c r="Q88" s="106"/>
      <c r="R88" s="304"/>
      <c r="S88" s="304"/>
      <c r="T88" s="304"/>
      <c r="U88" s="304"/>
      <c r="V88" s="120"/>
      <c r="W88" s="119"/>
      <c r="X88" s="109"/>
      <c r="AA88" s="305"/>
      <c r="AJ88" s="106"/>
    </row>
    <row r="89" spans="1:38" ht="15.75" thickBot="1" x14ac:dyDescent="0.3">
      <c r="A89" s="344" t="s">
        <v>341</v>
      </c>
      <c r="B89" s="270">
        <v>0.95</v>
      </c>
      <c r="C89" s="271"/>
      <c r="D89" s="483" t="s">
        <v>317</v>
      </c>
      <c r="E89" s="484"/>
      <c r="F89" s="485"/>
      <c r="G89" s="345"/>
      <c r="H89" s="345"/>
      <c r="I89" s="398"/>
      <c r="J89" s="399"/>
      <c r="K89" s="397"/>
      <c r="L89" s="397"/>
      <c r="Q89" s="106"/>
      <c r="R89" s="304"/>
      <c r="S89" s="304"/>
      <c r="T89" s="304"/>
      <c r="U89" s="304"/>
      <c r="V89" s="120"/>
      <c r="W89" s="119"/>
      <c r="X89" s="109"/>
      <c r="AA89" s="305"/>
      <c r="AJ89" s="106"/>
    </row>
    <row r="90" spans="1:38" ht="15.75" thickBot="1" x14ac:dyDescent="0.3">
      <c r="A90" s="347" t="s">
        <v>229</v>
      </c>
      <c r="B90" s="272">
        <v>2</v>
      </c>
      <c r="C90" s="33" t="s">
        <v>167</v>
      </c>
      <c r="D90" s="492" t="s">
        <v>319</v>
      </c>
      <c r="E90" s="493"/>
      <c r="F90" s="494"/>
      <c r="G90" s="345"/>
      <c r="H90" s="345"/>
      <c r="I90" s="398"/>
      <c r="J90" s="408">
        <f>R_3</f>
        <v>118.00000000000001</v>
      </c>
      <c r="K90" s="397"/>
      <c r="L90" s="397"/>
      <c r="M90" s="262"/>
      <c r="Q90" s="106"/>
      <c r="R90" s="304"/>
      <c r="S90" s="304"/>
      <c r="T90" s="304"/>
      <c r="U90" s="304"/>
      <c r="V90" s="120"/>
      <c r="W90" s="119"/>
      <c r="X90" s="109"/>
      <c r="AA90" s="305"/>
      <c r="AJ90" s="106"/>
    </row>
    <row r="91" spans="1:38" x14ac:dyDescent="0.25">
      <c r="A91" s="348"/>
      <c r="B91" s="349"/>
      <c r="C91" s="350"/>
      <c r="D91" s="483"/>
      <c r="E91" s="484"/>
      <c r="F91" s="485"/>
      <c r="G91" s="346"/>
      <c r="H91" s="346"/>
      <c r="I91" s="398"/>
      <c r="J91" s="398"/>
      <c r="K91" s="398"/>
      <c r="L91" s="397"/>
      <c r="M91" s="262"/>
      <c r="Q91" s="106"/>
      <c r="T91" s="304"/>
      <c r="U91" s="304"/>
      <c r="V91" s="304"/>
      <c r="W91" s="304"/>
      <c r="X91" s="120"/>
      <c r="Y91" s="119"/>
      <c r="Z91" s="109"/>
      <c r="AA91" s="305"/>
      <c r="AJ91" s="106"/>
      <c r="AK91" s="106"/>
      <c r="AL91" s="106"/>
    </row>
    <row r="92" spans="1:38" x14ac:dyDescent="0.25">
      <c r="A92" s="351" t="s">
        <v>240</v>
      </c>
      <c r="B92" s="352">
        <f>IF(I100&lt;1,I100*1000,I100)</f>
        <v>1</v>
      </c>
      <c r="C92" s="371"/>
      <c r="D92" s="486"/>
      <c r="E92" s="487"/>
      <c r="F92" s="488"/>
      <c r="G92" s="346"/>
      <c r="H92" s="346"/>
      <c r="I92" s="398"/>
      <c r="J92" s="398"/>
      <c r="K92" s="405">
        <f>R_1</f>
        <v>1</v>
      </c>
      <c r="L92" s="397"/>
      <c r="M92" s="262"/>
      <c r="Q92" s="106"/>
      <c r="T92" s="304"/>
      <c r="U92" s="304"/>
      <c r="V92" s="304"/>
      <c r="W92" s="304"/>
      <c r="X92" s="120"/>
      <c r="Y92" s="119"/>
      <c r="Z92" s="109"/>
      <c r="AA92" s="305"/>
      <c r="AB92" s="305"/>
      <c r="AC92" s="305"/>
      <c r="AJ92" s="106"/>
      <c r="AK92" s="106"/>
      <c r="AL92" s="106"/>
    </row>
    <row r="93" spans="1:38" x14ac:dyDescent="0.25">
      <c r="A93" s="351" t="s">
        <v>241</v>
      </c>
      <c r="B93" s="352">
        <f>IF(B90&lt;1,B90*1000,B90)</f>
        <v>2</v>
      </c>
      <c r="C93" s="371"/>
      <c r="D93" s="486"/>
      <c r="E93" s="487"/>
      <c r="F93" s="488"/>
      <c r="G93" s="346"/>
      <c r="H93" s="346"/>
      <c r="I93" s="398"/>
      <c r="J93" s="398"/>
      <c r="K93" s="409"/>
      <c r="L93" s="400"/>
      <c r="M93" s="263"/>
      <c r="N93" s="107"/>
      <c r="O93" s="107"/>
      <c r="P93" s="107"/>
      <c r="Q93" s="106"/>
      <c r="T93" s="304"/>
      <c r="U93" s="304"/>
      <c r="V93" s="304"/>
      <c r="W93" s="304"/>
      <c r="X93" s="109"/>
      <c r="Y93" s="109"/>
      <c r="Z93" s="109"/>
      <c r="AA93" s="305"/>
      <c r="AB93" s="305"/>
      <c r="AC93" s="305"/>
      <c r="AJ93" s="106"/>
      <c r="AK93" s="106"/>
      <c r="AL93" s="106"/>
    </row>
    <row r="94" spans="1:38" x14ac:dyDescent="0.25">
      <c r="A94" s="351" t="s">
        <v>242</v>
      </c>
      <c r="B94" s="352">
        <f>IF(I101&lt;1,I101*1000,I101)</f>
        <v>118.00000000000001</v>
      </c>
      <c r="C94" s="371"/>
      <c r="D94" s="486"/>
      <c r="E94" s="487"/>
      <c r="F94" s="488"/>
      <c r="G94" s="346"/>
      <c r="H94" s="346"/>
      <c r="I94" s="398"/>
      <c r="J94" s="405">
        <f>R_2</f>
        <v>2</v>
      </c>
      <c r="K94" s="410"/>
      <c r="L94" s="397"/>
      <c r="M94" s="262"/>
      <c r="Q94" s="106"/>
      <c r="T94" s="304"/>
      <c r="U94" s="304"/>
      <c r="V94" s="304"/>
      <c r="W94" s="304"/>
      <c r="X94" s="109"/>
      <c r="Y94" s="109"/>
      <c r="Z94" s="109"/>
      <c r="AA94" s="305"/>
      <c r="AB94" s="305"/>
      <c r="AC94" s="305"/>
      <c r="AJ94" s="106"/>
      <c r="AK94" s="106"/>
      <c r="AL94" s="106"/>
    </row>
    <row r="95" spans="1:38" x14ac:dyDescent="0.25">
      <c r="A95" s="351" t="s">
        <v>342</v>
      </c>
      <c r="B95" s="353">
        <f>((I100+B90)/B90*V_cs)/C30</f>
        <v>0.85650000000000004</v>
      </c>
      <c r="C95" s="370"/>
      <c r="D95" s="489"/>
      <c r="E95" s="490"/>
      <c r="F95" s="491"/>
      <c r="G95" s="346"/>
      <c r="H95" s="346"/>
      <c r="I95" s="398"/>
      <c r="J95" s="398"/>
      <c r="K95" s="410"/>
      <c r="L95" s="397"/>
      <c r="M95" s="262"/>
      <c r="Q95" s="106"/>
      <c r="T95" s="304"/>
      <c r="U95" s="304"/>
      <c r="V95" s="304"/>
      <c r="W95" s="304"/>
      <c r="X95" s="109"/>
      <c r="Y95" s="109"/>
      <c r="Z95" s="109"/>
      <c r="AA95" s="305"/>
      <c r="AB95" s="305"/>
      <c r="AC95" s="305"/>
      <c r="AJ95" s="106"/>
      <c r="AK95" s="106"/>
      <c r="AL95" s="106"/>
    </row>
    <row r="96" spans="1:38" x14ac:dyDescent="0.25">
      <c r="A96" s="351" t="s">
        <v>292</v>
      </c>
      <c r="B96" s="354">
        <f>MAX(E99:E102)</f>
        <v>0.10507880910683016</v>
      </c>
      <c r="C96" s="371"/>
      <c r="D96" s="483"/>
      <c r="E96" s="484"/>
      <c r="F96" s="485"/>
      <c r="G96" s="346"/>
      <c r="H96" s="346"/>
      <c r="I96" s="401"/>
      <c r="J96" s="402"/>
      <c r="K96" s="406">
        <f>Rsense</f>
        <v>0.85650000000000004</v>
      </c>
      <c r="L96" s="397"/>
      <c r="M96" s="262"/>
      <c r="Q96" s="106"/>
      <c r="T96" s="304"/>
      <c r="U96" s="304"/>
      <c r="V96" s="304"/>
      <c r="W96" s="304"/>
      <c r="X96" s="109"/>
      <c r="Y96" s="109"/>
      <c r="Z96" s="109"/>
      <c r="AA96" s="305"/>
      <c r="AB96" s="305"/>
      <c r="AC96" s="305"/>
      <c r="AJ96" s="106"/>
      <c r="AK96" s="106"/>
      <c r="AL96" s="106"/>
    </row>
    <row r="97" spans="1:38" x14ac:dyDescent="0.25">
      <c r="A97" s="147"/>
      <c r="B97" s="371"/>
      <c r="C97" s="371"/>
      <c r="D97" s="371"/>
      <c r="E97" s="370"/>
      <c r="F97" s="372"/>
      <c r="G97" s="346"/>
      <c r="H97" s="346"/>
      <c r="I97" s="403"/>
      <c r="J97" s="404"/>
      <c r="K97" s="407">
        <f>B96</f>
        <v>0.10507880910683016</v>
      </c>
      <c r="L97" s="397"/>
      <c r="M97" s="262"/>
      <c r="Q97" s="106"/>
      <c r="T97" s="304"/>
      <c r="U97" s="304"/>
      <c r="V97" s="304"/>
      <c r="W97" s="304"/>
      <c r="X97" s="109"/>
      <c r="Y97" s="109"/>
      <c r="Z97" s="109"/>
      <c r="AA97" s="305"/>
      <c r="AB97" s="305"/>
      <c r="AC97" s="305"/>
      <c r="AJ97" s="106"/>
      <c r="AK97" s="106"/>
      <c r="AL97" s="106"/>
    </row>
    <row r="98" spans="1:38" x14ac:dyDescent="0.25">
      <c r="A98" s="355" t="s">
        <v>326</v>
      </c>
      <c r="B98" s="350"/>
      <c r="C98" s="349" t="s">
        <v>231</v>
      </c>
      <c r="D98" s="349" t="s">
        <v>318</v>
      </c>
      <c r="E98" s="349" t="s">
        <v>232</v>
      </c>
      <c r="F98" s="356" t="s">
        <v>321</v>
      </c>
      <c r="G98" s="243"/>
      <c r="H98" s="243"/>
      <c r="I98" s="411"/>
      <c r="J98" s="243"/>
      <c r="K98" s="412"/>
      <c r="Q98" s="107"/>
      <c r="R98" s="107"/>
      <c r="S98" s="107"/>
      <c r="T98" s="304"/>
      <c r="U98" s="304"/>
      <c r="V98" s="304"/>
      <c r="W98" s="304"/>
      <c r="X98" s="109"/>
      <c r="Y98" s="109"/>
      <c r="Z98" s="109"/>
      <c r="AA98" s="305"/>
      <c r="AB98" s="305"/>
      <c r="AC98" s="305"/>
      <c r="AJ98" s="106"/>
      <c r="AK98" s="106"/>
      <c r="AL98" s="106"/>
    </row>
    <row r="99" spans="1:38" x14ac:dyDescent="0.25">
      <c r="A99" s="348" t="s">
        <v>322</v>
      </c>
      <c r="B99" s="357" t="s">
        <v>233</v>
      </c>
      <c r="C99" s="358">
        <f>(I100+B90)/B90*V_cs/Rsense</f>
        <v>0.35026269702276713</v>
      </c>
      <c r="D99" s="359">
        <v>1</v>
      </c>
      <c r="E99" s="360">
        <f>C99^2*Rsense</f>
        <v>0.10507880910683016</v>
      </c>
      <c r="F99" s="361">
        <f>C99*Rsense</f>
        <v>0.30000000000000004</v>
      </c>
      <c r="G99" s="413"/>
      <c r="H99" s="413"/>
      <c r="I99" s="414"/>
      <c r="J99" s="415" t="s">
        <v>243</v>
      </c>
      <c r="K99" s="416"/>
      <c r="Q99" s="106"/>
      <c r="T99" s="304"/>
      <c r="U99" s="304"/>
      <c r="V99" s="304"/>
      <c r="W99" s="304"/>
      <c r="X99" s="109"/>
      <c r="Y99" s="109"/>
      <c r="Z99" s="109"/>
      <c r="AA99" s="305"/>
      <c r="AB99" s="305"/>
      <c r="AC99" s="305"/>
      <c r="AJ99" s="106"/>
      <c r="AK99" s="106"/>
      <c r="AL99" s="106"/>
    </row>
    <row r="100" spans="1:38" x14ac:dyDescent="0.25">
      <c r="A100" s="348" t="s">
        <v>323</v>
      </c>
      <c r="B100" s="362">
        <f>IF(I102&lt;1,I102*1000,I102)</f>
        <v>2.21</v>
      </c>
      <c r="C100" s="358">
        <f>((I100*(I102+I101))/(I100+I102+I101)+B90)/B90*V_cs/Rsense</f>
        <v>0.31518029547801879</v>
      </c>
      <c r="D100" s="363">
        <f>1+(C100-C99)/C99</f>
        <v>0.8998397435897435</v>
      </c>
      <c r="E100" s="360">
        <f>C100^2*Rsense</f>
        <v>8.5083526880244023E-2</v>
      </c>
      <c r="F100" s="361">
        <f>C100*Rsense</f>
        <v>0.26995192307692312</v>
      </c>
      <c r="G100" s="417" t="s">
        <v>228</v>
      </c>
      <c r="H100" s="418">
        <f>(1-BIN4_Coeff)/BIN4_Coeff*R_2k</f>
        <v>1.0075187969924815</v>
      </c>
      <c r="I100" s="419">
        <f>(IF((10^(LOG(H100)-INT(LOG(H100)))*100)-VLOOKUP((10^(LOG(H100)-INT(LOG(H100)))*100),E96_s:E96_f,1)&lt;VLOOKUP((10^(LOG(H100)-INT(LOG(H100)))*100),E96_s:E96_f,2)-(10^(LOG(H100)-INT(LOG(H100)))*100),VLOOKUP((10^(LOG(H100)-INT(LOG(H100)))*100),E96_s:E96_f,1),VLOOKUP((10^(LOG(H100)-INT(LOG(H100)))*100),E96_s:E96_f,2)))*10^INT(LOG(H100))/100</f>
        <v>1</v>
      </c>
      <c r="J100" s="368"/>
      <c r="K100" s="420"/>
      <c r="Q100" s="106"/>
      <c r="T100" s="304"/>
      <c r="U100" s="304"/>
      <c r="V100" s="304"/>
      <c r="W100" s="304"/>
      <c r="X100" s="109"/>
      <c r="Y100" s="109"/>
      <c r="Z100" s="109"/>
      <c r="AA100" s="305"/>
      <c r="AB100" s="305"/>
      <c r="AC100" s="305"/>
      <c r="AJ100" s="106"/>
      <c r="AK100" s="106"/>
      <c r="AL100" s="106"/>
    </row>
    <row r="101" spans="1:38" x14ac:dyDescent="0.25">
      <c r="A101" s="348" t="s">
        <v>324</v>
      </c>
      <c r="B101" s="362">
        <f>IF(I103&lt;1,I103*1000,I103)</f>
        <v>549</v>
      </c>
      <c r="C101" s="358">
        <f>((I100*(I103+I101))/(I100+I103+I101)+B90)/B90*V_cs/Rsense</f>
        <v>0.2802241653245533</v>
      </c>
      <c r="D101" s="363">
        <f>1+(C101-C99)/C99</f>
        <v>0.80003999200159948</v>
      </c>
      <c r="E101" s="360">
        <f>C101^2*Rsense</f>
        <v>6.7257161695473175E-2</v>
      </c>
      <c r="F101" s="361">
        <f>C101*Rsense</f>
        <v>0.24001199760047992</v>
      </c>
      <c r="G101" s="417" t="s">
        <v>230</v>
      </c>
      <c r="H101" s="418">
        <f>(1-Bin_Coeff)/Bin_Coeff*R_2k*R_1k/(R_1k-(1-Bin_Coeff)/Bin_Coeff*R_2k)</f>
        <v>0.11764705882352955</v>
      </c>
      <c r="I101" s="419">
        <f>(IF((10^(LOG(H101)-INT(LOG(H101)))*100)-VLOOKUP((10^(LOG(H101)-INT(LOG(H101)))*100),E96_s:E96_f,1)&lt;VLOOKUP((10^(LOG(H101)-INT(LOG(H101)))*100),E96_s:E96_f,2)-(10^(LOG(H101)-INT(LOG(H101)))*100),VLOOKUP((10^(LOG(H101)-INT(LOG(H101)))*100),E96_s:E96_f,1),VLOOKUP((10^(LOG(H101)-INT(LOG(H101)))*100),E96_s:E96_f,2)))*10^INT(LOG(H101))/100</f>
        <v>0.11800000000000001</v>
      </c>
      <c r="J101" s="421">
        <f>BIN_4/100*Bin_Coeff</f>
        <v>0.66499999999999992</v>
      </c>
      <c r="K101" s="420"/>
      <c r="Q101" s="106"/>
      <c r="T101" s="304"/>
      <c r="U101" s="304"/>
      <c r="V101" s="304"/>
      <c r="W101" s="304"/>
      <c r="X101" s="109"/>
      <c r="Y101" s="109"/>
      <c r="Z101" s="109"/>
      <c r="AA101" s="305"/>
      <c r="AB101" s="305"/>
      <c r="AC101" s="305"/>
      <c r="AJ101" s="106"/>
      <c r="AK101" s="106"/>
      <c r="AL101" s="106"/>
    </row>
    <row r="102" spans="1:38" x14ac:dyDescent="0.25">
      <c r="A102" s="348" t="s">
        <v>325</v>
      </c>
      <c r="B102" s="357" t="s">
        <v>236</v>
      </c>
      <c r="C102" s="358">
        <f>((I100*I101)/(I100+I101)+B90)/B90*V_cs/Rsense</f>
        <v>0.24583136219188839</v>
      </c>
      <c r="D102" s="363">
        <f>1+(C102-C99)/C99</f>
        <v>0.70184853905784128</v>
      </c>
      <c r="E102" s="360">
        <f>C102^2*Rsense</f>
        <v>5.1760914722692779E-2</v>
      </c>
      <c r="F102" s="361">
        <f>C102*Rsense</f>
        <v>0.21055456171735243</v>
      </c>
      <c r="G102" s="417" t="s">
        <v>311</v>
      </c>
      <c r="H102" s="418">
        <f>(1-BIN2_Coeff)/BIN2_Coeff*R_2k*R_1k/(R_1k-(1-BIN2_Coeff)/BIN2_Coeff*R_2k)-R_3k</f>
        <v>2.2153333333333354</v>
      </c>
      <c r="I102" s="419">
        <f>(IF((10^(LOG(H102)-INT(LOG(H102)))*100)-VLOOKUP((10^(LOG(H102)-INT(LOG(H102)))*100),E96_s:E96_f,1)&lt;VLOOKUP((10^(LOG(H102)-INT(LOG(H102)))*100),E96_s:E96_f,2)-(10^(LOG(H102)-INT(LOG(H102)))*100),VLOOKUP((10^(LOG(H102)-INT(LOG(H102)))*100),E96_s:E96_f,1),VLOOKUP((10^(LOG(H102)-INT(LOG(H102)))*100),E96_s:E96_f,2)))*10^INT(LOG(H102))/100</f>
        <v>2.21</v>
      </c>
      <c r="J102" s="421">
        <f>R_2k/(R_2k+R_1k)/(BIN_2/100)</f>
        <v>0.7407407407407407</v>
      </c>
      <c r="K102" s="368"/>
      <c r="Q102" s="106"/>
      <c r="T102" s="304"/>
      <c r="U102" s="304"/>
      <c r="V102" s="304"/>
      <c r="W102" s="304"/>
      <c r="X102" s="109"/>
      <c r="Y102" s="109"/>
      <c r="Z102" s="109"/>
      <c r="AA102" s="305"/>
      <c r="AB102" s="305"/>
      <c r="AC102" s="305"/>
      <c r="AJ102" s="106"/>
      <c r="AK102" s="106"/>
      <c r="AL102" s="106"/>
    </row>
    <row r="103" spans="1:38" ht="15.75" thickBot="1" x14ac:dyDescent="0.3">
      <c r="A103" s="364"/>
      <c r="B103" s="264"/>
      <c r="C103" s="264"/>
      <c r="D103" s="264"/>
      <c r="E103" s="264"/>
      <c r="F103" s="104"/>
      <c r="G103" s="417" t="s">
        <v>312</v>
      </c>
      <c r="H103" s="418">
        <f>(1-J103)/J103*R_2k*R_1k/(R_1k-(1-J103)/J103*R_2k)-R_3k</f>
        <v>0.54866666666666719</v>
      </c>
      <c r="I103" s="419">
        <f>(IF((10^(LOG(H103)-INT(LOG(H103)))*100)-VLOOKUP((10^(LOG(H103)-INT(LOG(H103)))*100),E96_s:E96_f,1)&lt;VLOOKUP((10^(LOG(H103)-INT(LOG(H103)))*100),E96_s:E96_f,2)-(10^(LOG(H103)-INT(LOG(H103)))*100),VLOOKUP((10^(LOG(H103)-INT(LOG(H103)))*100),E96_s:E96_f,1),VLOOKUP((10^(LOG(H103)-INT(LOG(H103)))*100),E96_s:E96_f,2)))*10^INT(LOG(H103))/100</f>
        <v>0.54900000000000004</v>
      </c>
      <c r="J103" s="421">
        <f>R_2k/(R_2k+R_1k)/(BIN_3/100)</f>
        <v>0.83333333333333326</v>
      </c>
      <c r="K103" s="368"/>
      <c r="Q103" s="106"/>
      <c r="T103" s="304"/>
      <c r="U103" s="304"/>
      <c r="V103" s="304"/>
      <c r="W103" s="304"/>
      <c r="X103" s="109"/>
      <c r="Y103" s="109"/>
      <c r="Z103" s="109"/>
      <c r="AA103" s="305"/>
      <c r="AB103" s="305"/>
      <c r="AC103" s="305"/>
      <c r="AJ103" s="106"/>
      <c r="AK103" s="106"/>
      <c r="AL103" s="106"/>
    </row>
    <row r="104" spans="1:38" x14ac:dyDescent="0.25">
      <c r="A104" s="431" t="s">
        <v>305</v>
      </c>
      <c r="B104" s="431"/>
      <c r="C104" s="431"/>
      <c r="D104" s="431"/>
      <c r="E104" s="431"/>
      <c r="F104" s="431"/>
      <c r="G104" s="368"/>
      <c r="H104" s="369"/>
      <c r="I104" s="368"/>
      <c r="J104" s="368"/>
      <c r="K104" s="368"/>
      <c r="L104" s="397"/>
      <c r="Q104" s="106"/>
      <c r="T104" s="304"/>
      <c r="U104" s="304"/>
      <c r="V104" s="304"/>
      <c r="W104" s="304"/>
      <c r="X104" s="109"/>
      <c r="Y104" s="109"/>
      <c r="Z104" s="109"/>
      <c r="AA104" s="305"/>
      <c r="AB104" s="305"/>
      <c r="AC104" s="305"/>
      <c r="AJ104" s="106"/>
      <c r="AK104" s="106"/>
      <c r="AL104" s="106"/>
    </row>
    <row r="105" spans="1:38" x14ac:dyDescent="0.25">
      <c r="A105" s="432"/>
      <c r="B105" s="432"/>
      <c r="C105" s="432"/>
      <c r="D105" s="432"/>
      <c r="E105" s="432"/>
      <c r="F105" s="432"/>
      <c r="I105" s="368"/>
      <c r="J105" s="368"/>
      <c r="K105" s="368"/>
      <c r="L105" s="397"/>
      <c r="Q105" s="106"/>
      <c r="R105" s="304"/>
      <c r="S105" s="304"/>
      <c r="T105" s="304"/>
      <c r="U105" s="304"/>
      <c r="X105" s="109"/>
      <c r="AA105" s="305"/>
      <c r="AB105" s="305"/>
      <c r="AC105" s="305"/>
      <c r="AJ105" s="106"/>
    </row>
    <row r="106" spans="1:38" x14ac:dyDescent="0.25">
      <c r="A106" s="432"/>
      <c r="B106" s="432"/>
      <c r="C106" s="432"/>
      <c r="D106" s="432"/>
      <c r="E106" s="432"/>
      <c r="F106" s="432"/>
      <c r="I106" s="368"/>
      <c r="J106" s="368"/>
      <c r="K106" s="368"/>
      <c r="R106" s="304"/>
      <c r="S106" s="304"/>
      <c r="T106" s="304"/>
      <c r="U106" s="212"/>
    </row>
    <row r="107" spans="1:38" x14ac:dyDescent="0.25">
      <c r="A107" s="432"/>
      <c r="B107" s="432"/>
      <c r="C107" s="432"/>
      <c r="D107" s="432"/>
      <c r="E107" s="432"/>
      <c r="F107" s="432"/>
      <c r="R107" s="304"/>
      <c r="S107" s="304"/>
      <c r="T107" s="304"/>
      <c r="U107" s="212"/>
    </row>
    <row r="108" spans="1:38" x14ac:dyDescent="0.25">
      <c r="A108" s="322"/>
      <c r="B108" s="106"/>
      <c r="C108" s="106"/>
      <c r="D108" s="106"/>
      <c r="E108" s="261"/>
      <c r="F108" s="106"/>
      <c r="R108" s="304"/>
      <c r="S108" s="304"/>
      <c r="T108" s="304"/>
      <c r="U108" s="212"/>
    </row>
    <row r="109" spans="1:38" x14ac:dyDescent="0.25">
      <c r="A109" s="322"/>
      <c r="B109" s="106"/>
      <c r="C109" s="106"/>
      <c r="D109" s="106"/>
      <c r="E109" s="261"/>
      <c r="F109" s="106"/>
    </row>
    <row r="110" spans="1:38" x14ac:dyDescent="0.25">
      <c r="A110" s="322"/>
      <c r="B110" s="106"/>
      <c r="C110" s="106"/>
      <c r="D110" s="106"/>
      <c r="E110" s="261"/>
      <c r="F110" s="106"/>
    </row>
    <row r="111" spans="1:38" x14ac:dyDescent="0.25">
      <c r="A111" s="322"/>
      <c r="B111" s="106"/>
      <c r="C111" s="106"/>
      <c r="D111" s="106"/>
      <c r="E111" s="261"/>
      <c r="F111" s="106"/>
    </row>
  </sheetData>
  <sheetProtection algorithmName="SHA-512" hashValue="NzBRuGH03wBdFKrwlxAFy31ORbokQbdC4u0BYF71AfK0rPU3Q8JkUkIyL/kuJvfj4IUk1tTswPw5+t7YpwEksw==" saltValue="rn7iyMQWsa75bNHlDzlQug==" spinCount="100000" sheet="1" selectLockedCells="1"/>
  <mergeCells count="66">
    <mergeCell ref="D94:F94"/>
    <mergeCell ref="D95:F95"/>
    <mergeCell ref="D96:F96"/>
    <mergeCell ref="D89:F89"/>
    <mergeCell ref="D90:F90"/>
    <mergeCell ref="D91:F91"/>
    <mergeCell ref="D92:F92"/>
    <mergeCell ref="D93:F93"/>
    <mergeCell ref="A84:F84"/>
    <mergeCell ref="D85:F85"/>
    <mergeCell ref="D86:F86"/>
    <mergeCell ref="D87:F87"/>
    <mergeCell ref="D88:F88"/>
    <mergeCell ref="A41:F41"/>
    <mergeCell ref="A53:F53"/>
    <mergeCell ref="D45:F45"/>
    <mergeCell ref="D46:F46"/>
    <mergeCell ref="D47:F47"/>
    <mergeCell ref="D52:F52"/>
    <mergeCell ref="D42:F42"/>
    <mergeCell ref="D48:F48"/>
    <mergeCell ref="D49:F49"/>
    <mergeCell ref="D51:F51"/>
    <mergeCell ref="D35:F35"/>
    <mergeCell ref="D37:F37"/>
    <mergeCell ref="A1:F1"/>
    <mergeCell ref="D24:F24"/>
    <mergeCell ref="A23:F23"/>
    <mergeCell ref="A2:F2"/>
    <mergeCell ref="B21:C21"/>
    <mergeCell ref="A14:C14"/>
    <mergeCell ref="E14:F14"/>
    <mergeCell ref="E21:F21"/>
    <mergeCell ref="B22:C22"/>
    <mergeCell ref="D83:F83"/>
    <mergeCell ref="D73:F73"/>
    <mergeCell ref="L53:O53"/>
    <mergeCell ref="I23:L23"/>
    <mergeCell ref="N33:O33"/>
    <mergeCell ref="D72:F72"/>
    <mergeCell ref="D57:F57"/>
    <mergeCell ref="D59:F59"/>
    <mergeCell ref="D54:F54"/>
    <mergeCell ref="D56:F56"/>
    <mergeCell ref="D71:F71"/>
    <mergeCell ref="D65:F65"/>
    <mergeCell ref="D61:F61"/>
    <mergeCell ref="D62:F62"/>
    <mergeCell ref="D40:F40"/>
    <mergeCell ref="E36:F36"/>
    <mergeCell ref="D39:F39"/>
    <mergeCell ref="A29:F29"/>
    <mergeCell ref="A25:F25"/>
    <mergeCell ref="A34:F34"/>
    <mergeCell ref="A104:F107"/>
    <mergeCell ref="D64:F64"/>
    <mergeCell ref="D74:F74"/>
    <mergeCell ref="A63:F63"/>
    <mergeCell ref="D77:F77"/>
    <mergeCell ref="D79:F79"/>
    <mergeCell ref="A68:F68"/>
    <mergeCell ref="A69:F69"/>
    <mergeCell ref="D67:F67"/>
    <mergeCell ref="D80:F80"/>
    <mergeCell ref="D81:F81"/>
    <mergeCell ref="D82:F82"/>
  </mergeCells>
  <conditionalFormatting sqref="B52">
    <cfRule type="cellIs" dxfId="49" priority="36" operator="lessThan">
      <formula>0</formula>
    </cfRule>
    <cfRule type="cellIs" dxfId="48" priority="37" operator="lessThan">
      <formula>0</formula>
    </cfRule>
    <cfRule type="cellIs" dxfId="47" priority="38" operator="lessThan">
      <formula>0</formula>
    </cfRule>
  </conditionalFormatting>
  <conditionalFormatting sqref="P39">
    <cfRule type="expression" dxfId="46" priority="39">
      <formula>#REF!="Custom"</formula>
    </cfRule>
  </conditionalFormatting>
  <conditionalFormatting sqref="F4 D4">
    <cfRule type="expression" dxfId="45" priority="31">
      <formula>$F$4&lt;&gt;"Steady-state input operating voltages"</formula>
    </cfRule>
  </conditionalFormatting>
  <conditionalFormatting sqref="B93">
    <cfRule type="expression" dxfId="44" priority="18">
      <formula>$B$90&gt;9.99</formula>
    </cfRule>
    <cfRule type="expression" dxfId="43" priority="19">
      <formula>$B$90&lt;1</formula>
    </cfRule>
  </conditionalFormatting>
  <conditionalFormatting sqref="B101">
    <cfRule type="expression" dxfId="42" priority="70">
      <formula>$I$103&lt;1</formula>
    </cfRule>
  </conditionalFormatting>
  <conditionalFormatting sqref="K93">
    <cfRule type="expression" dxfId="41" priority="15">
      <formula>$E$5&lt;1</formula>
    </cfRule>
  </conditionalFormatting>
  <conditionalFormatting sqref="B100">
    <cfRule type="expression" dxfId="40" priority="76">
      <formula>$I$102&lt;1</formula>
    </cfRule>
  </conditionalFormatting>
  <conditionalFormatting sqref="B92">
    <cfRule type="expression" dxfId="39" priority="78" stopIfTrue="1">
      <formula>$I$100&gt;9.99</formula>
    </cfRule>
    <cfRule type="expression" dxfId="38" priority="79" stopIfTrue="1">
      <formula>$I$100&lt;1</formula>
    </cfRule>
  </conditionalFormatting>
  <conditionalFormatting sqref="K92">
    <cfRule type="expression" dxfId="37" priority="5">
      <formula>$I$100&gt;9.99</formula>
    </cfRule>
    <cfRule type="expression" dxfId="36" priority="6">
      <formula>$I$100&lt;1</formula>
    </cfRule>
  </conditionalFormatting>
  <conditionalFormatting sqref="J94">
    <cfRule type="expression" dxfId="35" priority="3">
      <formula>$B$90&gt;9.99</formula>
    </cfRule>
    <cfRule type="expression" dxfId="34" priority="4">
      <formula>$B$90&lt;1</formula>
    </cfRule>
  </conditionalFormatting>
  <conditionalFormatting sqref="B94">
    <cfRule type="expression" dxfId="33" priority="80">
      <formula>$I$101&gt;9.99</formula>
    </cfRule>
    <cfRule type="expression" dxfId="32" priority="81">
      <formula>$I$101&lt;1</formula>
    </cfRule>
  </conditionalFormatting>
  <conditionalFormatting sqref="J90">
    <cfRule type="expression" dxfId="31" priority="1" stopIfTrue="1">
      <formula>$I$101&gt;9.99</formula>
    </cfRule>
    <cfRule type="expression" dxfId="30" priority="2" stopIfTrue="1">
      <formula>$I$101&lt;1</formula>
    </cfRule>
  </conditionalFormatting>
  <printOptions horizontalCentered="1"/>
  <pageMargins left="0.7" right="0.7" top="0.75" bottom="0.75" header="0.3" footer="0.3"/>
  <pageSetup scale="39" fitToHeight="2" orientation="portrait" horizontalDpi="4294967293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0" id="{FEA5D04D-26DA-4398-AEDF-4330E840A788}">
            <xm:f>$D$4&gt;Constants!$D$3</xm:f>
            <x14:dxf>
              <fill>
                <patternFill>
                  <bgColor rgb="FFFF0000"/>
                </patternFill>
              </fill>
            </x14:dxf>
          </x14:cfRule>
          <xm:sqref>D4</xm:sqref>
        </x14:conditionalFormatting>
        <x14:conditionalFormatting xmlns:xm="http://schemas.microsoft.com/office/excel/2006/main">
          <x14:cfRule type="expression" priority="29" id="{95D834C7-88FE-40B5-802D-4748541621E8}">
            <xm:f>$C$31&gt;=Constants!$B$9</xm:f>
            <x14:dxf>
              <fill>
                <patternFill>
                  <bgColor rgb="FFFF0000"/>
                </patternFill>
              </fill>
            </x14:dxf>
          </x14:cfRule>
          <xm:sqref>C6 F6 C31</xm:sqref>
        </x14:conditionalFormatting>
        <x14:conditionalFormatting xmlns:xm="http://schemas.microsoft.com/office/excel/2006/main">
          <x14:cfRule type="expression" priority="28" id="{0A2F425A-F223-447C-9E6A-ED2AA6AABCCA}">
            <xm:f>COUNTIF(Efficiency!$AA$5:$AA$48,"TSD")&gt;0</xm:f>
            <x14:dxf>
              <fill>
                <patternFill>
                  <bgColor rgb="FFFF0000"/>
                </patternFill>
              </fill>
            </x14:dxf>
          </x14:cfRule>
          <xm:sqref>F5 D13 F13 C5:C6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AA112"/>
  <sheetViews>
    <sheetView zoomScaleNormal="100" workbookViewId="0">
      <selection activeCell="N3" sqref="N3"/>
    </sheetView>
  </sheetViews>
  <sheetFormatPr defaultRowHeight="15" x14ac:dyDescent="0.25"/>
  <cols>
    <col min="1" max="2" width="6.7109375" style="283" customWidth="1"/>
    <col min="3" max="3" width="9.42578125" style="283" customWidth="1"/>
    <col min="4" max="4" width="7.85546875" style="283" customWidth="1"/>
    <col min="5" max="5" width="9.85546875" style="283" customWidth="1"/>
    <col min="6" max="6" width="9.28515625" style="283" customWidth="1"/>
    <col min="7" max="7" width="10.7109375" style="283" customWidth="1"/>
    <col min="8" max="8" width="9.7109375" style="284" customWidth="1"/>
    <col min="9" max="9" width="9.28515625" style="284" customWidth="1"/>
    <col min="10" max="11" width="8.5703125" style="284" bestFit="1" customWidth="1"/>
    <col min="12" max="12" width="8.28515625" style="284" bestFit="1" customWidth="1"/>
    <col min="13" max="13" width="9.28515625" style="284" bestFit="1" customWidth="1"/>
    <col min="14" max="14" width="8.140625" style="284" bestFit="1" customWidth="1"/>
    <col min="15" max="15" width="9.28515625" style="284" bestFit="1" customWidth="1"/>
    <col min="16" max="16" width="9.28515625" style="284" customWidth="1"/>
    <col min="17" max="17" width="7.5703125" style="284" customWidth="1"/>
    <col min="18" max="18" width="8.28515625" style="284" bestFit="1" customWidth="1"/>
    <col min="19" max="19" width="7.85546875" style="284" customWidth="1"/>
    <col min="20" max="20" width="8.7109375" style="284" customWidth="1"/>
    <col min="21" max="21" width="8" style="284" customWidth="1"/>
    <col min="22" max="22" width="7.85546875" style="284" customWidth="1"/>
    <col min="23" max="25" width="6.7109375" style="284" customWidth="1"/>
    <col min="26" max="26" width="12.7109375" style="67" customWidth="1"/>
    <col min="27" max="27" width="20.42578125" style="67" customWidth="1"/>
    <col min="28" max="16384" width="9.140625" style="67"/>
  </cols>
  <sheetData>
    <row r="1" spans="1:27" ht="21.6" customHeight="1" x14ac:dyDescent="0.25">
      <c r="A1" s="498" t="s">
        <v>87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  <c r="Q1" s="498"/>
      <c r="R1" s="498"/>
      <c r="S1" s="498"/>
      <c r="T1" s="498"/>
      <c r="U1" s="498"/>
      <c r="V1" s="498"/>
      <c r="W1" s="498"/>
      <c r="X1" s="498"/>
      <c r="Y1" s="498"/>
      <c r="Z1" s="498"/>
      <c r="AA1" s="498"/>
    </row>
    <row r="2" spans="1:27" ht="21.6" customHeight="1" thickBot="1" x14ac:dyDescent="0.3">
      <c r="A2" s="498"/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  <c r="U2" s="498"/>
      <c r="V2" s="498"/>
      <c r="W2" s="498"/>
      <c r="X2" s="498"/>
      <c r="Y2" s="498"/>
      <c r="Z2" s="498"/>
      <c r="AA2" s="498"/>
    </row>
    <row r="3" spans="1:27" ht="24" customHeight="1" thickBot="1" x14ac:dyDescent="0.3">
      <c r="A3" s="499" t="s">
        <v>254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195" t="s">
        <v>255</v>
      </c>
      <c r="N3" s="227">
        <v>0</v>
      </c>
      <c r="O3" s="195"/>
      <c r="P3" s="195"/>
      <c r="Q3" s="499" t="s">
        <v>343</v>
      </c>
      <c r="R3" s="499"/>
      <c r="S3" s="499"/>
      <c r="T3" s="499"/>
      <c r="U3" s="499"/>
      <c r="V3" s="499"/>
      <c r="W3" s="499"/>
      <c r="X3" s="499"/>
      <c r="Y3" s="499"/>
      <c r="Z3" s="499"/>
      <c r="AA3" s="195"/>
    </row>
    <row r="4" spans="1:27" s="211" customFormat="1" ht="18" customHeight="1" thickBot="1" x14ac:dyDescent="0.3">
      <c r="A4" s="285"/>
      <c r="B4" s="495">
        <f>Design!C30</f>
        <v>0.35026269702276713</v>
      </c>
      <c r="C4" s="496"/>
      <c r="D4" s="497">
        <f>IF($I$4="None",VOUT,VOUT-V_cs+VLOOKUP($I$4,Design!$A$99:$F$102,6))</f>
        <v>12.399999999999999</v>
      </c>
      <c r="E4" s="497"/>
      <c r="F4" s="497"/>
      <c r="G4" s="497"/>
      <c r="H4" s="186" t="s">
        <v>327</v>
      </c>
      <c r="I4" s="233" t="s">
        <v>326</v>
      </c>
      <c r="J4" s="186"/>
      <c r="K4" s="286" t="s">
        <v>249</v>
      </c>
      <c r="L4" s="287">
        <f>(1-Min_tOFF_typ/Tsw)</f>
        <v>0.8</v>
      </c>
      <c r="M4" s="186"/>
      <c r="N4" s="232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288"/>
      <c r="AA4" s="288"/>
    </row>
    <row r="5" spans="1:27" s="279" customFormat="1" thickBot="1" x14ac:dyDescent="0.3">
      <c r="A5" s="289" t="s">
        <v>104</v>
      </c>
      <c r="B5" s="136" t="s">
        <v>186</v>
      </c>
      <c r="C5" s="136" t="s">
        <v>125</v>
      </c>
      <c r="D5" s="137" t="s">
        <v>123</v>
      </c>
      <c r="E5" s="137" t="s">
        <v>225</v>
      </c>
      <c r="F5" s="137" t="s">
        <v>224</v>
      </c>
      <c r="G5" s="137" t="s">
        <v>124</v>
      </c>
      <c r="H5" s="137" t="s">
        <v>222</v>
      </c>
      <c r="I5" s="137" t="s">
        <v>52</v>
      </c>
      <c r="J5" s="137" t="s">
        <v>53</v>
      </c>
      <c r="K5" s="137" t="s">
        <v>101</v>
      </c>
      <c r="L5" s="137" t="s">
        <v>135</v>
      </c>
      <c r="M5" s="137" t="s">
        <v>137</v>
      </c>
      <c r="N5" s="137" t="s">
        <v>138</v>
      </c>
      <c r="O5" s="137" t="s">
        <v>146</v>
      </c>
      <c r="P5" s="137" t="s">
        <v>237</v>
      </c>
      <c r="Q5" s="137" t="s">
        <v>148</v>
      </c>
      <c r="R5" s="137" t="s">
        <v>149</v>
      </c>
      <c r="S5" s="137" t="s">
        <v>64</v>
      </c>
      <c r="T5" s="137" t="s">
        <v>129</v>
      </c>
      <c r="U5" s="137" t="s">
        <v>136</v>
      </c>
      <c r="V5" s="137" t="s">
        <v>223</v>
      </c>
      <c r="W5" s="137" t="s">
        <v>139</v>
      </c>
      <c r="X5" s="137" t="s">
        <v>253</v>
      </c>
      <c r="Y5" s="137" t="s">
        <v>308</v>
      </c>
      <c r="Z5" s="290" t="s">
        <v>227</v>
      </c>
      <c r="AA5" s="290" t="s">
        <v>226</v>
      </c>
    </row>
    <row r="6" spans="1:27" s="280" customFormat="1" ht="14.45" customHeight="1" x14ac:dyDescent="0.2">
      <c r="A6" s="191">
        <v>25</v>
      </c>
      <c r="B6" s="148">
        <f>Design!B4</f>
        <v>6</v>
      </c>
      <c r="C6" s="148">
        <f ca="1">IF(Reset=1,VF,FORECAST($B$4+Y6, OFFSET(Design!$C$16:$C$20,MATCH($B$4+Y6,Design!$B$16:$B$20,1)-1,0,2), OFFSET(Design!$B$16:$B$20,MATCH($B$4+Y6,Design!$B$16:$B$20,1)-1,0,2))+(Q6-$A$6)*Design!$B$21/1000)</f>
        <v>0.44568780248413919</v>
      </c>
      <c r="D6" s="291">
        <f ca="1">IF(Reset=1,$D$4/(B6+$D$4),MIN(($D$4+C6+Y6*LO_DCR/1000*(1+(R6-25)*(Constants!$C$32/100)))/(B6-Y6*S6/1000+C6+$D$4),(Tsw-Min_tOFF_typ)/Tsw))</f>
        <v>0.69189485060398936</v>
      </c>
      <c r="E6" s="153">
        <f ca="1">IF(D6&gt;=(Tsw-Min_tOFF_typ)/Tsw,Tsw-Min_tOFF_typ,IF(Tsw*Efficiency!D6&gt;Constants!$C$19,Tsw*Efficiency!D6,Constants!$C$19))</f>
        <v>345.94742530199466</v>
      </c>
      <c r="F6" s="153">
        <f ca="1">IF(E6=Constants!$C$19,Tsw-Constants!$C$19,IF(Tsw*(1-Efficiency!D6)&gt;Min_tOFF_typ,Tsw*(1-Efficiency!D6),Min_tOFF_typ))</f>
        <v>154.05257469800532</v>
      </c>
      <c r="G6" s="39">
        <f ca="1">IF(Reset=1,(B6)/(L_buckboost*micro)*D6*Tsw*nano,(B6-($B$4+Y6)*(S6/1000+LO_DCR/1000*(1+(R6-A6)*(Constants!$C$32/100))))/(L_buckboost*micro)*D6*Tsw*nano)</f>
        <v>0.41658078598284826</v>
      </c>
      <c r="H6" s="292">
        <f t="shared" ref="H6:H26" si="0">(B6+$D$4)*Iq*micro</f>
        <v>9.2E-5</v>
      </c>
      <c r="I6" s="236">
        <f t="shared" ref="I6:I26" ca="1" si="1">(B6+$D$4)*Y6*((B6+$D$4)/(Slew_rise*10^9)*fsw*10^6/2+(B6+$D$4)/(Slew_fall*10^9)*fsw*10^6/2)</f>
        <v>0.57732695608866447</v>
      </c>
      <c r="J6" s="236">
        <f t="shared" ref="J6:J26" ca="1" si="2">D6*(($B$4/(1-D6))^2+G6^2/12)*S6*10^-3</f>
        <v>0.17209362977443882</v>
      </c>
      <c r="K6" s="236">
        <f t="shared" ref="K6:K26" si="3">Qg*10^-9*(B6+$D$4)*fsw*10^6</f>
        <v>0.18399999999999997</v>
      </c>
      <c r="L6" s="236">
        <f t="shared" ref="L6:L26" ca="1" si="4">SUM(H6:K6)</f>
        <v>0.93351258586310326</v>
      </c>
      <c r="M6" s="236">
        <f t="shared" ref="M6:M26" ca="1" si="5">($B$4+Y6)*C6*(1-D6)</f>
        <v>0.20420543238266012</v>
      </c>
      <c r="N6" s="236">
        <f ca="1">(($B$4+Y6)^2+G6^2/12)*(LO_DCR/1000+LO_DCR/1000*(R6-25)*(Constants!$C$32/100))</f>
        <v>8.5840864122945892E-2</v>
      </c>
      <c r="O6" s="236">
        <f t="shared" ref="O6:O26" si="6">0.5*C_SNUB*10^-12*(B6+$D$4)^2*fsw*10^6</f>
        <v>0.15912319999999996</v>
      </c>
      <c r="P6" s="236">
        <f>IF($I$4="None",V_cs^2/RFB_1,VLOOKUP($I$4,Design!$A$99:$F$102,5))</f>
        <v>7.0052539404553429E-2</v>
      </c>
      <c r="Q6" s="293">
        <f t="shared" ref="Q6:Q26" ca="1" si="7">$A6+M6*RthJA</f>
        <v>36.231298781046306</v>
      </c>
      <c r="R6" s="293">
        <f t="shared" ref="R6:R26" ca="1" si="8">MIN(L6*RthJA_IC+$A6,190)</f>
        <v>67.008066363839646</v>
      </c>
      <c r="S6" s="46">
        <f t="shared" ref="S6:S26" ca="1" si="9">IF(Reset=1,Rdson,Rdson+Rdson*TCR_RdsON/100*(R6-25))</f>
        <v>190.32774370928607</v>
      </c>
      <c r="T6" s="187">
        <f ca="1">(Max_Duty_Dropout*(B6+C6-($B$4+Y6)*S6/1000)-(C6+($B$4+Y6)*LO_DCR/1000))/(1-Max_Duty_Dropout)</f>
        <v>22.176059809097818</v>
      </c>
      <c r="U6" s="187">
        <f t="shared" ref="U6:U26" ca="1" si="10">IF(Reset=1,VOUT,IF(T6&gt;VOUT,VOUT,T6))</f>
        <v>12.399999999999999</v>
      </c>
      <c r="V6" s="236">
        <f t="shared" ref="V6:V26" ca="1" si="11">SUM(L6:P6)</f>
        <v>1.4527346217732628</v>
      </c>
      <c r="W6" s="187">
        <f t="shared" ref="W6:W26" ca="1" si="12">U6*$B$4</f>
        <v>4.3432574430823117</v>
      </c>
      <c r="X6" s="187">
        <f t="shared" ref="X6:X26" ca="1" si="13">V6+W6</f>
        <v>5.7959920648555743</v>
      </c>
      <c r="Y6" s="160">
        <f t="shared" ref="Y6:Y26" ca="1" si="14">IF(Reset=1,W6/B6/0.8,$B$4/(1-D6))</f>
        <v>1.136828442203577</v>
      </c>
      <c r="Z6" s="151">
        <f t="shared" ref="Z6:Z26" ca="1" si="15">W6/(W6+V6)</f>
        <v>0.749355312167864</v>
      </c>
      <c r="AA6" s="154" t="str">
        <f ca="1">IF(R6&gt;=TSD,"TSD",IF(OR(E6=Constants!$C$19,Efficiency!F6=Min_tOFF_typ),IF(E6=Constants!$C$19,"Pulse Skip","Dropout"),"Normal"))</f>
        <v>Normal</v>
      </c>
    </row>
    <row r="7" spans="1:27" ht="12.6" customHeight="1" x14ac:dyDescent="0.25">
      <c r="A7" s="192">
        <f>25</f>
        <v>25</v>
      </c>
      <c r="B7" s="38">
        <f>($B$25-$B$6)/19+B6</f>
        <v>6.6315789473684212</v>
      </c>
      <c r="C7" s="38">
        <f ca="1">IF(Reset=1,VF,FORECAST($B$4+Y7, OFFSET(Design!$C$16:$C$20,MATCH($B$4+Y7,Design!$B$16:$B$20,1)-1,0,2), OFFSET(Design!$B$16:$B$20,MATCH($B$4+Y7,Design!$B$16:$B$20,1)-1,0,2))+(Q7-25)*Design!$B$21/1000)</f>
        <v>0.44195714549625087</v>
      </c>
      <c r="D7" s="149">
        <f ca="1">IF(Reset=1,$D$4/(B7+$D$4),MIN(($D$4+C7+Y7*LO_DCR/1000*(1+(R7-25)*(Constants!$C$32/100)))/(B7-Y7*S7/1000+C7+$D$4),(Tsw-Min_tOFF_typ)/Tsw))</f>
        <v>0.66840008841447862</v>
      </c>
      <c r="E7" s="153">
        <f ca="1">IF(D7&gt;=(Tsw-Min_tOFF_typ)/Tsw,Tsw-Min_tOFF_typ,IF(Tsw*Efficiency!D7&gt;Constants!$C$19,Tsw*Efficiency!D7,Constants!$C$19))</f>
        <v>334.20004420723933</v>
      </c>
      <c r="F7" s="153">
        <f ca="1">IF(E7=Constants!$C$19,Tsw-Constants!$C$19,IF(Tsw*(1-Efficiency!D7)&gt;Min_tOFF_typ,Tsw*(1-Efficiency!D7),Min_tOFF_typ))</f>
        <v>165.7999557927607</v>
      </c>
      <c r="G7" s="39">
        <f ca="1">IF(Reset=1,(B7)/(L_buckboost*micro)*D7*Tsw*nano,(B7-($B$4+Y7)*(S7/1000+LO_DCR/1000*(1+(R7-A7)*(Constants!$C$32/100))))/(L_buckboost*micro)*D7*Tsw*nano)</f>
        <v>0.44878272302702987</v>
      </c>
      <c r="H7" s="150">
        <f t="shared" si="0"/>
        <v>9.5157894736842095E-5</v>
      </c>
      <c r="I7" s="45">
        <f t="shared" ca="1" si="1"/>
        <v>0.57387906504930053</v>
      </c>
      <c r="J7" s="45">
        <f t="shared" ca="1" si="2"/>
        <v>0.1432225580993596</v>
      </c>
      <c r="K7" s="45">
        <f t="shared" si="3"/>
        <v>0.19031578947368419</v>
      </c>
      <c r="L7" s="45">
        <f t="shared" ca="1" si="4"/>
        <v>0.90751257051708112</v>
      </c>
      <c r="M7" s="45">
        <f t="shared" ca="1" si="5"/>
        <v>0.20613313340364173</v>
      </c>
      <c r="N7" s="45">
        <f ca="1">(($B$4+Y7)^2+G7^2/12)*(LO_DCR/1000+LO_DCR/1000*(R7-25)*(Constants!$C$32/100))</f>
        <v>7.6638341440250377E-2</v>
      </c>
      <c r="O7" s="45">
        <f t="shared" si="6"/>
        <v>0.17023446869806091</v>
      </c>
      <c r="P7" s="45">
        <f>IF($I$4="None",V_cs^2/RFB_1,VLOOKUP($I$4,Design!$A$99:$F$102,5))</f>
        <v>7.0052539404553429E-2</v>
      </c>
      <c r="Q7" s="46">
        <f t="shared" ca="1" si="7"/>
        <v>36.337322337200291</v>
      </c>
      <c r="R7" s="46">
        <f t="shared" ca="1" si="8"/>
        <v>65.838065673268659</v>
      </c>
      <c r="S7" s="46">
        <f t="shared" ca="1" si="9"/>
        <v>189.2045430463379</v>
      </c>
      <c r="T7" s="160">
        <f t="shared" ref="T7:T26" ca="1" si="16">(Max_Duty_Dropout*(B7+C7-$B$4*S7/1000)-(C7+$B$4*LO_DCR/1000))/(1-Max_Duty_Dropout)</f>
        <v>25.761304993474692</v>
      </c>
      <c r="U7" s="160">
        <f t="shared" ca="1" si="10"/>
        <v>12.399999999999999</v>
      </c>
      <c r="V7" s="45">
        <f t="shared" ca="1" si="11"/>
        <v>1.4305710534635874</v>
      </c>
      <c r="W7" s="160">
        <f t="shared" ca="1" si="12"/>
        <v>4.3432574430823117</v>
      </c>
      <c r="X7" s="160">
        <f t="shared" ca="1" si="13"/>
        <v>5.7738284965458995</v>
      </c>
      <c r="Y7" s="160">
        <f t="shared" ca="1" si="14"/>
        <v>1.0562810326094809</v>
      </c>
      <c r="Z7" s="152">
        <f t="shared" ca="1" si="15"/>
        <v>0.7522318069683912</v>
      </c>
      <c r="AA7" s="155" t="str">
        <f ca="1">IF(R7&gt;=TSD,"TSD",IF(OR(E7=Constants!$C$19,Efficiency!F7=Min_tOFF_typ),IF(E7=Constants!$C$19,"Pulse Skip","Dropout"),"Normal"))</f>
        <v>Normal</v>
      </c>
    </row>
    <row r="8" spans="1:27" ht="12.6" customHeight="1" x14ac:dyDescent="0.25">
      <c r="A8" s="192">
        <f>25</f>
        <v>25</v>
      </c>
      <c r="B8" s="38">
        <f t="shared" ref="B8:B24" si="17">($B$25-$B$6)/19+B7</f>
        <v>7.2631578947368425</v>
      </c>
      <c r="C8" s="38">
        <f ca="1">IF(Reset=1,VF,FORECAST($B$4+Y8, OFFSET(Design!$C$16:$C$20,MATCH($B$4+Y8,Design!$B$16:$B$20,1)-1,0,2), OFFSET(Design!$B$16:$B$20,MATCH($B$4+Y8,Design!$B$16:$B$20,1)-1,0,2))+(Q8-25)*Design!$B$21/1000)</f>
        <v>0.43891711450051313</v>
      </c>
      <c r="D8" s="149">
        <f ca="1">IF(Reset=1,$D$4/(B8+$D$4),MIN(($D$4+C8+Y8*LO_DCR/1000*(1+(R8-25)*(Constants!$C$32/100)))/(B8-Y8*S8/1000+C8+$D$4),(Tsw-Min_tOFF_typ)/Tsw))</f>
        <v>0.64658847666851338</v>
      </c>
      <c r="E8" s="153">
        <f ca="1">IF(D8&gt;=(Tsw-Min_tOFF_typ)/Tsw,Tsw-Min_tOFF_typ,IF(Tsw*Efficiency!D8&gt;Constants!$C$19,Tsw*Efficiency!D8,Constants!$C$19))</f>
        <v>323.2942383342567</v>
      </c>
      <c r="F8" s="153">
        <f ca="1">IF(E8=Constants!$C$19,Tsw-Constants!$C$19,IF(Tsw*(1-Efficiency!D8)&gt;Min_tOFF_typ,Tsw*(1-Efficiency!D8),Min_tOFF_typ))</f>
        <v>176.70576166574332</v>
      </c>
      <c r="G8" s="39">
        <f ca="1">IF(Reset=1,(B8)/(L_buckboost*micro)*D8*Tsw*nano,(B8-($B$4+Y8)*(S8/1000+LO_DCR/1000*(1+(R8-A8)*(Constants!$C$32/100))))/(L_buckboost*micro)*D8*Tsw*nano)</f>
        <v>0.47866506842686329</v>
      </c>
      <c r="H8" s="150">
        <f t="shared" si="0"/>
        <v>9.8315789473684204E-5</v>
      </c>
      <c r="I8" s="45">
        <f t="shared" ca="1" si="1"/>
        <v>0.574792342421655</v>
      </c>
      <c r="J8" s="45">
        <f t="shared" ca="1" si="2"/>
        <v>0.12211491534748391</v>
      </c>
      <c r="K8" s="45">
        <f t="shared" si="3"/>
        <v>0.19663157894736841</v>
      </c>
      <c r="L8" s="45">
        <f t="shared" ca="1" si="4"/>
        <v>0.89363715250598097</v>
      </c>
      <c r="M8" s="45">
        <f t="shared" ca="1" si="5"/>
        <v>0.20806846954549915</v>
      </c>
      <c r="N8" s="45">
        <f ca="1">(($B$4+Y8)^2+G8^2/12)*(LO_DCR/1000+LO_DCR/1000*(R8-25)*(Constants!$C$32/100))</f>
        <v>6.9698269424614837E-2</v>
      </c>
      <c r="O8" s="45">
        <f t="shared" si="6"/>
        <v>0.18172069584487532</v>
      </c>
      <c r="P8" s="45">
        <f>IF($I$4="None",V_cs^2/RFB_1,VLOOKUP($I$4,Design!$A$99:$F$102,5))</f>
        <v>7.0052539404553429E-2</v>
      </c>
      <c r="Q8" s="46">
        <f t="shared" ca="1" si="7"/>
        <v>36.443765825002451</v>
      </c>
      <c r="R8" s="46">
        <f t="shared" ca="1" si="8"/>
        <v>65.213671862769147</v>
      </c>
      <c r="S8" s="46">
        <f t="shared" ca="1" si="9"/>
        <v>188.60512498825838</v>
      </c>
      <c r="T8" s="160">
        <f t="shared" ca="1" si="16"/>
        <v>28.291500629086784</v>
      </c>
      <c r="U8" s="160">
        <f t="shared" ca="1" si="10"/>
        <v>12.399999999999999</v>
      </c>
      <c r="V8" s="45">
        <f t="shared" ca="1" si="11"/>
        <v>1.4231771267255238</v>
      </c>
      <c r="W8" s="160">
        <f t="shared" ca="1" si="12"/>
        <v>4.3432574430823117</v>
      </c>
      <c r="X8" s="160">
        <f t="shared" ca="1" si="13"/>
        <v>5.766434569807835</v>
      </c>
      <c r="Y8" s="160">
        <f t="shared" ca="1" si="14"/>
        <v>0.99109019909980123</v>
      </c>
      <c r="Z8" s="152">
        <f t="shared" ca="1" si="15"/>
        <v>0.75319634524649604</v>
      </c>
      <c r="AA8" s="155" t="str">
        <f ca="1">IF(R8&gt;=TSD,"TSD",IF(OR(E8=Constants!$C$19,Efficiency!F8=Min_tOFF_typ),IF(E8=Constants!$C$19,"Pulse Skip","Dropout"),"Normal"))</f>
        <v>Normal</v>
      </c>
    </row>
    <row r="9" spans="1:27" ht="12.6" customHeight="1" x14ac:dyDescent="0.25">
      <c r="A9" s="192">
        <f>25</f>
        <v>25</v>
      </c>
      <c r="B9" s="38">
        <f t="shared" si="17"/>
        <v>7.8947368421052637</v>
      </c>
      <c r="C9" s="38">
        <f ca="1">IF(Reset=1,VF,FORECAST($B$4+Y9, OFFSET(Design!$C$16:$C$20,MATCH($B$4+Y9,Design!$B$16:$B$20,1)-1,0,2), OFFSET(Design!$B$16:$B$20,MATCH($B$4+Y9,Design!$B$16:$B$20,1)-1,0,2))+(Q9-25)*Design!$B$21/1000)</f>
        <v>0.43638498096477929</v>
      </c>
      <c r="D9" s="149">
        <f ca="1">IF(Reset=1,$D$4/(B9+$D$4),MIN(($D$4+C9+Y9*LO_DCR/1000*(1+(R9-25)*(Constants!$C$32/100)))/(B9-Y9*S9/1000+C9+$D$4),(Tsw-Min_tOFF_typ)/Tsw))</f>
        <v>0.62624825384616734</v>
      </c>
      <c r="E9" s="153">
        <f ca="1">IF(D9&gt;=(Tsw-Min_tOFF_typ)/Tsw,Tsw-Min_tOFF_typ,IF(Tsw*Efficiency!D9&gt;Constants!$C$19,Tsw*Efficiency!D9,Constants!$C$19))</f>
        <v>313.12412692308368</v>
      </c>
      <c r="F9" s="153">
        <f ca="1">IF(E9=Constants!$C$19,Tsw-Constants!$C$19,IF(Tsw*(1-Efficiency!D9)&gt;Min_tOFF_typ,Tsw*(1-Efficiency!D9),Min_tOFF_typ))</f>
        <v>186.87587307691632</v>
      </c>
      <c r="G9" s="39">
        <f ca="1">IF(Reset=1,(B9)/(L_buckboost*micro)*D9*Tsw*nano,(B9-($B$4+Y9)*(S9/1000+LO_DCR/1000*(1+(R9-A9)*(Constants!$C$32/100))))/(L_buckboost*micro)*D9*Tsw*nano)</f>
        <v>0.50652299636618792</v>
      </c>
      <c r="H9" s="150">
        <f t="shared" si="0"/>
        <v>1.0147368421052631E-4</v>
      </c>
      <c r="I9" s="45">
        <f t="shared" ca="1" si="1"/>
        <v>0.57898693609612606</v>
      </c>
      <c r="J9" s="45">
        <f t="shared" ca="1" si="2"/>
        <v>0.10612611267731561</v>
      </c>
      <c r="K9" s="45">
        <f t="shared" si="3"/>
        <v>0.20294736842105263</v>
      </c>
      <c r="L9" s="45">
        <f t="shared" ca="1" si="4"/>
        <v>0.8881618908787049</v>
      </c>
      <c r="M9" s="45">
        <f t="shared" ca="1" si="5"/>
        <v>0.20997710318587487</v>
      </c>
      <c r="N9" s="45">
        <f ca="1">(($B$4+Y9)^2+G9^2/12)*(LO_DCR/1000+LO_DCR/1000*(R9-25)*(Constants!$C$32/100))</f>
        <v>6.4297254855135447E-2</v>
      </c>
      <c r="O9" s="45">
        <f t="shared" si="6"/>
        <v>0.19358188144044322</v>
      </c>
      <c r="P9" s="45">
        <f>IF($I$4="None",V_cs^2/RFB_1,VLOOKUP($I$4,Design!$A$99:$F$102,5))</f>
        <v>7.0052539404553429E-2</v>
      </c>
      <c r="Q9" s="46">
        <f t="shared" ca="1" si="7"/>
        <v>36.548740675223115</v>
      </c>
      <c r="R9" s="46">
        <f t="shared" ca="1" si="8"/>
        <v>64.967285089541718</v>
      </c>
      <c r="S9" s="46">
        <f t="shared" ca="1" si="9"/>
        <v>188.36859368596004</v>
      </c>
      <c r="T9" s="160">
        <f t="shared" ca="1" si="16"/>
        <v>30.820679944463695</v>
      </c>
      <c r="U9" s="160">
        <f t="shared" ca="1" si="10"/>
        <v>12.399999999999999</v>
      </c>
      <c r="V9" s="45">
        <f t="shared" ca="1" si="11"/>
        <v>1.4260706697647121</v>
      </c>
      <c r="W9" s="160">
        <f t="shared" ca="1" si="12"/>
        <v>4.3432574430823117</v>
      </c>
      <c r="X9" s="160">
        <f t="shared" ca="1" si="13"/>
        <v>5.769328112847024</v>
      </c>
      <c r="Y9" s="160">
        <f t="shared" ca="1" si="14"/>
        <v>0.93715333942173029</v>
      </c>
      <c r="Z9" s="152">
        <f t="shared" ca="1" si="15"/>
        <v>0.75281858790642076</v>
      </c>
      <c r="AA9" s="155" t="str">
        <f ca="1">IF(R9&gt;=TSD,"TSD",IF(OR(E9=Constants!$C$19,Efficiency!F9=Min_tOFF_typ),IF(E9=Constants!$C$19,"Pulse Skip","Dropout"),"Normal"))</f>
        <v>Normal</v>
      </c>
    </row>
    <row r="10" spans="1:27" ht="12.6" customHeight="1" x14ac:dyDescent="0.25">
      <c r="A10" s="192">
        <f>25</f>
        <v>25</v>
      </c>
      <c r="B10" s="38">
        <f t="shared" si="17"/>
        <v>8.526315789473685</v>
      </c>
      <c r="C10" s="38">
        <f ca="1">IF(Reset=1,VF,FORECAST($B$4+Y10, OFFSET(Design!$C$16:$C$20,MATCH($B$4+Y10,Design!$B$16:$B$20,1)-1,0,2), OFFSET(Design!$B$16:$B$20,MATCH($B$4+Y10,Design!$B$16:$B$20,1)-1,0,2))+(Q10-25)*Design!$B$21/1000)</f>
        <v>0.43423880488988265</v>
      </c>
      <c r="D10" s="149">
        <f ca="1">IF(Reset=1,$D$4/(B10+$D$4),MIN(($D$4+C10+Y10*LO_DCR/1000*(1+(R10-25)*(Constants!$C$32/100)))/(B10-Y10*S10/1000+C10+$D$4),(Tsw-Min_tOFF_typ)/Tsw))</f>
        <v>0.60721299087888836</v>
      </c>
      <c r="E10" s="153">
        <f ca="1">IF(D10&gt;=(Tsw-Min_tOFF_typ)/Tsw,Tsw-Min_tOFF_typ,IF(Tsw*Efficiency!D10&gt;Constants!$C$19,Tsw*Efficiency!D10,Constants!$C$19))</f>
        <v>303.60649543944419</v>
      </c>
      <c r="F10" s="153">
        <f ca="1">IF(E10=Constants!$C$19,Tsw-Constants!$C$19,IF(Tsw*(1-Efficiency!D10)&gt;Min_tOFF_typ,Tsw*(1-Efficiency!D10),Min_tOFF_typ))</f>
        <v>196.39350456055581</v>
      </c>
      <c r="G10" s="39">
        <f ca="1">IF(Reset=1,(B10)/(L_buckboost*micro)*D10*Tsw*nano,(B10-($B$4+Y10)*(S10/1000+LO_DCR/1000*(1+(R10-A10)*(Constants!$C$32/100))))/(L_buckboost*micro)*D10*Tsw*nano)</f>
        <v>0.5325875677850932</v>
      </c>
      <c r="H10" s="150">
        <f t="shared" si="0"/>
        <v>1.0463157894736841E-4</v>
      </c>
      <c r="I10" s="45">
        <f t="shared" ca="1" si="1"/>
        <v>0.58575173053956697</v>
      </c>
      <c r="J10" s="45">
        <f t="shared" ca="1" si="2"/>
        <v>9.3671431202629121E-2</v>
      </c>
      <c r="K10" s="45">
        <f t="shared" si="3"/>
        <v>0.20926315789473685</v>
      </c>
      <c r="L10" s="45">
        <f t="shared" ca="1" si="4"/>
        <v>0.88879095121588025</v>
      </c>
      <c r="M10" s="45">
        <f t="shared" ca="1" si="5"/>
        <v>0.21183963793586891</v>
      </c>
      <c r="N10" s="45">
        <f ca="1">(($B$4+Y10)^2+G10^2/12)*(LO_DCR/1000+LO_DCR/1000*(R10-25)*(Constants!$C$32/100))</f>
        <v>5.99897860286044E-2</v>
      </c>
      <c r="O10" s="45">
        <f t="shared" si="6"/>
        <v>0.20581802548476452</v>
      </c>
      <c r="P10" s="45">
        <f>IF($I$4="None",V_cs^2/RFB_1,VLOOKUP($I$4,Design!$A$99:$F$102,5))</f>
        <v>7.0052539404553429E-2</v>
      </c>
      <c r="Q10" s="46">
        <f t="shared" ca="1" si="7"/>
        <v>36.651180086472792</v>
      </c>
      <c r="R10" s="46">
        <f t="shared" ca="1" si="8"/>
        <v>64.995592804714619</v>
      </c>
      <c r="S10" s="46">
        <f t="shared" ca="1" si="9"/>
        <v>188.39576909252602</v>
      </c>
      <c r="T10" s="160">
        <f t="shared" ca="1" si="16"/>
        <v>33.34910383588749</v>
      </c>
      <c r="U10" s="160">
        <f t="shared" ca="1" si="10"/>
        <v>12.399999999999999</v>
      </c>
      <c r="V10" s="45">
        <f t="shared" ca="1" si="11"/>
        <v>1.4364909400696717</v>
      </c>
      <c r="W10" s="160">
        <f t="shared" ca="1" si="12"/>
        <v>4.3432574430823117</v>
      </c>
      <c r="X10" s="160">
        <f t="shared" ca="1" si="13"/>
        <v>5.7797483831519836</v>
      </c>
      <c r="Y10" s="160">
        <f t="shared" ca="1" si="14"/>
        <v>0.89173696911846545</v>
      </c>
      <c r="Z10" s="152">
        <f t="shared" ca="1" si="15"/>
        <v>0.75146133623099309</v>
      </c>
      <c r="AA10" s="155" t="str">
        <f ca="1">IF(R10&gt;=TSD,"TSD",IF(OR(E10=Constants!$C$19,Efficiency!F10=Min_tOFF_typ),IF(E10=Constants!$C$19,"Pulse Skip","Dropout"),"Normal"))</f>
        <v>Normal</v>
      </c>
    </row>
    <row r="11" spans="1:27" ht="12.6" customHeight="1" x14ac:dyDescent="0.25">
      <c r="A11" s="192">
        <f>25</f>
        <v>25</v>
      </c>
      <c r="B11" s="38">
        <f t="shared" si="17"/>
        <v>9.1578947368421062</v>
      </c>
      <c r="C11" s="38">
        <f ca="1">IF(Reset=1,VF,FORECAST($B$4+Y11, OFFSET(Design!$C$16:$C$20,MATCH($B$4+Y11,Design!$B$16:$B$20,1)-1,0,2), OFFSET(Design!$B$16:$B$20,MATCH($B$4+Y11,Design!$B$16:$B$20,1)-1,0,2))+(Q11-25)*Design!$B$21/1000)</f>
        <v>0.43239364332491437</v>
      </c>
      <c r="D11" s="149">
        <f ca="1">IF(Reset=1,$D$4/(B11+$D$4),MIN(($D$4+C11+Y11*LO_DCR/1000*(1+(R11-25)*(Constants!$C$32/100)))/(B11-Y11*S11/1000+C11+$D$4),(Tsw-Min_tOFF_typ)/Tsw))</f>
        <v>0.58934679108400978</v>
      </c>
      <c r="E11" s="153">
        <f ca="1">IF(D11&gt;=(Tsw-Min_tOFF_typ)/Tsw,Tsw-Min_tOFF_typ,IF(Tsw*Efficiency!D11&gt;Constants!$C$19,Tsw*Efficiency!D11,Constants!$C$19))</f>
        <v>294.67339554200487</v>
      </c>
      <c r="F11" s="153">
        <f ca="1">IF(E11=Constants!$C$19,Tsw-Constants!$C$19,IF(Tsw*(1-Efficiency!D11)&gt;Min_tOFF_typ,Tsw*(1-Efficiency!D11),Min_tOFF_typ))</f>
        <v>205.3266044579951</v>
      </c>
      <c r="G11" s="39">
        <f ca="1">IF(Reset=1,(B11)/(L_buckboost*micro)*D11*Tsw*nano,(B11-($B$4+Y11)*(S11/1000+LO_DCR/1000*(1+(R11-A11)*(Constants!$C$32/100))))/(L_buckboost*micro)*D11*Tsw*nano)</f>
        <v>0.55704689627064807</v>
      </c>
      <c r="H11" s="150">
        <f t="shared" si="0"/>
        <v>1.0778947368421052E-4</v>
      </c>
      <c r="I11" s="45">
        <f t="shared" ca="1" si="1"/>
        <v>0.59459687130891059</v>
      </c>
      <c r="J11" s="45">
        <f t="shared" ca="1" si="2"/>
        <v>8.3747026480157222E-2</v>
      </c>
      <c r="K11" s="45">
        <f t="shared" si="3"/>
        <v>0.21557894736842106</v>
      </c>
      <c r="L11" s="45">
        <f t="shared" ca="1" si="4"/>
        <v>0.89403063463117305</v>
      </c>
      <c r="M11" s="45">
        <f t="shared" ca="1" si="5"/>
        <v>0.21364535217904262</v>
      </c>
      <c r="N11" s="45">
        <f ca="1">(($B$4+Y11)^2+G11^2/12)*(LO_DCR/1000+LO_DCR/1000*(R11-25)*(Constants!$C$32/100))</f>
        <v>5.6486440256303574E-2</v>
      </c>
      <c r="O11" s="45">
        <f t="shared" si="6"/>
        <v>0.21842912797783934</v>
      </c>
      <c r="P11" s="45">
        <f>IF($I$4="None",V_cs^2/RFB_1,VLOOKUP($I$4,Design!$A$99:$F$102,5))</f>
        <v>7.0052539404553429E-2</v>
      </c>
      <c r="Q11" s="46">
        <f t="shared" ca="1" si="7"/>
        <v>36.750494369847345</v>
      </c>
      <c r="R11" s="46">
        <f t="shared" ca="1" si="8"/>
        <v>65.231378558402781</v>
      </c>
      <c r="S11" s="46">
        <f t="shared" ca="1" si="9"/>
        <v>188.62212341606667</v>
      </c>
      <c r="T11" s="160">
        <f t="shared" ca="1" si="16"/>
        <v>35.876947653022768</v>
      </c>
      <c r="U11" s="160">
        <f t="shared" ca="1" si="10"/>
        <v>12.399999999999999</v>
      </c>
      <c r="V11" s="45">
        <f t="shared" ca="1" si="11"/>
        <v>1.4526440944489123</v>
      </c>
      <c r="W11" s="160">
        <f t="shared" ca="1" si="12"/>
        <v>4.3432574430823117</v>
      </c>
      <c r="X11" s="160">
        <f t="shared" ca="1" si="13"/>
        <v>5.7959015375312237</v>
      </c>
      <c r="Y11" s="160">
        <f t="shared" ca="1" si="14"/>
        <v>0.85294036286082564</v>
      </c>
      <c r="Z11" s="152">
        <f t="shared" ca="1" si="15"/>
        <v>0.74936701649564796</v>
      </c>
      <c r="AA11" s="155" t="str">
        <f ca="1">IF(R11&gt;=TSD,"TSD",IF(OR(E11=Constants!$C$19,Efficiency!F11=Min_tOFF_typ),IF(E11=Constants!$C$19,"Pulse Skip","Dropout"),"Normal"))</f>
        <v>Normal</v>
      </c>
    </row>
    <row r="12" spans="1:27" ht="12.6" customHeight="1" x14ac:dyDescent="0.25">
      <c r="A12" s="192">
        <f>25</f>
        <v>25</v>
      </c>
      <c r="B12" s="38">
        <f t="shared" si="17"/>
        <v>9.7894736842105274</v>
      </c>
      <c r="C12" s="38">
        <f ca="1">IF(Reset=1,VF,FORECAST($B$4+Y12, OFFSET(Design!$C$16:$C$20,MATCH($B$4+Y12,Design!$B$16:$B$20,1)-1,0,2), OFFSET(Design!$B$16:$B$20,MATCH($B$4+Y12,Design!$B$16:$B$20,1)-1,0,2))+(Q12-25)*Design!$B$21/1000)</f>
        <v>0.43078828295824334</v>
      </c>
      <c r="D12" s="149">
        <f ca="1">IF(Reset=1,$D$4/(B12+$D$4),MIN(($D$4+C12+Y12*LO_DCR/1000*(1+(R12-25)*(Constants!$C$32/100)))/(B12-Y12*S12/1000+C12+$D$4),(Tsw-Min_tOFF_typ)/Tsw))</f>
        <v>0.57253576679713847</v>
      </c>
      <c r="E12" s="153">
        <f ca="1">IF(D12&gt;=(Tsw-Min_tOFF_typ)/Tsw,Tsw-Min_tOFF_typ,IF(Tsw*Efficiency!D12&gt;Constants!$C$19,Tsw*Efficiency!D12,Constants!$C$19))</f>
        <v>286.26788339856921</v>
      </c>
      <c r="F12" s="153">
        <f ca="1">IF(E12=Constants!$C$19,Tsw-Constants!$C$19,IF(Tsw*(1-Efficiency!D12)&gt;Min_tOFF_typ,Tsw*(1-Efficiency!D12),Min_tOFF_typ))</f>
        <v>213.73211660143076</v>
      </c>
      <c r="G12" s="39">
        <f ca="1">IF(Reset=1,(B12)/(L_buckboost*micro)*D12*Tsw*nano,(B12-($B$4+Y12)*(S12/1000+LO_DCR/1000*(1+(R12-A12)*(Constants!$C$32/100))))/(L_buckboost*micro)*D12*Tsw*nano)</f>
        <v>0.58005828110911184</v>
      </c>
      <c r="H12" s="150">
        <f t="shared" si="0"/>
        <v>1.1094736842105262E-4</v>
      </c>
      <c r="I12" s="45">
        <f t="shared" ca="1" si="1"/>
        <v>0.60517275350192756</v>
      </c>
      <c r="J12" s="45">
        <f t="shared" ca="1" si="2"/>
        <v>7.5688464704946903E-2</v>
      </c>
      <c r="K12" s="45">
        <f t="shared" si="3"/>
        <v>0.22189473684210526</v>
      </c>
      <c r="L12" s="45">
        <f t="shared" ca="1" si="4"/>
        <v>0.90286690241740086</v>
      </c>
      <c r="M12" s="45">
        <f t="shared" ca="1" si="5"/>
        <v>0.21538874466051358</v>
      </c>
      <c r="N12" s="45">
        <f ca="1">(($B$4+Y12)^2+G12^2/12)*(LO_DCR/1000+LO_DCR/1000*(R12-25)*(Constants!$C$32/100))</f>
        <v>5.3591096058675555E-2</v>
      </c>
      <c r="O12" s="45">
        <f t="shared" si="6"/>
        <v>0.23141518891966759</v>
      </c>
      <c r="P12" s="45">
        <f>IF($I$4="None",V_cs^2/RFB_1,VLOOKUP($I$4,Design!$A$99:$F$102,5))</f>
        <v>7.0052539404553429E-2</v>
      </c>
      <c r="Q12" s="46">
        <f t="shared" ca="1" si="7"/>
        <v>36.846380956328247</v>
      </c>
      <c r="R12" s="46">
        <f t="shared" ca="1" si="8"/>
        <v>65.629010608783034</v>
      </c>
      <c r="S12" s="46">
        <f t="shared" ca="1" si="9"/>
        <v>189.00385018443171</v>
      </c>
      <c r="T12" s="160">
        <f t="shared" ca="1" si="16"/>
        <v>38.404333984273464</v>
      </c>
      <c r="U12" s="160">
        <f t="shared" ca="1" si="10"/>
        <v>12.399999999999999</v>
      </c>
      <c r="V12" s="45">
        <f t="shared" ca="1" si="11"/>
        <v>1.4733144714608111</v>
      </c>
      <c r="W12" s="160">
        <f t="shared" ca="1" si="12"/>
        <v>4.3432574430823117</v>
      </c>
      <c r="X12" s="160">
        <f t="shared" ca="1" si="13"/>
        <v>5.8165719145431227</v>
      </c>
      <c r="Y12" s="160">
        <f t="shared" ca="1" si="14"/>
        <v>0.81939650107882389</v>
      </c>
      <c r="Z12" s="152">
        <f t="shared" ca="1" si="15"/>
        <v>0.74670398765687118</v>
      </c>
      <c r="AA12" s="155" t="str">
        <f ca="1">IF(R12&gt;=TSD,"TSD",IF(OR(E12=Constants!$C$19,Efficiency!F12=Min_tOFF_typ),IF(E12=Constants!$C$19,"Pulse Skip","Dropout"),"Normal"))</f>
        <v>Normal</v>
      </c>
    </row>
    <row r="13" spans="1:27" ht="12.75" customHeight="1" x14ac:dyDescent="0.25">
      <c r="A13" s="192">
        <f>25</f>
        <v>25</v>
      </c>
      <c r="B13" s="38">
        <f t="shared" si="17"/>
        <v>10.421052631578949</v>
      </c>
      <c r="C13" s="38">
        <f ca="1">IF(Reset=1,VF,FORECAST($B$4+Y13, OFFSET(Design!$C$16:$C$20,MATCH($B$4+Y13,Design!$B$16:$B$20,1)-1,0,2), OFFSET(Design!$B$16:$B$20,MATCH($B$4+Y13,Design!$B$16:$B$20,1)-1,0,2))+(Q13-25)*Design!$B$21/1000)</f>
        <v>0.42937737365361234</v>
      </c>
      <c r="D13" s="149">
        <f ca="1">IF(Reset=1,$D$4/(B13+$D$4),MIN(($D$4+C13+Y13*LO_DCR/1000*(1+(R13-25)*(Constants!$C$32/100)))/(B13-Y13*S13/1000+C13+$D$4),(Tsw-Min_tOFF_typ)/Tsw))</f>
        <v>0.55668269946008153</v>
      </c>
      <c r="E13" s="153">
        <f ca="1">IF(D13&gt;=(Tsw-Min_tOFF_typ)/Tsw,Tsw-Min_tOFF_typ,IF(Tsw*Efficiency!D13&gt;Constants!$C$19,Tsw*Efficiency!D13,Constants!$C$19))</f>
        <v>278.34134973004075</v>
      </c>
      <c r="F13" s="153">
        <f ca="1">IF(E13=Constants!$C$19,Tsw-Constants!$C$19,IF(Tsw*(1-Efficiency!D13)&gt;Min_tOFF_typ,Tsw*(1-Efficiency!D13),Min_tOFF_typ))</f>
        <v>221.65865026995922</v>
      </c>
      <c r="G13" s="39">
        <f ca="1">IF(Reset=1,(B13)/(L_buckboost*micro)*D13*Tsw*nano,(B13-($B$4+Y13)*(S13/1000+LO_DCR/1000*(1+(R13-A13)*(Constants!$C$32/100))))/(L_buckboost*micro)*D13*Tsw*nano)</f>
        <v>0.60175577373916478</v>
      </c>
      <c r="H13" s="150">
        <f t="shared" si="0"/>
        <v>1.1410526315789473E-4</v>
      </c>
      <c r="I13" s="45">
        <f t="shared" ca="1" si="1"/>
        <v>0.61722258852195189</v>
      </c>
      <c r="J13" s="45">
        <f t="shared" ca="1" si="2"/>
        <v>6.9039961810472797E-2</v>
      </c>
      <c r="K13" s="45">
        <f t="shared" si="3"/>
        <v>0.22821052631578947</v>
      </c>
      <c r="L13" s="45">
        <f t="shared" ca="1" si="4"/>
        <v>0.914587181911372</v>
      </c>
      <c r="M13" s="45">
        <f t="shared" ca="1" si="5"/>
        <v>0.21706752779497435</v>
      </c>
      <c r="N13" s="45">
        <f ca="1">(($B$4+Y13)^2+G13^2/12)*(LO_DCR/1000+LO_DCR/1000*(R13-25)*(Constants!$C$32/100))</f>
        <v>5.1166217735644649E-2</v>
      </c>
      <c r="O13" s="45">
        <f t="shared" si="6"/>
        <v>0.24477620831024932</v>
      </c>
      <c r="P13" s="45">
        <f>IF($I$4="None",V_cs^2/RFB_1,VLOOKUP($I$4,Design!$A$99:$F$102,5))</f>
        <v>7.0052539404553429E-2</v>
      </c>
      <c r="Q13" s="46">
        <f t="shared" ca="1" si="7"/>
        <v>36.938714028723588</v>
      </c>
      <c r="R13" s="46">
        <f t="shared" ca="1" si="8"/>
        <v>66.15642318601175</v>
      </c>
      <c r="S13" s="46">
        <f t="shared" ca="1" si="9"/>
        <v>189.51016625857127</v>
      </c>
      <c r="T13" s="160">
        <f t="shared" ca="1" si="16"/>
        <v>40.931351308517087</v>
      </c>
      <c r="U13" s="160">
        <f t="shared" ca="1" si="10"/>
        <v>12.399999999999999</v>
      </c>
      <c r="V13" s="45">
        <f t="shared" ca="1" si="11"/>
        <v>1.4976496751567938</v>
      </c>
      <c r="W13" s="160">
        <f t="shared" ca="1" si="12"/>
        <v>4.3432574430823117</v>
      </c>
      <c r="X13" s="160">
        <f t="shared" ca="1" si="13"/>
        <v>5.8409071182391052</v>
      </c>
      <c r="Y13" s="160">
        <f t="shared" ca="1" si="14"/>
        <v>0.79009480702914225</v>
      </c>
      <c r="Z13" s="152">
        <f t="shared" ca="1" si="15"/>
        <v>0.74359296512691342</v>
      </c>
      <c r="AA13" s="155" t="str">
        <f ca="1">IF(R13&gt;=TSD,"TSD",IF(OR(E13=Constants!$C$19,Efficiency!F13=Min_tOFF_typ),IF(E13=Constants!$C$19,"Pulse Skip","Dropout"),"Normal"))</f>
        <v>Normal</v>
      </c>
    </row>
    <row r="14" spans="1:27" ht="12.75" customHeight="1" x14ac:dyDescent="0.25">
      <c r="A14" s="192">
        <f>25</f>
        <v>25</v>
      </c>
      <c r="B14" s="38">
        <f t="shared" si="17"/>
        <v>11.05263157894737</v>
      </c>
      <c r="C14" s="38">
        <f ca="1">IF(Reset=1,VF,FORECAST($B$4+Y14, OFFSET(Design!$C$16:$C$20,MATCH($B$4+Y14,Design!$B$16:$B$20,1)-1,0,2), OFFSET(Design!$B$16:$B$20,MATCH($B$4+Y14,Design!$B$16:$B$20,1)-1,0,2))+(Q14-25)*Design!$B$21/1000)</f>
        <v>0.42812653314410593</v>
      </c>
      <c r="D14" s="149">
        <f ca="1">IF(Reset=1,$D$4/(B14+$D$4),MIN(($D$4+C14+Y14*LO_DCR/1000*(1+(R14-25)*(Constants!$C$32/100)))/(B14-Y14*S14/1000+C14+$D$4),(Tsw-Min_tOFF_typ)/Tsw))</f>
        <v>0.54170346395567825</v>
      </c>
      <c r="E14" s="153">
        <f ca="1">IF(D14&gt;=(Tsw-Min_tOFF_typ)/Tsw,Tsw-Min_tOFF_typ,IF(Tsw*Efficiency!D14&gt;Constants!$C$19,Tsw*Efficiency!D14,Constants!$C$19))</f>
        <v>270.85173197783911</v>
      </c>
      <c r="F14" s="153">
        <f ca="1">IF(E14=Constants!$C$19,Tsw-Constants!$C$19,IF(Tsw*(1-Efficiency!D14)&gt;Min_tOFF_typ,Tsw*(1-Efficiency!D14),Min_tOFF_typ))</f>
        <v>229.14826802216086</v>
      </c>
      <c r="G14" s="39">
        <f ca="1">IF(Reset=1,(B14)/(L_buckboost*micro)*D14*Tsw*nano,(B14-($B$4+Y14)*(S14/1000+LO_DCR/1000*(1+(R14-A14)*(Constants!$C$32/100))))/(L_buckboost*micro)*D14*Tsw*nano)</f>
        <v>0.62225522219527529</v>
      </c>
      <c r="H14" s="150">
        <f t="shared" si="0"/>
        <v>1.1726315789473684E-4</v>
      </c>
      <c r="I14" s="45">
        <f t="shared" ca="1" si="1"/>
        <v>0.63055320021228622</v>
      </c>
      <c r="J14" s="45">
        <f t="shared" ca="1" si="2"/>
        <v>6.3479423029079121E-2</v>
      </c>
      <c r="K14" s="45">
        <f t="shared" si="3"/>
        <v>0.23452631578947369</v>
      </c>
      <c r="L14" s="45">
        <f t="shared" ca="1" si="4"/>
        <v>0.92867620218873381</v>
      </c>
      <c r="M14" s="45">
        <f t="shared" ca="1" si="5"/>
        <v>0.2186814151568176</v>
      </c>
      <c r="N14" s="45">
        <f ca="1">(($B$4+Y14)^2+G14^2/12)*(LO_DCR/1000+LO_DCR/1000*(R14-25)*(Constants!$C$32/100))</f>
        <v>4.9112564070288321E-2</v>
      </c>
      <c r="O14" s="45">
        <f t="shared" si="6"/>
        <v>0.25851218614958454</v>
      </c>
      <c r="P14" s="45">
        <f>IF($I$4="None",V_cs^2/RFB_1,VLOOKUP($I$4,Design!$A$99:$F$102,5))</f>
        <v>7.0052539404553429E-2</v>
      </c>
      <c r="Q14" s="46">
        <f t="shared" ca="1" si="7"/>
        <v>37.027477833624971</v>
      </c>
      <c r="R14" s="46">
        <f t="shared" ca="1" si="8"/>
        <v>66.790429098493021</v>
      </c>
      <c r="S14" s="46">
        <f t="shared" ca="1" si="9"/>
        <v>190.11881193455329</v>
      </c>
      <c r="T14" s="160">
        <f t="shared" ca="1" si="16"/>
        <v>43.458065194996273</v>
      </c>
      <c r="U14" s="160">
        <f t="shared" ca="1" si="10"/>
        <v>12.399999999999999</v>
      </c>
      <c r="V14" s="45">
        <f t="shared" ca="1" si="11"/>
        <v>1.5250349069699778</v>
      </c>
      <c r="W14" s="160">
        <f t="shared" ca="1" si="12"/>
        <v>4.3432574430823117</v>
      </c>
      <c r="X14" s="160">
        <f t="shared" ca="1" si="13"/>
        <v>5.8682923500522897</v>
      </c>
      <c r="Y14" s="160">
        <f t="shared" ca="1" si="14"/>
        <v>0.76427088026014078</v>
      </c>
      <c r="Z14" s="152">
        <f t="shared" ca="1" si="15"/>
        <v>0.74012288141091176</v>
      </c>
      <c r="AA14" s="155" t="str">
        <f ca="1">IF(R14&gt;=TSD,"TSD",IF(OR(E14=Constants!$C$19,Efficiency!F14=Min_tOFF_typ),IF(E14=Constants!$C$19,"Pulse Skip","Dropout"),"Normal"))</f>
        <v>Normal</v>
      </c>
    </row>
    <row r="15" spans="1:27" ht="12.6" customHeight="1" x14ac:dyDescent="0.25">
      <c r="A15" s="192">
        <f>25</f>
        <v>25</v>
      </c>
      <c r="B15" s="38">
        <f t="shared" si="17"/>
        <v>11.684210526315791</v>
      </c>
      <c r="C15" s="38">
        <f ca="1">IF(Reset=1,VF,FORECAST($B$4+Y15, OFFSET(Design!$C$16:$C$20,MATCH($B$4+Y15,Design!$B$16:$B$20,1)-1,0,2), OFFSET(Design!$B$16:$B$20,MATCH($B$4+Y15,Design!$B$16:$B$20,1)-1,0,2))+(Q15-25)*Design!$B$21/1000)</f>
        <v>0.42700917839028113</v>
      </c>
      <c r="D15" s="149">
        <f ca="1">IF(Reset=1,$D$4/(B15+$D$4),MIN(($D$4+C15+Y15*LO_DCR/1000*(1+(R15-25)*(Constants!$C$32/100)))/(B15-Y15*S15/1000+C15+$D$4),(Tsw-Min_tOFF_typ)/Tsw))</f>
        <v>0.52752450434754528</v>
      </c>
      <c r="E15" s="153">
        <f ca="1">IF(D15&gt;=(Tsw-Min_tOFF_typ)/Tsw,Tsw-Min_tOFF_typ,IF(Tsw*Efficiency!D15&gt;Constants!$C$19,Tsw*Efficiency!D15,Constants!$C$19))</f>
        <v>263.76225217377265</v>
      </c>
      <c r="F15" s="153">
        <f ca="1">IF(E15=Constants!$C$19,Tsw-Constants!$C$19,IF(Tsw*(1-Efficiency!D15)&gt;Min_tOFF_typ,Tsw*(1-Efficiency!D15),Min_tOFF_typ))</f>
        <v>236.23774782622735</v>
      </c>
      <c r="G15" s="39">
        <f ca="1">IF(Reset=1,(B15)/(L_buckboost*micro)*D15*Tsw*nano,(B15-($B$4+Y15)*(S15/1000+LO_DCR/1000*(1+(R15-A15)*(Constants!$C$32/100))))/(L_buckboost*micro)*D15*Tsw*nano)</f>
        <v>0.64165781799978083</v>
      </c>
      <c r="H15" s="150">
        <f t="shared" si="0"/>
        <v>1.2042105263157894E-4</v>
      </c>
      <c r="I15" s="45">
        <f t="shared" ca="1" si="1"/>
        <v>0.64501629577538533</v>
      </c>
      <c r="J15" s="45">
        <f t="shared" ca="1" si="2"/>
        <v>5.8773422805918983E-2</v>
      </c>
      <c r="K15" s="45">
        <f t="shared" si="3"/>
        <v>0.24084210526315789</v>
      </c>
      <c r="L15" s="45">
        <f t="shared" ca="1" si="4"/>
        <v>0.94475224489709375</v>
      </c>
      <c r="M15" s="45">
        <f t="shared" ca="1" si="5"/>
        <v>0.22023136658437015</v>
      </c>
      <c r="N15" s="45">
        <f ca="1">(($B$4+Y15)^2+G15^2/12)*(LO_DCR/1000+LO_DCR/1000*(R15-25)*(Constants!$C$32/100))</f>
        <v>4.735677684952843E-2</v>
      </c>
      <c r="O15" s="45">
        <f t="shared" si="6"/>
        <v>0.27262312243767317</v>
      </c>
      <c r="P15" s="45">
        <f>IF($I$4="None",V_cs^2/RFB_1,VLOOKUP($I$4,Design!$A$99:$F$102,5))</f>
        <v>7.0052539404553429E-2</v>
      </c>
      <c r="Q15" s="46">
        <f t="shared" ca="1" si="7"/>
        <v>37.112725162140357</v>
      </c>
      <c r="R15" s="46">
        <f t="shared" ca="1" si="8"/>
        <v>67.513851020369216</v>
      </c>
      <c r="S15" s="46">
        <f t="shared" ca="1" si="9"/>
        <v>190.81329697955445</v>
      </c>
      <c r="T15" s="160">
        <f t="shared" ca="1" si="16"/>
        <v>45.984525330404175</v>
      </c>
      <c r="U15" s="160">
        <f t="shared" ca="1" si="10"/>
        <v>12.399999999999999</v>
      </c>
      <c r="V15" s="45">
        <f t="shared" ca="1" si="11"/>
        <v>1.5550160501732191</v>
      </c>
      <c r="W15" s="160">
        <f t="shared" ca="1" si="12"/>
        <v>4.3432574430823117</v>
      </c>
      <c r="X15" s="160">
        <f t="shared" ca="1" si="13"/>
        <v>5.8982734932555303</v>
      </c>
      <c r="Y15" s="160">
        <f t="shared" ca="1" si="14"/>
        <v>0.7413351596977098</v>
      </c>
      <c r="Z15" s="152">
        <f t="shared" ca="1" si="15"/>
        <v>0.73636080931965509</v>
      </c>
      <c r="AA15" s="155" t="str">
        <f ca="1">IF(R15&gt;=TSD,"TSD",IF(OR(E15=Constants!$C$19,Efficiency!F15=Min_tOFF_typ),IF(E15=Constants!$C$19,"Pulse Skip","Dropout"),"Normal"))</f>
        <v>Normal</v>
      </c>
    </row>
    <row r="16" spans="1:27" ht="12.75" customHeight="1" x14ac:dyDescent="0.25">
      <c r="A16" s="192">
        <f>25</f>
        <v>25</v>
      </c>
      <c r="B16" s="38">
        <f t="shared" si="17"/>
        <v>12.315789473684212</v>
      </c>
      <c r="C16" s="38">
        <f ca="1">IF(Reset=1,VF,FORECAST($B$4+Y16, OFFSET(Design!$C$16:$C$20,MATCH($B$4+Y16,Design!$B$16:$B$20,1)-1,0,2), OFFSET(Design!$B$16:$B$20,MATCH($B$4+Y16,Design!$B$16:$B$20,1)-1,0,2))+(Q16-25)*Design!$B$21/1000)</f>
        <v>0.42600440620536006</v>
      </c>
      <c r="D16" s="149">
        <f ca="1">IF(Reset=1,$D$4/(B16+$D$4),MIN(($D$4+C16+Y16*LO_DCR/1000*(1+(R16-25)*(Constants!$C$32/100)))/(B16-Y16*S16/1000+C16+$D$4),(Tsw-Min_tOFF_typ)/Tsw))</f>
        <v>0.51408097533816288</v>
      </c>
      <c r="E16" s="153">
        <f ca="1">IF(D16&gt;=(Tsw-Min_tOFF_typ)/Tsw,Tsw-Min_tOFF_typ,IF(Tsw*Efficiency!D16&gt;Constants!$C$19,Tsw*Efficiency!D16,Constants!$C$19))</f>
        <v>257.04048766908141</v>
      </c>
      <c r="F16" s="153">
        <f ca="1">IF(E16=Constants!$C$19,Tsw-Constants!$C$19,IF(Tsw*(1-Efficiency!D16)&gt;Min_tOFF_typ,Tsw*(1-Efficiency!D16),Min_tOFF_typ))</f>
        <v>242.95951233091856</v>
      </c>
      <c r="G16" s="39">
        <f ca="1">IF(Reset=1,(B16)/(L_buckboost*micro)*D16*Tsw*nano,(B16-($B$4+Y16)*(S16/1000+LO_DCR/1000*(1+(R16-A16)*(Constants!$C$32/100))))/(L_buckboost*micro)*D16*Tsw*nano)</f>
        <v>0.66005269832911617</v>
      </c>
      <c r="H16" s="150">
        <f t="shared" si="0"/>
        <v>1.2357894736842104E-4</v>
      </c>
      <c r="I16" s="45">
        <f t="shared" ca="1" si="1"/>
        <v>0.66049604006236828</v>
      </c>
      <c r="J16" s="45">
        <f t="shared" ca="1" si="2"/>
        <v>5.4749093844813655E-2</v>
      </c>
      <c r="K16" s="45">
        <f t="shared" si="3"/>
        <v>0.2471578947368421</v>
      </c>
      <c r="L16" s="45">
        <f t="shared" ca="1" si="4"/>
        <v>0.96252660759139252</v>
      </c>
      <c r="M16" s="45">
        <f t="shared" ca="1" si="5"/>
        <v>0.22171910745019746</v>
      </c>
      <c r="N16" s="45">
        <f ca="1">(($B$4+Y16)^2+G16^2/12)*(LO_DCR/1000+LO_DCR/1000*(R16-25)*(Constants!$C$32/100))</f>
        <v>4.5843495665314843E-2</v>
      </c>
      <c r="O16" s="45">
        <f t="shared" si="6"/>
        <v>0.28710901717451526</v>
      </c>
      <c r="P16" s="45">
        <f>IF($I$4="None",V_cs^2/RFB_1,VLOOKUP($I$4,Design!$A$99:$F$102,5))</f>
        <v>7.0052539404553429E-2</v>
      </c>
      <c r="Q16" s="46">
        <f t="shared" ca="1" si="7"/>
        <v>37.194550909760864</v>
      </c>
      <c r="R16" s="46">
        <f t="shared" ca="1" si="8"/>
        <v>68.313697341612666</v>
      </c>
      <c r="S16" s="46">
        <f t="shared" ca="1" si="9"/>
        <v>191.58114944794815</v>
      </c>
      <c r="T16" s="160">
        <f t="shared" ca="1" si="16"/>
        <v>48.51077009175679</v>
      </c>
      <c r="U16" s="160">
        <f t="shared" ca="1" si="10"/>
        <v>12.399999999999999</v>
      </c>
      <c r="V16" s="45">
        <f t="shared" ca="1" si="11"/>
        <v>1.5872507672859735</v>
      </c>
      <c r="W16" s="160">
        <f t="shared" ca="1" si="12"/>
        <v>4.3432574430823117</v>
      </c>
      <c r="X16" s="160">
        <f t="shared" ca="1" si="13"/>
        <v>5.9305082103682851</v>
      </c>
      <c r="Y16" s="160">
        <f t="shared" ca="1" si="14"/>
        <v>0.72082523886880834</v>
      </c>
      <c r="Z16" s="152">
        <f t="shared" ca="1" si="15"/>
        <v>0.7323583897057947</v>
      </c>
      <c r="AA16" s="155" t="str">
        <f ca="1">IF(R16&gt;=TSD,"TSD",IF(OR(E16=Constants!$C$19,Efficiency!F16=Min_tOFF_typ),IF(E16=Constants!$C$19,"Pulse Skip","Dropout"),"Normal"))</f>
        <v>Normal</v>
      </c>
    </row>
    <row r="17" spans="1:27" ht="12.75" customHeight="1" x14ac:dyDescent="0.25">
      <c r="A17" s="192">
        <f>25</f>
        <v>25</v>
      </c>
      <c r="B17" s="38">
        <f t="shared" si="17"/>
        <v>12.947368421052634</v>
      </c>
      <c r="C17" s="38">
        <f ca="1">IF(Reset=1,VF,FORECAST($B$4+Y17, OFFSET(Design!$C$16:$C$20,MATCH($B$4+Y17,Design!$B$16:$B$20,1)-1,0,2), OFFSET(Design!$B$16:$B$20,MATCH($B$4+Y17,Design!$B$16:$B$20,1)-1,0,2))+(Q17-25)*Design!$B$21/1000)</f>
        <v>0.42509553568129044</v>
      </c>
      <c r="D17" s="149">
        <f ca="1">IF(Reset=1,$D$4/(B17+$D$4),MIN(($D$4+C17+Y17*LO_DCR/1000*(1+(R17-25)*(Constants!$C$32/100)))/(B17-Y17*S17/1000+C17+$D$4),(Tsw-Min_tOFF_typ)/Tsw))</f>
        <v>0.50131532724672589</v>
      </c>
      <c r="E17" s="153">
        <f ca="1">IF(D17&gt;=(Tsw-Min_tOFF_typ)/Tsw,Tsw-Min_tOFF_typ,IF(Tsw*Efficiency!D17&gt;Constants!$C$19,Tsw*Efficiency!D17,Constants!$C$19))</f>
        <v>250.65766362336294</v>
      </c>
      <c r="F17" s="153">
        <f ca="1">IF(E17=Constants!$C$19,Tsw-Constants!$C$19,IF(Tsw*(1-Efficiency!D17)&gt;Min_tOFF_typ,Tsw*(1-Efficiency!D17),Min_tOFF_typ))</f>
        <v>249.34233637663706</v>
      </c>
      <c r="G17" s="39">
        <f ca="1">IF(Reset=1,(B17)/(L_buckboost*micro)*D17*Tsw*nano,(B17-($B$4+Y17)*(S17/1000+LO_DCR/1000*(1+(R17-A17)*(Constants!$C$32/100))))/(L_buckboost*micro)*D17*Tsw*nano)</f>
        <v>0.67751892104594014</v>
      </c>
      <c r="H17" s="150">
        <f t="shared" si="0"/>
        <v>1.2673684210526317E-4</v>
      </c>
      <c r="I17" s="45">
        <f t="shared" ca="1" si="1"/>
        <v>0.67690057160657913</v>
      </c>
      <c r="J17" s="45">
        <f t="shared" ca="1" si="2"/>
        <v>5.1275984230916255E-2</v>
      </c>
      <c r="K17" s="45">
        <f t="shared" si="3"/>
        <v>0.2534736842105263</v>
      </c>
      <c r="L17" s="45">
        <f t="shared" ca="1" si="4"/>
        <v>0.981776976890127</v>
      </c>
      <c r="M17" s="45">
        <f t="shared" ca="1" si="5"/>
        <v>0.22314681743656489</v>
      </c>
      <c r="N17" s="45">
        <f ca="1">(($B$4+Y17)^2+G17^2/12)*(LO_DCR/1000+LO_DCR/1000*(R17-25)*(Constants!$C$32/100))</f>
        <v>4.45301842105792E-2</v>
      </c>
      <c r="O17" s="45">
        <f t="shared" si="6"/>
        <v>0.3019698703601108</v>
      </c>
      <c r="P17" s="45">
        <f>IF($I$4="None",V_cs^2/RFB_1,VLOOKUP($I$4,Design!$A$99:$F$102,5))</f>
        <v>7.0052539404553429E-2</v>
      </c>
      <c r="Q17" s="46">
        <f t="shared" ca="1" si="7"/>
        <v>37.273074959011069</v>
      </c>
      <c r="R17" s="46">
        <f t="shared" ca="1" si="8"/>
        <v>69.179963960055716</v>
      </c>
      <c r="S17" s="46">
        <f t="shared" ca="1" si="9"/>
        <v>192.41276540165347</v>
      </c>
      <c r="T17" s="160">
        <f t="shared" ca="1" si="16"/>
        <v>51.036829615567228</v>
      </c>
      <c r="U17" s="160">
        <f t="shared" ca="1" si="10"/>
        <v>12.399999999999999</v>
      </c>
      <c r="V17" s="45">
        <f t="shared" ca="1" si="11"/>
        <v>1.6214763883019354</v>
      </c>
      <c r="W17" s="160">
        <f t="shared" ca="1" si="12"/>
        <v>4.3432574430823117</v>
      </c>
      <c r="X17" s="160">
        <f t="shared" ca="1" si="13"/>
        <v>5.9647338313842475</v>
      </c>
      <c r="Y17" s="160">
        <f t="shared" ca="1" si="14"/>
        <v>0.70237309498393341</v>
      </c>
      <c r="Z17" s="152">
        <f t="shared" ca="1" si="15"/>
        <v>0.72815611993106544</v>
      </c>
      <c r="AA17" s="155" t="str">
        <f ca="1">IF(R17&gt;=TSD,"TSD",IF(OR(E17=Constants!$C$19,Efficiency!F17=Min_tOFF_typ),IF(E17=Constants!$C$19,"Pulse Skip","Dropout"),"Normal"))</f>
        <v>Normal</v>
      </c>
    </row>
    <row r="18" spans="1:27" ht="12.75" customHeight="1" x14ac:dyDescent="0.25">
      <c r="A18" s="192">
        <f>25</f>
        <v>25</v>
      </c>
      <c r="B18" s="38">
        <f t="shared" si="17"/>
        <v>13.578947368421055</v>
      </c>
      <c r="C18" s="38">
        <f ca="1">IF(Reset=1,VF,FORECAST($B$4+Y18, OFFSET(Design!$C$16:$C$20,MATCH($B$4+Y18,Design!$B$16:$B$20,1)-1,0,2), OFFSET(Design!$B$16:$B$20,MATCH($B$4+Y18,Design!$B$16:$B$20,1)-1,0,2))+(Q18-25)*Design!$B$21/1000)</f>
        <v>0.42426908142840969</v>
      </c>
      <c r="D18" s="149">
        <f ca="1">IF(Reset=1,$D$4/(B18+$D$4),MIN(($D$4+C18+Y18*LO_DCR/1000*(1+(R18-25)*(Constants!$C$32/100)))/(B18-Y18*S18/1000+C18+$D$4),(Tsw-Min_tOFF_typ)/Tsw))</f>
        <v>0.48917619939936824</v>
      </c>
      <c r="E18" s="153">
        <f ca="1">IF(D18&gt;=(Tsw-Min_tOFF_typ)/Tsw,Tsw-Min_tOFF_typ,IF(Tsw*Efficiency!D18&gt;Constants!$C$19,Tsw*Efficiency!D18,Constants!$C$19))</f>
        <v>244.58809969968411</v>
      </c>
      <c r="F18" s="153">
        <f ca="1">IF(E18=Constants!$C$19,Tsw-Constants!$C$19,IF(Tsw*(1-Efficiency!D18)&gt;Min_tOFF_typ,Tsw*(1-Efficiency!D18),Min_tOFF_typ))</f>
        <v>255.41190030031592</v>
      </c>
      <c r="G18" s="39">
        <f ca="1">IF(Reset=1,(B18)/(L_buckboost*micro)*D18*Tsw*nano,(B18-($B$4+Y18)*(S18/1000+LO_DCR/1000*(1+(R18-A18)*(Constants!$C$32/100))))/(L_buckboost*micro)*D18*Tsw*nano)</f>
        <v>0.6941270051383539</v>
      </c>
      <c r="H18" s="150">
        <f t="shared" si="0"/>
        <v>1.2989473684210526E-4</v>
      </c>
      <c r="I18" s="45">
        <f t="shared" ca="1" si="1"/>
        <v>0.69415606517846573</v>
      </c>
      <c r="J18" s="45">
        <f t="shared" ca="1" si="2"/>
        <v>4.8254009401644045E-2</v>
      </c>
      <c r="K18" s="45">
        <f t="shared" si="3"/>
        <v>0.25978947368421051</v>
      </c>
      <c r="L18" s="45">
        <f t="shared" ca="1" si="4"/>
        <v>1.0023294430011624</v>
      </c>
      <c r="M18" s="45">
        <f t="shared" ca="1" si="5"/>
        <v>0.22451692682347077</v>
      </c>
      <c r="N18" s="45">
        <f ca="1">(($B$4+Y18)^2+G18^2/12)*(LO_DCR/1000+LO_DCR/1000*(R18-25)*(Constants!$C$32/100))</f>
        <v>4.3383640041891727E-2</v>
      </c>
      <c r="O18" s="45">
        <f t="shared" si="6"/>
        <v>0.31720568199445986</v>
      </c>
      <c r="P18" s="45">
        <f>IF($I$4="None",V_cs^2/RFB_1,VLOOKUP($I$4,Design!$A$99:$F$102,5))</f>
        <v>7.0052539404553429E-2</v>
      </c>
      <c r="Q18" s="46">
        <f t="shared" ca="1" si="7"/>
        <v>37.348430975290896</v>
      </c>
      <c r="R18" s="46">
        <f t="shared" ca="1" si="8"/>
        <v>70.104824935052307</v>
      </c>
      <c r="S18" s="46">
        <f t="shared" ca="1" si="9"/>
        <v>193.30063193765022</v>
      </c>
      <c r="T18" s="160">
        <f t="shared" ca="1" si="16"/>
        <v>53.562727913183807</v>
      </c>
      <c r="U18" s="160">
        <f t="shared" ca="1" si="10"/>
        <v>12.399999999999999</v>
      </c>
      <c r="V18" s="45">
        <f t="shared" ca="1" si="11"/>
        <v>1.6574882312655381</v>
      </c>
      <c r="W18" s="160">
        <f t="shared" ca="1" si="12"/>
        <v>4.3432574430823117</v>
      </c>
      <c r="X18" s="160">
        <f t="shared" ca="1" si="13"/>
        <v>6.0007456743478498</v>
      </c>
      <c r="Y18" s="160">
        <f t="shared" ca="1" si="14"/>
        <v>0.68568202305946724</v>
      </c>
      <c r="Z18" s="152">
        <f t="shared" ca="1" si="15"/>
        <v>0.7237862890355421</v>
      </c>
      <c r="AA18" s="155" t="str">
        <f ca="1">IF(R18&gt;=TSD,"TSD",IF(OR(E18=Constants!$C$19,Efficiency!F18=Min_tOFF_typ),IF(E18=Constants!$C$19,"Pulse Skip","Dropout"),"Normal"))</f>
        <v>Normal</v>
      </c>
    </row>
    <row r="19" spans="1:27" ht="12.75" customHeight="1" x14ac:dyDescent="0.25">
      <c r="A19" s="192">
        <f>25</f>
        <v>25</v>
      </c>
      <c r="B19" s="38">
        <f t="shared" si="17"/>
        <v>14.210526315789476</v>
      </c>
      <c r="C19" s="38">
        <f ca="1">IF(Reset=1,VF,FORECAST($B$4+Y19, OFFSET(Design!$C$16:$C$20,MATCH($B$4+Y19,Design!$B$16:$B$20,1)-1,0,2), OFFSET(Design!$B$16:$B$20,MATCH($B$4+Y19,Design!$B$16:$B$20,1)-1,0,2))+(Q19-25)*Design!$B$21/1000)</f>
        <v>0.4235140150024469</v>
      </c>
      <c r="D19" s="149">
        <f ca="1">IF(Reset=1,$D$4/(B19+$D$4),MIN(($D$4+C19+Y19*LO_DCR/1000*(1+(R19-25)*(Constants!$C$32/100)))/(B19-Y19*S19/1000+C19+$D$4),(Tsw-Min_tOFF_typ)/Tsw))</f>
        <v>0.47761753584078642</v>
      </c>
      <c r="E19" s="153">
        <f ca="1">IF(D19&gt;=(Tsw-Min_tOFF_typ)/Tsw,Tsw-Min_tOFF_typ,IF(Tsw*Efficiency!D19&gt;Constants!$C$19,Tsw*Efficiency!D19,Constants!$C$19))</f>
        <v>238.80876792039322</v>
      </c>
      <c r="F19" s="153">
        <f ca="1">IF(E19=Constants!$C$19,Tsw-Constants!$C$19,IF(Tsw*(1-Efficiency!D19)&gt;Min_tOFF_typ,Tsw*(1-Efficiency!D19),Min_tOFF_typ))</f>
        <v>261.19123207960683</v>
      </c>
      <c r="G19" s="39">
        <f ca="1">IF(Reset=1,(B19)/(L_buckboost*micro)*D19*Tsw*nano,(B19-($B$4+Y19)*(S19/1000+LO_DCR/1000*(1+(R19-A19)*(Constants!$C$32/100))))/(L_buckboost*micro)*D19*Tsw*nano)</f>
        <v>0.70994015888339912</v>
      </c>
      <c r="H19" s="150">
        <f t="shared" si="0"/>
        <v>1.3305263157894736E-4</v>
      </c>
      <c r="I19" s="45">
        <f t="shared" ca="1" si="1"/>
        <v>0.71220248623364424</v>
      </c>
      <c r="J19" s="45">
        <f t="shared" ca="1" si="2"/>
        <v>4.5605250120554976E-2</v>
      </c>
      <c r="K19" s="45">
        <f t="shared" si="3"/>
        <v>0.26610526315789473</v>
      </c>
      <c r="L19" s="45">
        <f t="shared" ca="1" si="4"/>
        <v>1.0240460521436727</v>
      </c>
      <c r="M19" s="45">
        <f t="shared" ca="1" si="5"/>
        <v>0.2258319824046891</v>
      </c>
      <c r="N19" s="45">
        <f ca="1">(($B$4+Y19)^2+G19^2/12)*(LO_DCR/1000+LO_DCR/1000*(R19-25)*(Constants!$C$32/100))</f>
        <v>4.2377582305337558E-2</v>
      </c>
      <c r="O19" s="45">
        <f t="shared" si="6"/>
        <v>0.33281645207756239</v>
      </c>
      <c r="P19" s="45">
        <f>IF($I$4="None",V_cs^2/RFB_1,VLOOKUP($I$4,Design!$A$99:$F$102,5))</f>
        <v>7.0052539404553429E-2</v>
      </c>
      <c r="Q19" s="46">
        <f t="shared" ca="1" si="7"/>
        <v>37.420759032257898</v>
      </c>
      <c r="R19" s="46">
        <f t="shared" ca="1" si="8"/>
        <v>71.082072346465281</v>
      </c>
      <c r="S19" s="46">
        <f t="shared" ca="1" si="9"/>
        <v>194.23878945260668</v>
      </c>
      <c r="T19" s="160">
        <f t="shared" ca="1" si="16"/>
        <v>56.088484362757775</v>
      </c>
      <c r="U19" s="160">
        <f t="shared" ca="1" si="10"/>
        <v>12.399999999999999</v>
      </c>
      <c r="V19" s="45">
        <f t="shared" ca="1" si="11"/>
        <v>1.6951246083358154</v>
      </c>
      <c r="W19" s="160">
        <f t="shared" ca="1" si="12"/>
        <v>4.3432574430823117</v>
      </c>
      <c r="X19" s="160">
        <f t="shared" ca="1" si="13"/>
        <v>6.038382051418127</v>
      </c>
      <c r="Y19" s="160">
        <f t="shared" ca="1" si="14"/>
        <v>0.67051005930400598</v>
      </c>
      <c r="Z19" s="152">
        <f t="shared" ca="1" si="15"/>
        <v>0.71927503197024245</v>
      </c>
      <c r="AA19" s="155" t="str">
        <f ca="1">IF(R19&gt;=TSD,"TSD",IF(OR(E19=Constants!$C$19,Efficiency!F19=Min_tOFF_typ),IF(E19=Constants!$C$19,"Pulse Skip","Dropout"),"Normal"))</f>
        <v>Normal</v>
      </c>
    </row>
    <row r="20" spans="1:27" ht="12.75" customHeight="1" x14ac:dyDescent="0.25">
      <c r="A20" s="192">
        <f>25</f>
        <v>25</v>
      </c>
      <c r="B20" s="38">
        <f t="shared" si="17"/>
        <v>14.842105263157897</v>
      </c>
      <c r="C20" s="38">
        <f ca="1">IF(Reset=1,VF,FORECAST($B$4+Y20, OFFSET(Design!$C$16:$C$20,MATCH($B$4+Y20,Design!$B$16:$B$20,1)-1,0,2), OFFSET(Design!$B$16:$B$20,MATCH($B$4+Y20,Design!$B$16:$B$20,1)-1,0,2))+(Q20-25)*Design!$B$21/1000)</f>
        <v>0.42282122374445696</v>
      </c>
      <c r="D20" s="149">
        <f ca="1">IF(Reset=1,$D$4/(B20+$D$4),MIN(($D$4+C20+Y20*LO_DCR/1000*(1+(R20-25)*(Constants!$C$32/100)))/(B20-Y20*S20/1000+C20+$D$4),(Tsw-Min_tOFF_typ)/Tsw))</f>
        <v>0.46659786622283522</v>
      </c>
      <c r="E20" s="153">
        <f ca="1">IF(D20&gt;=(Tsw-Min_tOFF_typ)/Tsw,Tsw-Min_tOFF_typ,IF(Tsw*Efficiency!D20&gt;Constants!$C$19,Tsw*Efficiency!D20,Constants!$C$19))</f>
        <v>233.29893311141763</v>
      </c>
      <c r="F20" s="153">
        <f ca="1">IF(E20=Constants!$C$19,Tsw-Constants!$C$19,IF(Tsw*(1-Efficiency!D20)&gt;Min_tOFF_typ,Tsw*(1-Efficiency!D20),Min_tOFF_typ))</f>
        <v>266.70106688858243</v>
      </c>
      <c r="G20" s="39">
        <f ca="1">IF(Reset=1,(B20)/(L_buckboost*micro)*D20*Tsw*nano,(B20-($B$4+Y20)*(S20/1000+LO_DCR/1000*(1+(R20-A20)*(Constants!$C$32/100))))/(L_buckboost*micro)*D20*Tsw*nano)</f>
        <v>0.72501527667932308</v>
      </c>
      <c r="H20" s="150">
        <f t="shared" si="0"/>
        <v>1.3621052631578948E-4</v>
      </c>
      <c r="I20" s="45">
        <f t="shared" ca="1" si="1"/>
        <v>0.7309904972086948</v>
      </c>
      <c r="J20" s="45">
        <f t="shared" ca="1" si="2"/>
        <v>4.3268245146624237E-2</v>
      </c>
      <c r="K20" s="45">
        <f t="shared" si="3"/>
        <v>0.27242105263157895</v>
      </c>
      <c r="L20" s="45">
        <f t="shared" ca="1" si="4"/>
        <v>1.0468160055132136</v>
      </c>
      <c r="M20" s="45">
        <f t="shared" ca="1" si="5"/>
        <v>0.22709455926305516</v>
      </c>
      <c r="N20" s="45">
        <f ca="1">(($B$4+Y20)^2+G20^2/12)*(LO_DCR/1000+LO_DCR/1000*(R20-25)*(Constants!$C$32/100))</f>
        <v>4.1490948562051058E-2</v>
      </c>
      <c r="O20" s="45">
        <f t="shared" si="6"/>
        <v>0.34880218060941831</v>
      </c>
      <c r="P20" s="45">
        <f>IF($I$4="None",V_cs^2/RFB_1,VLOOKUP($I$4,Design!$A$99:$F$102,5))</f>
        <v>7.0052539404553429E-2</v>
      </c>
      <c r="Q20" s="46">
        <f t="shared" ca="1" si="7"/>
        <v>37.490200759468031</v>
      </c>
      <c r="R20" s="46">
        <f t="shared" ca="1" si="8"/>
        <v>72.106720248094604</v>
      </c>
      <c r="S20" s="46">
        <f t="shared" ca="1" si="9"/>
        <v>195.22245143817082</v>
      </c>
      <c r="T20" s="160">
        <f t="shared" ca="1" si="16"/>
        <v>58.614114783089363</v>
      </c>
      <c r="U20" s="160">
        <f t="shared" ca="1" si="10"/>
        <v>12.399999999999999</v>
      </c>
      <c r="V20" s="45">
        <f t="shared" ca="1" si="11"/>
        <v>1.7342562333522917</v>
      </c>
      <c r="W20" s="160">
        <f t="shared" ca="1" si="12"/>
        <v>4.3432574430823117</v>
      </c>
      <c r="X20" s="160">
        <f t="shared" ca="1" si="13"/>
        <v>6.0775136764346032</v>
      </c>
      <c r="Y20" s="160">
        <f t="shared" ca="1" si="14"/>
        <v>0.65665784750889955</v>
      </c>
      <c r="Z20" s="152">
        <f t="shared" ca="1" si="15"/>
        <v>0.71464379585408033</v>
      </c>
      <c r="AA20" s="155" t="str">
        <f ca="1">IF(R20&gt;=TSD,"TSD",IF(OR(E20=Constants!$C$19,Efficiency!F20=Min_tOFF_typ),IF(E20=Constants!$C$19,"Pulse Skip","Dropout"),"Normal"))</f>
        <v>Normal</v>
      </c>
    </row>
    <row r="21" spans="1:27" ht="12.75" customHeight="1" x14ac:dyDescent="0.25">
      <c r="A21" s="192">
        <f>25</f>
        <v>25</v>
      </c>
      <c r="B21" s="38">
        <f t="shared" si="17"/>
        <v>15.473684210526319</v>
      </c>
      <c r="C21" s="38">
        <f ca="1">IF(Reset=1,VF,FORECAST($B$4+Y21, OFFSET(Design!$C$16:$C$20,MATCH($B$4+Y21,Design!$B$16:$B$20,1)-1,0,2), OFFSET(Design!$B$16:$B$20,MATCH($B$4+Y21,Design!$B$16:$B$20,1)-1,0,2))+(Q21-25)*Design!$B$21/1000)</f>
        <v>0.42204259614053607</v>
      </c>
      <c r="D21" s="149">
        <f ca="1">IF(Reset=1,$D$4/(B21+$D$4),MIN(($D$4+C21+Y21*LO_DCR/1000*(1+(R21-25)*(Constants!$C$32/100)))/(B21-Y21*S21/1000+C21+$D$4),(Tsw-Min_tOFF_typ)/Tsw))</f>
        <v>0.45607698202965286</v>
      </c>
      <c r="E21" s="153">
        <f ca="1">IF(D21&gt;=(Tsw-Min_tOFF_typ)/Tsw,Tsw-Min_tOFF_typ,IF(Tsw*Efficiency!D21&gt;Constants!$C$19,Tsw*Efficiency!D21,Constants!$C$19))</f>
        <v>228.03849101482643</v>
      </c>
      <c r="F21" s="153">
        <f ca="1">IF(E21=Constants!$C$19,Tsw-Constants!$C$19,IF(Tsw*(1-Efficiency!D21)&gt;Min_tOFF_typ,Tsw*(1-Efficiency!D21),Min_tOFF_typ))</f>
        <v>271.96150898517357</v>
      </c>
      <c r="G21" s="39">
        <f ca="1">IF(Reset=1,(B21)/(L_buckboost*micro)*D21*Tsw*nano,(B21-($B$4+Y21)*(S21/1000+LO_DCR/1000*(1+(R21-A21)*(Constants!$C$32/100))))/(L_buckboost*micro)*D21*Tsw*nano)</f>
        <v>0.73939938082106182</v>
      </c>
      <c r="H21" s="150">
        <f t="shared" si="0"/>
        <v>1.3936842105263157E-4</v>
      </c>
      <c r="I21" s="45">
        <f t="shared" ca="1" si="1"/>
        <v>0.75047539755964943</v>
      </c>
      <c r="J21" s="45">
        <f t="shared" ca="1" si="2"/>
        <v>4.1193233701237376E-2</v>
      </c>
      <c r="K21" s="45">
        <f t="shared" si="3"/>
        <v>0.27873684210526317</v>
      </c>
      <c r="L21" s="45">
        <f t="shared" ca="1" si="4"/>
        <v>1.0705448417872026</v>
      </c>
      <c r="M21" s="45">
        <f t="shared" ca="1" si="5"/>
        <v>0.22823162127682553</v>
      </c>
      <c r="N21" s="45">
        <f ca="1">(($B$4+Y21)^2+G21^2/12)*(LO_DCR/1000+LO_DCR/1000*(R21-25)*(Constants!$C$32/100))</f>
        <v>4.0706367898235778E-2</v>
      </c>
      <c r="O21" s="45">
        <f t="shared" si="6"/>
        <v>0.36516286759002775</v>
      </c>
      <c r="P21" s="45">
        <f>IF($I$4="None",V_cs^2/RFB_1,VLOOKUP($I$4,Design!$A$99:$F$102,5))</f>
        <v>7.0052539404553429E-2</v>
      </c>
      <c r="Q21" s="46">
        <f t="shared" ca="1" si="7"/>
        <v>37.552739170225408</v>
      </c>
      <c r="R21" s="46">
        <f t="shared" ca="1" si="8"/>
        <v>73.174517880424105</v>
      </c>
      <c r="S21" s="46">
        <f t="shared" ca="1" si="9"/>
        <v>196.24753716520715</v>
      </c>
      <c r="T21" s="160">
        <f t="shared" ca="1" si="16"/>
        <v>61.139773003001238</v>
      </c>
      <c r="U21" s="160">
        <f t="shared" ca="1" si="10"/>
        <v>12.399999999999999</v>
      </c>
      <c r="V21" s="45">
        <f t="shared" ca="1" si="11"/>
        <v>1.7746982379568452</v>
      </c>
      <c r="W21" s="160">
        <f t="shared" ca="1" si="12"/>
        <v>4.3432574430823117</v>
      </c>
      <c r="X21" s="160">
        <f t="shared" ca="1" si="13"/>
        <v>6.1179556810391569</v>
      </c>
      <c r="Y21" s="160">
        <f t="shared" ca="1" si="14"/>
        <v>0.6439563788452547</v>
      </c>
      <c r="Z21" s="152">
        <f t="shared" ca="1" si="15"/>
        <v>0.70991972964808947</v>
      </c>
      <c r="AA21" s="155" t="str">
        <f ca="1">IF(R21&gt;=TSD,"TSD",IF(OR(E21=Constants!$C$19,Efficiency!F21=Min_tOFF_typ),IF(E21=Constants!$C$19,"Pulse Skip","Dropout"),"Normal"))</f>
        <v>Normal</v>
      </c>
    </row>
    <row r="22" spans="1:27" ht="12.75" customHeight="1" x14ac:dyDescent="0.25">
      <c r="A22" s="192">
        <f>25</f>
        <v>25</v>
      </c>
      <c r="B22" s="38">
        <f t="shared" si="17"/>
        <v>16.10526315789474</v>
      </c>
      <c r="C22" s="38">
        <f ca="1">IF(Reset=1,VF,FORECAST($B$4+Y22, OFFSET(Design!$C$16:$C$20,MATCH($B$4+Y22,Design!$B$16:$B$20,1)-1,0,2), OFFSET(Design!$B$16:$B$20,MATCH($B$4+Y22,Design!$B$16:$B$20,1)-1,0,2))+(Q22-25)*Design!$B$21/1000)</f>
        <v>0.42116873715826381</v>
      </c>
      <c r="D22" s="149">
        <f ca="1">IF(Reset=1,$D$4/(B22+$D$4),MIN(($D$4+C22+Y22*LO_DCR/1000*(1+(R22-25)*(Constants!$C$32/100)))/(B22-Y22*S22/1000+C22+$D$4),(Tsw-Min_tOFF_typ)/Tsw))</f>
        <v>0.44602087949574698</v>
      </c>
      <c r="E22" s="153">
        <f ca="1">IF(D22&gt;=(Tsw-Min_tOFF_typ)/Tsw,Tsw-Min_tOFF_typ,IF(Tsw*Efficiency!D22&gt;Constants!$C$19,Tsw*Efficiency!D22,Constants!$C$19))</f>
        <v>223.01043974787348</v>
      </c>
      <c r="F22" s="153">
        <f ca="1">IF(E22=Constants!$C$19,Tsw-Constants!$C$19,IF(Tsw*(1-Efficiency!D22)&gt;Min_tOFF_typ,Tsw*(1-Efficiency!D22),Min_tOFF_typ))</f>
        <v>276.98956025212652</v>
      </c>
      <c r="G22" s="39">
        <f ca="1">IF(Reset=1,(B22)/(L_buckboost*micro)*D22*Tsw*nano,(B22-($B$4+Y22)*(S22/1000+LO_DCR/1000*(1+(R22-A22)*(Constants!$C$32/100))))/(L_buckboost*micro)*D22*Tsw*nano)</f>
        <v>0.75313846755402047</v>
      </c>
      <c r="H22" s="150">
        <f t="shared" si="0"/>
        <v>1.425263157894737E-4</v>
      </c>
      <c r="I22" s="45">
        <f t="shared" ca="1" si="1"/>
        <v>0.77062280950956596</v>
      </c>
      <c r="J22" s="45">
        <f t="shared" ca="1" si="2"/>
        <v>3.9340737216118062E-2</v>
      </c>
      <c r="K22" s="45">
        <f t="shared" si="3"/>
        <v>0.28505263157894739</v>
      </c>
      <c r="L22" s="45">
        <f t="shared" ca="1" si="4"/>
        <v>1.095158704620421</v>
      </c>
      <c r="M22" s="45">
        <f t="shared" ca="1" si="5"/>
        <v>0.22924253021123844</v>
      </c>
      <c r="N22" s="45">
        <f ca="1">(($B$4+Y22)^2+G22^2/12)*(LO_DCR/1000+LO_DCR/1000*(R22-25)*(Constants!$C$32/100))</f>
        <v>4.0009895163065932E-2</v>
      </c>
      <c r="O22" s="45">
        <f t="shared" si="6"/>
        <v>0.38189851301939065</v>
      </c>
      <c r="P22" s="45">
        <f>IF($I$4="None",V_cs^2/RFB_1,VLOOKUP($I$4,Design!$A$99:$F$102,5))</f>
        <v>7.0052539404553429E-2</v>
      </c>
      <c r="Q22" s="46">
        <f t="shared" ca="1" si="7"/>
        <v>37.608339161618112</v>
      </c>
      <c r="R22" s="46">
        <f t="shared" ca="1" si="8"/>
        <v>74.282141707918953</v>
      </c>
      <c r="S22" s="46">
        <f t="shared" ca="1" si="9"/>
        <v>197.31085603960219</v>
      </c>
      <c r="T22" s="160">
        <f t="shared" ca="1" si="16"/>
        <v>63.665472887710244</v>
      </c>
      <c r="U22" s="160">
        <f t="shared" ca="1" si="10"/>
        <v>12.399999999999999</v>
      </c>
      <c r="V22" s="45">
        <f t="shared" ca="1" si="11"/>
        <v>1.8163621824186693</v>
      </c>
      <c r="W22" s="160">
        <f t="shared" ca="1" si="12"/>
        <v>4.3432574430823117</v>
      </c>
      <c r="X22" s="160">
        <f t="shared" ca="1" si="13"/>
        <v>6.159619625500981</v>
      </c>
      <c r="Y22" s="160">
        <f t="shared" ca="1" si="14"/>
        <v>0.63226696468983268</v>
      </c>
      <c r="Z22" s="152">
        <f t="shared" ca="1" si="15"/>
        <v>0.70511780063514251</v>
      </c>
      <c r="AA22" s="155" t="str">
        <f ca="1">IF(R22&gt;=TSD,"TSD",IF(OR(E22=Constants!$C$19,Efficiency!F22=Min_tOFF_typ),IF(E22=Constants!$C$19,"Pulse Skip","Dropout"),"Normal"))</f>
        <v>Normal</v>
      </c>
    </row>
    <row r="23" spans="1:27" ht="12.75" customHeight="1" x14ac:dyDescent="0.25">
      <c r="A23" s="192">
        <f>25</f>
        <v>25</v>
      </c>
      <c r="B23" s="38">
        <f t="shared" si="17"/>
        <v>16.736842105263161</v>
      </c>
      <c r="C23" s="38">
        <f ca="1">IF(Reset=1,VF,FORECAST($B$4+Y23, OFFSET(Design!$C$16:$C$20,MATCH($B$4+Y23,Design!$B$16:$B$20,1)-1,0,2), OFFSET(Design!$B$16:$B$20,MATCH($B$4+Y23,Design!$B$16:$B$20,1)-1,0,2))+(Q23-25)*Design!$B$21/1000)</f>
        <v>0.42035969462736422</v>
      </c>
      <c r="D23" s="149">
        <f ca="1">IF(Reset=1,$D$4/(B23+$D$4),MIN(($D$4+C23+Y23*LO_DCR/1000*(1+(R23-25)*(Constants!$C$32/100)))/(B23-Y23*S23/1000+C23+$D$4),(Tsw-Min_tOFF_typ)/Tsw))</f>
        <v>0.43640188830833992</v>
      </c>
      <c r="E23" s="153">
        <f ca="1">IF(D23&gt;=(Tsw-Min_tOFF_typ)/Tsw,Tsw-Min_tOFF_typ,IF(Tsw*Efficiency!D23&gt;Constants!$C$19,Tsw*Efficiency!D23,Constants!$C$19))</f>
        <v>218.20094415416997</v>
      </c>
      <c r="F23" s="153">
        <f ca="1">IF(E23=Constants!$C$19,Tsw-Constants!$C$19,IF(Tsw*(1-Efficiency!D23)&gt;Min_tOFF_typ,Tsw*(1-Efficiency!D23),Min_tOFF_typ))</f>
        <v>281.79905584583003</v>
      </c>
      <c r="G23" s="39">
        <f ca="1">IF(Reset=1,(B23)/(L_buckboost*micro)*D23*Tsw*nano,(B23-($B$4+Y23)*(S23/1000+LO_DCR/1000*(1+(R23-A23)*(Constants!$C$32/100))))/(L_buckboost*micro)*D23*Tsw*nano)</f>
        <v>0.76627995898834445</v>
      </c>
      <c r="H23" s="150">
        <f t="shared" si="0"/>
        <v>1.4568421052631579E-4</v>
      </c>
      <c r="I23" s="45">
        <f t="shared" ca="1" si="1"/>
        <v>0.79140825887725341</v>
      </c>
      <c r="J23" s="45">
        <f t="shared" ca="1" si="2"/>
        <v>3.7679368829079851E-2</v>
      </c>
      <c r="K23" s="45">
        <f t="shared" si="3"/>
        <v>0.29136842105263161</v>
      </c>
      <c r="L23" s="45">
        <f t="shared" ca="1" si="4"/>
        <v>1.1206017329694911</v>
      </c>
      <c r="M23" s="45">
        <f t="shared" ca="1" si="5"/>
        <v>0.23021843248708571</v>
      </c>
      <c r="N23" s="45">
        <f ca="1">(($B$4+Y23)^2+G23^2/12)*(LO_DCR/1000+LO_DCR/1000*(R23-25)*(Constants!$C$32/100))</f>
        <v>3.9390343452798147E-2</v>
      </c>
      <c r="O23" s="45">
        <f t="shared" si="6"/>
        <v>0.39900911689750701</v>
      </c>
      <c r="P23" s="45">
        <f>IF($I$4="None",V_cs^2/RFB_1,VLOOKUP($I$4,Design!$A$99:$F$102,5))</f>
        <v>7.0052539404553429E-2</v>
      </c>
      <c r="Q23" s="46">
        <f t="shared" ca="1" si="7"/>
        <v>37.662013786789714</v>
      </c>
      <c r="R23" s="46">
        <f t="shared" ca="1" si="8"/>
        <v>75.4270779836271</v>
      </c>
      <c r="S23" s="46">
        <f t="shared" ca="1" si="9"/>
        <v>198.409994864282</v>
      </c>
      <c r="T23" s="160">
        <f t="shared" ca="1" si="16"/>
        <v>66.191057770398288</v>
      </c>
      <c r="U23" s="160">
        <f t="shared" ca="1" si="10"/>
        <v>12.399999999999999</v>
      </c>
      <c r="V23" s="45">
        <f t="shared" ca="1" si="11"/>
        <v>1.8592721652114355</v>
      </c>
      <c r="W23" s="160">
        <f t="shared" ca="1" si="12"/>
        <v>4.3432574430823117</v>
      </c>
      <c r="X23" s="160">
        <f t="shared" ca="1" si="13"/>
        <v>6.2025296082937471</v>
      </c>
      <c r="Y23" s="160">
        <f t="shared" ca="1" si="14"/>
        <v>0.62147599460800362</v>
      </c>
      <c r="Z23" s="152">
        <f t="shared" ca="1" si="15"/>
        <v>0.7002396953131349</v>
      </c>
      <c r="AA23" s="155" t="str">
        <f ca="1">IF(R23&gt;=TSD,"TSD",IF(OR(E23=Constants!$C$19,Efficiency!F23=Min_tOFF_typ),IF(E23=Constants!$C$19,"Pulse Skip","Dropout"),"Normal"))</f>
        <v>Normal</v>
      </c>
    </row>
    <row r="24" spans="1:27" ht="12.75" customHeight="1" x14ac:dyDescent="0.25">
      <c r="A24" s="192">
        <f>25</f>
        <v>25</v>
      </c>
      <c r="B24" s="38">
        <f t="shared" si="17"/>
        <v>17.368421052631582</v>
      </c>
      <c r="C24" s="38">
        <f ca="1">IF(Reset=1,VF,FORECAST($B$4+Y24, OFFSET(Design!$C$16:$C$20,MATCH($B$4+Y24,Design!$B$16:$B$20,1)-1,0,2), OFFSET(Design!$B$16:$B$20,MATCH($B$4+Y24,Design!$B$16:$B$20,1)-1,0,2))+(Q24-25)*Design!$B$21/1000)</f>
        <v>0.41960839139387235</v>
      </c>
      <c r="D24" s="149">
        <f ca="1">IF(Reset=1,$D$4/(B24+$D$4),MIN(($D$4+C24+Y24*LO_DCR/1000*(1+(R24-25)*(Constants!$C$32/100)))/(B24-Y24*S24/1000+C24+$D$4),(Tsw-Min_tOFF_typ)/Tsw))</f>
        <v>0.4271917851699355</v>
      </c>
      <c r="E24" s="153">
        <f ca="1">IF(D24&gt;=(Tsw-Min_tOFF_typ)/Tsw,Tsw-Min_tOFF_typ,IF(Tsw*Efficiency!D24&gt;Constants!$C$19,Tsw*Efficiency!D24,Constants!$C$19))</f>
        <v>213.59589258496774</v>
      </c>
      <c r="F24" s="153">
        <f ca="1">IF(E24=Constants!$C$19,Tsw-Constants!$C$19,IF(Tsw*(1-Efficiency!D24)&gt;Min_tOFF_typ,Tsw*(1-Efficiency!D24),Min_tOFF_typ))</f>
        <v>286.40410741503223</v>
      </c>
      <c r="G24" s="39">
        <f ca="1">IF(Reset=1,(B24)/(L_buckboost*micro)*D24*Tsw*nano,(B24-($B$4+Y24)*(S24/1000+LO_DCR/1000*(1+(R24-A24)*(Constants!$C$32/100))))/(L_buckboost*micro)*D24*Tsw*nano)</f>
        <v>0.77886248957185267</v>
      </c>
      <c r="H24" s="150">
        <f t="shared" si="0"/>
        <v>1.4884210526315791E-4</v>
      </c>
      <c r="I24" s="45">
        <f t="shared" ca="1" si="1"/>
        <v>0.8128071371577672</v>
      </c>
      <c r="J24" s="45">
        <f t="shared" ca="1" si="2"/>
        <v>3.6182605930331173E-2</v>
      </c>
      <c r="K24" s="45">
        <f t="shared" si="3"/>
        <v>0.29768421052631583</v>
      </c>
      <c r="L24" s="45">
        <f t="shared" ca="1" si="4"/>
        <v>1.1468227957196773</v>
      </c>
      <c r="M24" s="45">
        <f t="shared" ca="1" si="5"/>
        <v>0.2311606042017203</v>
      </c>
      <c r="N24" s="45">
        <f ca="1">(($B$4+Y24)^2+G24^2/12)*(LO_DCR/1000+LO_DCR/1000*(R24-25)*(Constants!$C$32/100))</f>
        <v>3.8838081057567857E-2</v>
      </c>
      <c r="O24" s="45">
        <f t="shared" si="6"/>
        <v>0.41649467922437683</v>
      </c>
      <c r="P24" s="45">
        <f>IF($I$4="None",V_cs^2/RFB_1,VLOOKUP($I$4,Design!$A$99:$F$102,5))</f>
        <v>7.0052539404553429E-2</v>
      </c>
      <c r="Q24" s="46">
        <f t="shared" ca="1" si="7"/>
        <v>37.713833231094618</v>
      </c>
      <c r="R24" s="46">
        <f t="shared" ca="1" si="8"/>
        <v>76.607025807385469</v>
      </c>
      <c r="S24" s="46">
        <f t="shared" ca="1" si="9"/>
        <v>199.54274477509006</v>
      </c>
      <c r="T24" s="160">
        <f t="shared" ca="1" si="16"/>
        <v>68.716537822950215</v>
      </c>
      <c r="U24" s="160">
        <f t="shared" ca="1" si="10"/>
        <v>12.399999999999999</v>
      </c>
      <c r="V24" s="45">
        <f t="shared" ca="1" si="11"/>
        <v>1.9033686996078958</v>
      </c>
      <c r="W24" s="160">
        <f t="shared" ca="1" si="12"/>
        <v>4.3432574430823117</v>
      </c>
      <c r="X24" s="160">
        <f t="shared" ca="1" si="13"/>
        <v>6.2466261426902072</v>
      </c>
      <c r="Y24" s="160">
        <f t="shared" ca="1" si="14"/>
        <v>0.61148336904818978</v>
      </c>
      <c r="Z24" s="152">
        <f t="shared" ca="1" si="15"/>
        <v>0.69529652389470842</v>
      </c>
      <c r="AA24" s="155" t="str">
        <f ca="1">IF(R24&gt;=TSD,"TSD",IF(OR(E24=Constants!$C$19,Efficiency!F24=Min_tOFF_typ),IF(E24=Constants!$C$19,"Pulse Skip","Dropout"),"Normal"))</f>
        <v>Normal</v>
      </c>
    </row>
    <row r="25" spans="1:27" ht="12.6" customHeight="1" thickBot="1" x14ac:dyDescent="0.3">
      <c r="A25" s="193">
        <f>25</f>
        <v>25</v>
      </c>
      <c r="B25" s="38">
        <f>Design!$D$4</f>
        <v>18</v>
      </c>
      <c r="C25" s="38">
        <f ca="1">IF(Reset=1,VF,FORECAST($B$4+Y25, OFFSET(Design!$C$16:$C$20,MATCH($B$4+Y25,Design!$B$16:$B$20,1)-1,0,2), OFFSET(Design!$B$16:$B$20,MATCH($B$4+Y25,Design!$B$16:$B$20,1)-1,0,2))+(Q25-25)*Design!$B$21/1000)</f>
        <v>0.41890875584349985</v>
      </c>
      <c r="D25" s="149">
        <f ca="1">IF(Reset=1,$D$4/(B25+$D$4),MIN(($D$4+C25+Y25*LO_DCR/1000*(1+(R25-25)*(Constants!$C$32/100)))/(B25-Y25*S25/1000+C25+$D$4),(Tsw-Min_tOFF_typ)/Tsw))</f>
        <v>0.41836477220667517</v>
      </c>
      <c r="E25" s="153">
        <f ca="1">IF(D25&gt;=(Tsw-Min_tOFF_typ)/Tsw,Tsw-Min_tOFF_typ,IF(Tsw*Efficiency!D25&gt;Constants!$C$19,Tsw*Efficiency!D25,Constants!$C$19))</f>
        <v>209.18238610333759</v>
      </c>
      <c r="F25" s="153">
        <f ca="1">IF(E25=Constants!$C$19,Tsw-Constants!$C$19,IF(Tsw*(1-Efficiency!D25)&gt;Min_tOFF_typ,Tsw*(1-Efficiency!D25),Min_tOFF_typ))</f>
        <v>290.81761389666241</v>
      </c>
      <c r="G25" s="39">
        <f ca="1">IF(Reset=1,(B25)/(L_buckboost*micro)*D25*Tsw*nano,(B25-($B$4+Y25)*(S25/1000+LO_DCR/1000*(1+(R25-A25)*(Constants!$C$32/100))))/(L_buckboost*micro)*D25*Tsw*nano)</f>
        <v>0.79092136767804067</v>
      </c>
      <c r="H25" s="150">
        <f t="shared" si="0"/>
        <v>1.5199999999999998E-4</v>
      </c>
      <c r="I25" s="45">
        <f t="shared" ca="1" si="1"/>
        <v>0.83479840614704459</v>
      </c>
      <c r="J25" s="45">
        <f t="shared" ca="1" si="2"/>
        <v>3.4828480596002215E-2</v>
      </c>
      <c r="K25" s="45">
        <f t="shared" si="3"/>
        <v>0.30399999999999999</v>
      </c>
      <c r="L25" s="45">
        <f t="shared" ca="1" si="4"/>
        <v>1.1737788867430468</v>
      </c>
      <c r="M25" s="45">
        <f t="shared" ca="1" si="5"/>
        <v>0.23207034867711113</v>
      </c>
      <c r="N25" s="45">
        <f ca="1">(($B$4+Y25)^2+G25^2/12)*(LO_DCR/1000+LO_DCR/1000*(R25-25)*(Constants!$C$32/100))</f>
        <v>3.8345024028193904E-2</v>
      </c>
      <c r="O25" s="45">
        <f t="shared" si="6"/>
        <v>0.43435520000000005</v>
      </c>
      <c r="P25" s="45">
        <f>IF($I$4="None",V_cs^2/RFB_1,VLOOKUP($I$4,Design!$A$99:$F$102,5))</f>
        <v>7.0052539404553429E-2</v>
      </c>
      <c r="Q25" s="46">
        <f t="shared" ca="1" si="7"/>
        <v>37.763869177241112</v>
      </c>
      <c r="R25" s="46">
        <f t="shared" ca="1" si="8"/>
        <v>77.820049903437109</v>
      </c>
      <c r="S25" s="46">
        <f t="shared" ca="1" si="9"/>
        <v>200.70724790729963</v>
      </c>
      <c r="T25" s="160">
        <f t="shared" ca="1" si="16"/>
        <v>71.241921719943136</v>
      </c>
      <c r="U25" s="160">
        <f t="shared" ca="1" si="10"/>
        <v>12.399999999999999</v>
      </c>
      <c r="V25" s="45">
        <f t="shared" ca="1" si="11"/>
        <v>1.9486019988529053</v>
      </c>
      <c r="W25" s="160">
        <f t="shared" ca="1" si="12"/>
        <v>4.3432574430823117</v>
      </c>
      <c r="X25" s="160">
        <f t="shared" ca="1" si="13"/>
        <v>6.291859441935217</v>
      </c>
      <c r="Y25" s="160">
        <f t="shared" ca="1" si="14"/>
        <v>0.60220337470210394</v>
      </c>
      <c r="Z25" s="152">
        <f t="shared" ca="1" si="15"/>
        <v>0.69029791322649692</v>
      </c>
      <c r="AA25" s="155" t="str">
        <f ca="1">IF(R25&gt;=TSD,"TSD",IF(OR(E25=Constants!$C$19,Efficiency!F25=Min_tOFF_typ),IF(E25=Constants!$C$19,"Pulse Skip","Dropout"),"Normal"))</f>
        <v>Normal</v>
      </c>
    </row>
    <row r="26" spans="1:27" ht="12.6" customHeight="1" thickBot="1" x14ac:dyDescent="0.3">
      <c r="A26" s="294">
        <v>25</v>
      </c>
      <c r="B26" s="388">
        <f>Vin_nom</f>
        <v>13.5</v>
      </c>
      <c r="C26" s="389">
        <f ca="1">IF(Reset=1,VF,FORECAST($B$4+Y26, OFFSET(Design!$C$16:$C$20,MATCH($B$4+Y26,Design!$B$16:$B$20,1)-1,0,2), OFFSET(Design!$B$16:$B$20,MATCH($B$4+Y26,Design!$B$16:$B$20,1)-1,0,2))+(Q26-25)*Design!$B$21/1000)</f>
        <v>0.42436827833427332</v>
      </c>
      <c r="D26" s="365">
        <f ca="1">IF(Reset=1,$D$4/(B26+$D$4),MIN(($D$4+C26+Y26*LO_DCR/1000*(1+(R26-25)*(Constants!$C$32/100)))/(B26-Y26*S26/1000+C26+$D$4),(Tsw-Min_tOFF_typ)/Tsw))</f>
        <v>0.49066094847717984</v>
      </c>
      <c r="E26" s="390">
        <f ca="1">IF(D26&gt;=(Tsw-Min_tOFF_typ)/Tsw,Tsw-Min_tOFF_typ,IF(Tsw*Efficiency!D26&gt;Constants!$C$19,Tsw*Efficiency!D26,Constants!$C$19))</f>
        <v>245.33047423858991</v>
      </c>
      <c r="F26" s="390">
        <f ca="1">IF(E26=Constants!$C$19,Tsw-Constants!$C$19,IF(Tsw*(1-Efficiency!D26)&gt;Min_tOFF_typ,Tsw*(1-Efficiency!D26),Min_tOFF_typ))</f>
        <v>254.66952576141011</v>
      </c>
      <c r="G26" s="391">
        <f ca="1">IF(Reset=1,(B26)/(L_buckboost*micro)*D26*Tsw*nano,(B26-($B$4+Y26)*(S26/1000+LO_DCR/1000*(1+(R26-A26)*(Constants!$C$32/100))))/(L_buckboost*micro)*D26*Tsw*nano)</f>
        <v>0.69209569926000913</v>
      </c>
      <c r="H26" s="392">
        <f t="shared" si="0"/>
        <v>1.295E-4</v>
      </c>
      <c r="I26" s="330">
        <f t="shared" ca="1" si="1"/>
        <v>0.69195475711324494</v>
      </c>
      <c r="J26" s="330">
        <f t="shared" ca="1" si="2"/>
        <v>4.8609925787464661E-2</v>
      </c>
      <c r="K26" s="330">
        <f t="shared" si="3"/>
        <v>0.25899999999999995</v>
      </c>
      <c r="L26" s="330">
        <f t="shared" ca="1" si="4"/>
        <v>0.99969418290070955</v>
      </c>
      <c r="M26" s="330">
        <f t="shared" ca="1" si="5"/>
        <v>0.2243487266961206</v>
      </c>
      <c r="N26" s="330">
        <f ca="1">(($B$4+Y26)^2+G26^2/12)*(LO_DCR/1000+LO_DCR/1000*(R26-25)*(Constants!$C$32/100))</f>
        <v>4.3518792276949964E-2</v>
      </c>
      <c r="O26" s="330">
        <f t="shared" si="6"/>
        <v>0.31528070000000002</v>
      </c>
      <c r="P26" s="330">
        <f>IF($I$4="None",V_cs^2/RFB_1,VLOOKUP($I$4,Design!$A$99:$F$102,5))</f>
        <v>7.0052539404553429E-2</v>
      </c>
      <c r="Q26" s="393">
        <f t="shared" ca="1" si="7"/>
        <v>37.339179968286629</v>
      </c>
      <c r="R26" s="393">
        <f t="shared" ca="1" si="8"/>
        <v>69.986238230531939</v>
      </c>
      <c r="S26" s="393">
        <f t="shared" ca="1" si="9"/>
        <v>193.18678870131066</v>
      </c>
      <c r="T26" s="394">
        <f t="shared" ca="1" si="16"/>
        <v>53.246998742749724</v>
      </c>
      <c r="U26" s="394">
        <f t="shared" ca="1" si="10"/>
        <v>12.399999999999999</v>
      </c>
      <c r="V26" s="330">
        <f t="shared" ca="1" si="11"/>
        <v>1.6528949412783336</v>
      </c>
      <c r="W26" s="394">
        <f t="shared" ca="1" si="12"/>
        <v>4.3432574430823117</v>
      </c>
      <c r="X26" s="394">
        <f t="shared" ca="1" si="13"/>
        <v>5.996152384360645</v>
      </c>
      <c r="Y26" s="394">
        <f t="shared" ca="1" si="14"/>
        <v>0.68768082081189907</v>
      </c>
      <c r="Z26" s="395">
        <f t="shared" ca="1" si="15"/>
        <v>0.72434073797232601</v>
      </c>
      <c r="AA26" s="154" t="str">
        <f ca="1">IF(R26&gt;=TSD,"TSD",IF(OR(E26=Constants!$C$19,Efficiency!F26=Min_tOFF_typ),IF(E26=Constants!$C$19,"Pulse Skip","Dropout"),"Normal"))</f>
        <v>Normal</v>
      </c>
    </row>
    <row r="27" spans="1:27" ht="15.75" thickBot="1" x14ac:dyDescent="0.3">
      <c r="A27" s="156" t="s">
        <v>104</v>
      </c>
      <c r="B27" s="157" t="s">
        <v>186</v>
      </c>
      <c r="C27" s="157" t="s">
        <v>125</v>
      </c>
      <c r="D27" s="158" t="s">
        <v>123</v>
      </c>
      <c r="E27" s="158" t="s">
        <v>225</v>
      </c>
      <c r="F27" s="158" t="s">
        <v>224</v>
      </c>
      <c r="G27" s="158" t="s">
        <v>124</v>
      </c>
      <c r="H27" s="158" t="s">
        <v>222</v>
      </c>
      <c r="I27" s="158" t="s">
        <v>52</v>
      </c>
      <c r="J27" s="158" t="s">
        <v>53</v>
      </c>
      <c r="K27" s="158" t="s">
        <v>101</v>
      </c>
      <c r="L27" s="158" t="s">
        <v>135</v>
      </c>
      <c r="M27" s="158" t="s">
        <v>137</v>
      </c>
      <c r="N27" s="158" t="s">
        <v>138</v>
      </c>
      <c r="O27" s="158" t="s">
        <v>146</v>
      </c>
      <c r="P27" s="158" t="s">
        <v>237</v>
      </c>
      <c r="Q27" s="158" t="s">
        <v>148</v>
      </c>
      <c r="R27" s="158" t="s">
        <v>149</v>
      </c>
      <c r="S27" s="158" t="s">
        <v>64</v>
      </c>
      <c r="T27" s="158" t="s">
        <v>129</v>
      </c>
      <c r="U27" s="158" t="s">
        <v>136</v>
      </c>
      <c r="V27" s="158" t="s">
        <v>223</v>
      </c>
      <c r="W27" s="158" t="s">
        <v>139</v>
      </c>
      <c r="X27" s="158" t="s">
        <v>253</v>
      </c>
      <c r="Y27" s="158" t="s">
        <v>308</v>
      </c>
      <c r="Z27" s="159" t="s">
        <v>227</v>
      </c>
      <c r="AA27" s="159" t="s">
        <v>226</v>
      </c>
    </row>
    <row r="28" spans="1:27" x14ac:dyDescent="0.25">
      <c r="A28" s="191">
        <f>Design!$D$13</f>
        <v>85</v>
      </c>
      <c r="B28" s="167">
        <f>Efficiency!B6</f>
        <v>6</v>
      </c>
      <c r="C28" s="167">
        <f ca="1">IF(Reset=1,VF,FORECAST($B$4+Y28, OFFSET(Design!$C$16:$C$20,MATCH($B$4+Y28,Design!$B$16:$B$20,1)-1,0,2), OFFSET(Design!$B$16:$B$20,MATCH($B$4+Y28,Design!$B$16:$B$20,1)-1,0,2))+(Q28-25)*Design!$B$21/1000)</f>
        <v>0.38760650608923791</v>
      </c>
      <c r="D28" s="295">
        <f ca="1">IF(Reset=1,$D$4/(B28+$D$4),MIN(($D$4+C28+Y28*LO_DCR/1000*(1+(R28-25)*(Constants!$C$32/100)))/(B28-Y28*S28/1000+C28+$D$4),(Tsw-Min_tOFF_typ)/Tsw))</f>
        <v>0.69449638914300071</v>
      </c>
      <c r="E28" s="168">
        <f ca="1">IF(D28&gt;=(Tsw-Min_tOFF_typ)/Tsw,Tsw-Min_tOFF_typ,IF(Tsw*Efficiency!D28&gt;Constants!$C$19,Tsw*Efficiency!D28,Constants!$C$19))</f>
        <v>347.24819457150033</v>
      </c>
      <c r="F28" s="168">
        <f ca="1">IF(E28=Constants!$C$19,Tsw-Constants!$C$19,IF(Tsw*(1-Efficiency!D28)&gt;Min_tOFF_typ,Tsw*(1-Efficiency!D28),Min_tOFF_typ))</f>
        <v>152.75180542849964</v>
      </c>
      <c r="G28" s="169">
        <f ca="1">IF(Reset=1,(B28)/(L_buckboost*micro)*D28*Tsw*nano,(B28-($B$4+Y28)*(S28/1000+LO_DCR/1000*(1+(R28-A28)*(Constants!$C$32/100))))/(L_buckboost*micro)*D28*Tsw*nano)</f>
        <v>0.4103279624826327</v>
      </c>
      <c r="H28" s="296">
        <f t="shared" ref="H28:H48" si="18">(B28+$D$4)*Iq*micro</f>
        <v>9.2E-5</v>
      </c>
      <c r="I28" s="274">
        <f t="shared" ref="I28:I48" ca="1" si="19">(B28+$D$4)*Y28*((B28+$D$4)/(Slew_rise*10^9)*fsw*10^6/2+(B28+$D$4)/(Slew_fall*10^9)*fsw*10^6/2)</f>
        <v>0.58224322637974724</v>
      </c>
      <c r="J28" s="274">
        <f t="shared" ref="J28:J48" ca="1" si="20">D28*(($B$4+Y28)^2+G28^2/12)*S28*10^-3</f>
        <v>0.40419728019039297</v>
      </c>
      <c r="K28" s="274">
        <f t="shared" ref="K28:K48" si="21">Qg*10^-9*(B28+$D$4)*fsw*10^6</f>
        <v>0.18399999999999997</v>
      </c>
      <c r="L28" s="274">
        <f t="shared" ref="L28:L48" ca="1" si="22">SUM(H28:K28)</f>
        <v>1.1705325065701402</v>
      </c>
      <c r="M28" s="274">
        <f t="shared" ref="M28:M48" ca="1" si="23">($B$4+Y28)*C28*(1-D28)</f>
        <v>0.17724052304419113</v>
      </c>
      <c r="N28" s="274">
        <f ca="1">(($B$4+Y28)^2+G28^2/12)*(LO_DCR/1000+LO_DCR/1000*(R28-25)*(Constants!$C$32/100))</f>
        <v>0.1076612450102149</v>
      </c>
      <c r="O28" s="274">
        <f t="shared" ref="O28:O48" si="24">0.5*C_SNUB*10^-12*(B28+$D$4)^2*fsw*10^6</f>
        <v>0.15912319999999996</v>
      </c>
      <c r="P28" s="274">
        <f>IF($I$4="None",V_cs^2/RFB_1,VLOOKUP($I$4,Design!$A$99:$F$102,5))</f>
        <v>7.0052539404553429E-2</v>
      </c>
      <c r="Q28" s="297">
        <f t="shared" ref="Q28:Q48" ca="1" si="25">$A28+M28*RthJA</f>
        <v>94.748228767430518</v>
      </c>
      <c r="R28" s="297">
        <f t="shared" ref="R28:R48" ca="1" si="26">MIN(L28*RthJA_IC+$A28,190)</f>
        <v>137.67396279565631</v>
      </c>
      <c r="S28" s="170">
        <f t="shared" ref="S28:S48" ca="1" si="27">IF(Reset=1,Rdson,Rdson+Rdson*TCR_RdsON/100*(R28-25))</f>
        <v>258.16700428383007</v>
      </c>
      <c r="T28" s="188">
        <f t="shared" ref="T28:T48" ca="1" si="28">(Max_Duty_Dropout*(B28+C28-$B$4*S28/1000)-(C28+$B$4*LO_DCR/1000))/(1-Max_Duty_Dropout)</f>
        <v>23.192719932742531</v>
      </c>
      <c r="U28" s="188">
        <f t="shared" ref="U28:U48" ca="1" si="29">IF(Reset=1,VOUT,IF(T28&gt;VOUT,VOUT,T28))</f>
        <v>12.399999999999999</v>
      </c>
      <c r="V28" s="274">
        <f t="shared" ref="V28:V48" ca="1" si="30">SUM(L28:P28)</f>
        <v>1.6846100140290996</v>
      </c>
      <c r="W28" s="188">
        <f t="shared" ref="W28:W48" ca="1" si="31">U28*$B$4</f>
        <v>4.3432574430823117</v>
      </c>
      <c r="X28" s="188">
        <f t="shared" ref="X28:X48" ca="1" si="32">V28+W28</f>
        <v>6.0278674571114115</v>
      </c>
      <c r="Y28" s="176">
        <f t="shared" ref="Y28:Y48" ca="1" si="33">IF(Reset=1,W28/B28/0.8,$B$4/(1-D28))</f>
        <v>1.1465091886809768</v>
      </c>
      <c r="Z28" s="171">
        <f t="shared" ref="Z28:Z48" ca="1" si="34">W28/(W28+V28)</f>
        <v>0.72052968549571017</v>
      </c>
      <c r="AA28" s="154" t="str">
        <f ca="1">IF(R28&gt;=TSD,"TSD",IF(OR(E28=Constants!$C$19,Efficiency!F28=Min_tOFF_typ),IF(E28=Constants!$C$19,"Pulse Skip","Dropout"),"Normal"))</f>
        <v>Normal</v>
      </c>
    </row>
    <row r="29" spans="1:27" x14ac:dyDescent="0.25">
      <c r="A29" s="192">
        <f>Design!$D$13</f>
        <v>85</v>
      </c>
      <c r="B29" s="172">
        <f>($B$25-$B$6)/19+B28</f>
        <v>6.6315789473684212</v>
      </c>
      <c r="C29" s="172">
        <f ca="1">IF(Reset=1,VF,FORECAST($B$4+Y29, OFFSET(Design!$C$16:$C$20,MATCH($B$4+Y29,Design!$B$16:$B$20,1)-1,0,2), OFFSET(Design!$B$16:$B$20,MATCH($B$4+Y29,Design!$B$16:$B$20,1)-1,0,2))+(Q29-25)*Design!$B$21/1000)</f>
        <v>0.3837554856602996</v>
      </c>
      <c r="D29" s="173">
        <f ca="1">IF(Reset=1,$D$4/(B29+$D$4),MIN(($D$4+C29+Y29*LO_DCR/1000*(1+(R29-25)*(Constants!$C$32/100)))/(B29-Y29*S29/1000+C29+$D$4),(Tsw-Min_tOFF_typ)/Tsw))</f>
        <v>0.67041391177544396</v>
      </c>
      <c r="E29" s="168">
        <f ca="1">IF(D29&gt;=(Tsw-Min_tOFF_typ)/Tsw,Tsw-Min_tOFF_typ,IF(Tsw*Efficiency!D29&gt;Constants!$C$19,Tsw*Efficiency!D29,Constants!$C$19))</f>
        <v>335.20695588772196</v>
      </c>
      <c r="F29" s="168">
        <f ca="1">IF(E29=Constants!$C$19,Tsw-Constants!$C$19,IF(Tsw*(1-Efficiency!D29)&gt;Min_tOFF_typ,Tsw*(1-Efficiency!D29),Min_tOFF_typ))</f>
        <v>164.79304411227801</v>
      </c>
      <c r="G29" s="169">
        <f ca="1">IF(Reset=1,(B29)/(L_buckboost*micro)*D29*Tsw*nano,(B29-($B$4+Y29)*(S29/1000+LO_DCR/1000*(1+(R29-A29)*(Constants!$C$32/100))))/(L_buckboost*micro)*D29*Tsw*nano)</f>
        <v>0.4432104316696836</v>
      </c>
      <c r="H29" s="174">
        <f t="shared" si="18"/>
        <v>9.5157894736842095E-5</v>
      </c>
      <c r="I29" s="175">
        <f t="shared" ca="1" si="19"/>
        <v>0.57738555730991392</v>
      </c>
      <c r="J29" s="175">
        <f t="shared" ca="1" si="20"/>
        <v>0.34503175493473187</v>
      </c>
      <c r="K29" s="175">
        <f t="shared" si="21"/>
        <v>0.19031578947368419</v>
      </c>
      <c r="L29" s="175">
        <f t="shared" ca="1" si="22"/>
        <v>1.1128282596130668</v>
      </c>
      <c r="M29" s="175">
        <f t="shared" ca="1" si="23"/>
        <v>0.17871662172111821</v>
      </c>
      <c r="N29" s="175">
        <f ca="1">(($B$4+Y29)^2+G29^2/12)*(LO_DCR/1000+LO_DCR/1000*(R29-25)*(Constants!$C$32/100))</f>
        <v>9.5451604198276835E-2</v>
      </c>
      <c r="O29" s="175">
        <f t="shared" si="24"/>
        <v>0.17023446869806091</v>
      </c>
      <c r="P29" s="175">
        <f>IF($I$4="None",V_cs^2/RFB_1,VLOOKUP($I$4,Design!$A$99:$F$102,5))</f>
        <v>7.0052539404553429E-2</v>
      </c>
      <c r="Q29" s="170">
        <f t="shared" ca="1" si="25"/>
        <v>94.829414194661496</v>
      </c>
      <c r="R29" s="170">
        <f t="shared" ca="1" si="26"/>
        <v>135.07727168258799</v>
      </c>
      <c r="S29" s="170">
        <f t="shared" ca="1" si="27"/>
        <v>255.67418081528447</v>
      </c>
      <c r="T29" s="176">
        <f t="shared" ca="1" si="28"/>
        <v>25.72637931493033</v>
      </c>
      <c r="U29" s="176">
        <f t="shared" ca="1" si="29"/>
        <v>12.399999999999999</v>
      </c>
      <c r="V29" s="175">
        <f t="shared" ca="1" si="30"/>
        <v>1.6272834936350762</v>
      </c>
      <c r="W29" s="176">
        <f t="shared" ca="1" si="31"/>
        <v>4.3432574430823117</v>
      </c>
      <c r="X29" s="176">
        <f t="shared" ca="1" si="32"/>
        <v>5.9705409367173878</v>
      </c>
      <c r="Y29" s="176">
        <f t="shared" ca="1" si="33"/>
        <v>1.062735077531924</v>
      </c>
      <c r="Z29" s="177">
        <f t="shared" ca="1" si="34"/>
        <v>0.72744789611479344</v>
      </c>
      <c r="AA29" s="155" t="str">
        <f ca="1">IF(R29&gt;=TSD,"TSD",IF(OR(E29=Constants!$C$19,Efficiency!F29=Min_tOFF_typ),IF(E29=Constants!$C$19,"Pulse Skip","Dropout"),"Normal"))</f>
        <v>Normal</v>
      </c>
    </row>
    <row r="30" spans="1:27" x14ac:dyDescent="0.25">
      <c r="A30" s="192">
        <f>Design!$D$13</f>
        <v>85</v>
      </c>
      <c r="B30" s="172">
        <f t="shared" ref="B30:B46" si="35">($B$25-$B$6)/19+B29</f>
        <v>7.2631578947368425</v>
      </c>
      <c r="C30" s="172">
        <f ca="1">IF(Reset=1,VF,FORECAST($B$4+Y30, OFFSET(Design!$C$16:$C$20,MATCH($B$4+Y30,Design!$B$16:$B$20,1)-1,0,2), OFFSET(Design!$B$16:$B$20,MATCH($B$4+Y30,Design!$B$16:$B$20,1)-1,0,2))+(Q30-25)*Design!$B$21/1000)</f>
        <v>0.38064692716316106</v>
      </c>
      <c r="D30" s="173">
        <f ca="1">IF(Reset=1,$D$4/(B30+$D$4),MIN(($D$4+C30+Y30*LO_DCR/1000*(1+(R30-25)*(Constants!$C$32/100)))/(B30-Y30*S30/1000+C30+$D$4),(Tsw-Min_tOFF_typ)/Tsw))</f>
        <v>0.64815866781095099</v>
      </c>
      <c r="E30" s="168">
        <f ca="1">IF(D30&gt;=(Tsw-Min_tOFF_typ)/Tsw,Tsw-Min_tOFF_typ,IF(Tsw*Efficiency!D30&gt;Constants!$C$19,Tsw*Efficiency!D30,Constants!$C$19))</f>
        <v>324.07933390547549</v>
      </c>
      <c r="F30" s="168">
        <f ca="1">IF(E30=Constants!$C$19,Tsw-Constants!$C$19,IF(Tsw*(1-Efficiency!D30)&gt;Min_tOFF_typ,Tsw*(1-Efficiency!D30),Min_tOFF_typ))</f>
        <v>175.92066609452451</v>
      </c>
      <c r="G30" s="169">
        <f ca="1">IF(Reset=1,(B30)/(L_buckboost*micro)*D30*Tsw*nano,(B30-($B$4+Y30)*(S30/1000+LO_DCR/1000*(1+(R30-A30)*(Constants!$C$32/100))))/(L_buckboost*micro)*D30*Tsw*nano)</f>
        <v>0.47358586957454141</v>
      </c>
      <c r="H30" s="174">
        <f t="shared" si="18"/>
        <v>9.8315789473684204E-5</v>
      </c>
      <c r="I30" s="175">
        <f t="shared" ca="1" si="19"/>
        <v>0.57735751530568247</v>
      </c>
      <c r="J30" s="175">
        <f t="shared" ca="1" si="20"/>
        <v>0.30131263451512835</v>
      </c>
      <c r="K30" s="175">
        <f t="shared" si="21"/>
        <v>0.19663157894736841</v>
      </c>
      <c r="L30" s="175">
        <f t="shared" ca="1" si="22"/>
        <v>1.075400044557653</v>
      </c>
      <c r="M30" s="175">
        <f t="shared" ca="1" si="23"/>
        <v>0.18023616431170425</v>
      </c>
      <c r="N30" s="175">
        <f ca="1">(($B$4+Y30)^2+G30^2/12)*(LO_DCR/1000+LO_DCR/1000*(R30-25)*(Constants!$C$32/100))</f>
        <v>8.6366865901672793E-2</v>
      </c>
      <c r="O30" s="175">
        <f t="shared" si="24"/>
        <v>0.18172069584487532</v>
      </c>
      <c r="P30" s="175">
        <f>IF($I$4="None",V_cs^2/RFB_1,VLOOKUP($I$4,Design!$A$99:$F$102,5))</f>
        <v>7.0052539404553429E-2</v>
      </c>
      <c r="Q30" s="170">
        <f t="shared" ca="1" si="25"/>
        <v>94.912989037143731</v>
      </c>
      <c r="R30" s="170">
        <f t="shared" ca="1" si="26"/>
        <v>133.39300200509439</v>
      </c>
      <c r="S30" s="170">
        <f t="shared" ca="1" si="27"/>
        <v>254.05728192489062</v>
      </c>
      <c r="T30" s="176">
        <f t="shared" ca="1" si="28"/>
        <v>28.258069020365802</v>
      </c>
      <c r="U30" s="176">
        <f t="shared" ca="1" si="29"/>
        <v>12.399999999999999</v>
      </c>
      <c r="V30" s="175">
        <f t="shared" ca="1" si="30"/>
        <v>1.5937763100204589</v>
      </c>
      <c r="W30" s="176">
        <f t="shared" ca="1" si="31"/>
        <v>4.3432574430823117</v>
      </c>
      <c r="X30" s="176">
        <f t="shared" ca="1" si="32"/>
        <v>5.9370337531027708</v>
      </c>
      <c r="Y30" s="176">
        <f t="shared" ca="1" si="33"/>
        <v>0.99551321853956132</v>
      </c>
      <c r="Z30" s="177">
        <f t="shared" ca="1" si="34"/>
        <v>0.73155343622772384</v>
      </c>
      <c r="AA30" s="155" t="str">
        <f ca="1">IF(R30&gt;=TSD,"TSD",IF(OR(E30=Constants!$C$19,Efficiency!F30=Min_tOFF_typ),IF(E30=Constants!$C$19,"Pulse Skip","Dropout"),"Normal"))</f>
        <v>Normal</v>
      </c>
    </row>
    <row r="31" spans="1:27" x14ac:dyDescent="0.25">
      <c r="A31" s="192">
        <f>Design!$D$13</f>
        <v>85</v>
      </c>
      <c r="B31" s="172">
        <f t="shared" si="35"/>
        <v>7.8947368421052637</v>
      </c>
      <c r="C31" s="172">
        <f ca="1">IF(Reset=1,VF,FORECAST($B$4+Y31, OFFSET(Design!$C$16:$C$20,MATCH($B$4+Y31,Design!$B$16:$B$20,1)-1,0,2), OFFSET(Design!$B$16:$B$20,MATCH($B$4+Y31,Design!$B$16:$B$20,1)-1,0,2))+(Q31-25)*Design!$B$21/1000)</f>
        <v>0.37807552928534793</v>
      </c>
      <c r="D31" s="173">
        <f ca="1">IF(Reset=1,$D$4/(B31+$D$4),MIN(($D$4+C31+Y31*LO_DCR/1000*(1+(R31-25)*(Constants!$C$32/100)))/(B31-Y31*S31/1000+C31+$D$4),(Tsw-Min_tOFF_typ)/Tsw))</f>
        <v>0.62747172678234298</v>
      </c>
      <c r="E31" s="168">
        <f ca="1">IF(D31&gt;=(Tsw-Min_tOFF_typ)/Tsw,Tsw-Min_tOFF_typ,IF(Tsw*Efficiency!D31&gt;Constants!$C$19,Tsw*Efficiency!D31,Constants!$C$19))</f>
        <v>313.73586339117151</v>
      </c>
      <c r="F31" s="168">
        <f ca="1">IF(E31=Constants!$C$19,Tsw-Constants!$C$19,IF(Tsw*(1-Efficiency!D31)&gt;Min_tOFF_typ,Tsw*(1-Efficiency!D31),Min_tOFF_typ))</f>
        <v>186.26413660882852</v>
      </c>
      <c r="G31" s="169">
        <f ca="1">IF(Reset=1,(B31)/(L_buckboost*micro)*D31*Tsw*nano,(B31-($B$4+Y31)*(S31/1000+LO_DCR/1000*(1+(R31-A31)*(Constants!$C$32/100))))/(L_buckboost*micro)*D31*Tsw*nano)</f>
        <v>0.50181315538762172</v>
      </c>
      <c r="H31" s="174">
        <f t="shared" si="18"/>
        <v>1.0147368421052631E-4</v>
      </c>
      <c r="I31" s="175">
        <f t="shared" ca="1" si="19"/>
        <v>0.58088846920821546</v>
      </c>
      <c r="J31" s="175">
        <f t="shared" ca="1" si="20"/>
        <v>0.26774465920862667</v>
      </c>
      <c r="K31" s="175">
        <f t="shared" si="21"/>
        <v>0.20294736842105263</v>
      </c>
      <c r="L31" s="175">
        <f t="shared" ca="1" si="22"/>
        <v>1.0516819705221052</v>
      </c>
      <c r="M31" s="175">
        <f t="shared" ca="1" si="23"/>
        <v>0.18175809224373746</v>
      </c>
      <c r="N31" s="175">
        <f ca="1">(($B$4+Y31)^2+G31^2/12)*(LO_DCR/1000+LO_DCR/1000*(R31-25)*(Constants!$C$32/100))</f>
        <v>7.9362165153071554E-2</v>
      </c>
      <c r="O31" s="175">
        <f t="shared" si="24"/>
        <v>0.19358188144044322</v>
      </c>
      <c r="P31" s="175">
        <f>IF($I$4="None",V_cs^2/RFB_1,VLOOKUP($I$4,Design!$A$99:$F$102,5))</f>
        <v>7.0052539404553429E-2</v>
      </c>
      <c r="Q31" s="170">
        <f t="shared" ca="1" si="25"/>
        <v>94.996695073405562</v>
      </c>
      <c r="R31" s="170">
        <f t="shared" ca="1" si="26"/>
        <v>132.32568867349474</v>
      </c>
      <c r="S31" s="170">
        <f t="shared" ca="1" si="27"/>
        <v>253.03266112655496</v>
      </c>
      <c r="T31" s="176">
        <f t="shared" ca="1" si="28"/>
        <v>30.788391753494306</v>
      </c>
      <c r="U31" s="176">
        <f t="shared" ca="1" si="29"/>
        <v>12.399999999999999</v>
      </c>
      <c r="V31" s="175">
        <f t="shared" ca="1" si="30"/>
        <v>1.576436648763911</v>
      </c>
      <c r="W31" s="176">
        <f t="shared" ca="1" si="31"/>
        <v>4.3432574430823117</v>
      </c>
      <c r="X31" s="176">
        <f t="shared" ca="1" si="32"/>
        <v>5.9196940918462229</v>
      </c>
      <c r="Y31" s="176">
        <f t="shared" ca="1" si="33"/>
        <v>0.9402311776161999</v>
      </c>
      <c r="Z31" s="177">
        <f t="shared" ca="1" si="34"/>
        <v>0.73369626465406501</v>
      </c>
      <c r="AA31" s="155" t="str">
        <f ca="1">IF(R31&gt;=TSD,"TSD",IF(OR(E31=Constants!$C$19,Efficiency!F31=Min_tOFF_typ),IF(E31=Constants!$C$19,"Pulse Skip","Dropout"),"Normal"))</f>
        <v>Normal</v>
      </c>
    </row>
    <row r="32" spans="1:27" x14ac:dyDescent="0.25">
      <c r="A32" s="192">
        <f>Design!$D$13</f>
        <v>85</v>
      </c>
      <c r="B32" s="172">
        <f t="shared" si="35"/>
        <v>8.526315789473685</v>
      </c>
      <c r="C32" s="172">
        <f ca="1">IF(Reset=1,VF,FORECAST($B$4+Y32, OFFSET(Design!$C$16:$C$20,MATCH($B$4+Y32,Design!$B$16:$B$20,1)-1,0,2), OFFSET(Design!$B$16:$B$20,MATCH($B$4+Y32,Design!$B$16:$B$20,1)-1,0,2))+(Q32-25)*Design!$B$21/1000)</f>
        <v>0.37590758936720287</v>
      </c>
      <c r="D32" s="173">
        <f ca="1">IF(Reset=1,$D$4/(B32+$D$4),MIN(($D$4+C32+Y32*LO_DCR/1000*(1+(R32-25)*(Constants!$C$32/100)))/(B32-Y32*S32/1000+C32+$D$4),(Tsw-Min_tOFF_typ)/Tsw))</f>
        <v>0.6081585712694334</v>
      </c>
      <c r="E32" s="168">
        <f ca="1">IF(D32&gt;=(Tsw-Min_tOFF_typ)/Tsw,Tsw-Min_tOFF_typ,IF(Tsw*Efficiency!D32&gt;Constants!$C$19,Tsw*Efficiency!D32,Constants!$C$19))</f>
        <v>304.07928563471671</v>
      </c>
      <c r="F32" s="168">
        <f ca="1">IF(E32=Constants!$C$19,Tsw-Constants!$C$19,IF(Tsw*(1-Efficiency!D32)&gt;Min_tOFF_typ,Tsw*(1-Efficiency!D32),Min_tOFF_typ))</f>
        <v>195.92071436528329</v>
      </c>
      <c r="G32" s="169">
        <f ca="1">IF(Reset=1,(B32)/(L_buckboost*micro)*D32*Tsw*nano,(B32-($B$4+Y32)*(S32/1000+LO_DCR/1000*(1+(R32-A32)*(Constants!$C$32/100))))/(L_buckboost*micro)*D32*Tsw*nano)</f>
        <v>0.52816083218257015</v>
      </c>
      <c r="H32" s="174">
        <f t="shared" si="18"/>
        <v>1.0463157894736841E-4</v>
      </c>
      <c r="I32" s="175">
        <f t="shared" ca="1" si="19"/>
        <v>0.58716524965601269</v>
      </c>
      <c r="J32" s="175">
        <f t="shared" ca="1" si="20"/>
        <v>0.24120048347787948</v>
      </c>
      <c r="K32" s="175">
        <f t="shared" si="21"/>
        <v>0.20926315789473685</v>
      </c>
      <c r="L32" s="175">
        <f t="shared" ca="1" si="22"/>
        <v>1.0377335226075763</v>
      </c>
      <c r="M32" s="175">
        <f t="shared" ca="1" si="23"/>
        <v>0.18325875875849768</v>
      </c>
      <c r="N32" s="175">
        <f ca="1">(($B$4+Y32)^2+G32^2/12)*(LO_DCR/1000+LO_DCR/1000*(R32-25)*(Constants!$C$32/100))</f>
        <v>7.3812431241727941E-2</v>
      </c>
      <c r="O32" s="175">
        <f t="shared" si="24"/>
        <v>0.20581802548476452</v>
      </c>
      <c r="P32" s="175">
        <f>IF($I$4="None",V_cs^2/RFB_1,VLOOKUP($I$4,Design!$A$99:$F$102,5))</f>
        <v>7.0052539404553429E-2</v>
      </c>
      <c r="Q32" s="170">
        <f t="shared" ca="1" si="25"/>
        <v>95.079231731717371</v>
      </c>
      <c r="R32" s="170">
        <f t="shared" ca="1" si="26"/>
        <v>131.69800851734095</v>
      </c>
      <c r="S32" s="170">
        <f t="shared" ca="1" si="27"/>
        <v>252.4300881766473</v>
      </c>
      <c r="T32" s="176">
        <f t="shared" ca="1" si="28"/>
        <v>33.317719718192492</v>
      </c>
      <c r="U32" s="176">
        <f t="shared" ca="1" si="29"/>
        <v>12.399999999999999</v>
      </c>
      <c r="V32" s="175">
        <f t="shared" ca="1" si="30"/>
        <v>1.57067527749712</v>
      </c>
      <c r="W32" s="176">
        <f t="shared" ca="1" si="31"/>
        <v>4.3432574430823117</v>
      </c>
      <c r="X32" s="176">
        <f t="shared" ca="1" si="32"/>
        <v>5.9139327205794316</v>
      </c>
      <c r="Y32" s="176">
        <f t="shared" ca="1" si="33"/>
        <v>0.89388888295323832</v>
      </c>
      <c r="Z32" s="177">
        <f t="shared" ca="1" si="34"/>
        <v>0.73441103378950356</v>
      </c>
      <c r="AA32" s="155" t="str">
        <f ca="1">IF(R32&gt;=TSD,"TSD",IF(OR(E32=Constants!$C$19,Efficiency!F32=Min_tOFF_typ),IF(E32=Constants!$C$19,"Pulse Skip","Dropout"),"Normal"))</f>
        <v>Normal</v>
      </c>
    </row>
    <row r="33" spans="1:27" x14ac:dyDescent="0.25">
      <c r="A33" s="192">
        <f>Design!$D$13</f>
        <v>85</v>
      </c>
      <c r="B33" s="172">
        <f t="shared" si="35"/>
        <v>9.1578947368421062</v>
      </c>
      <c r="C33" s="172">
        <f ca="1">IF(Reset=1,VF,FORECAST($B$4+Y33, OFFSET(Design!$C$16:$C$20,MATCH($B$4+Y33,Design!$B$16:$B$20,1)-1,0,2), OFFSET(Design!$B$16:$B$20,MATCH($B$4+Y33,Design!$B$16:$B$20,1)-1,0,2))+(Q33-25)*Design!$B$21/1000)</f>
        <v>0.37405157293637931</v>
      </c>
      <c r="D33" s="173">
        <f ca="1">IF(Reset=1,$D$4/(B33+$D$4),MIN(($D$4+C33+Y33*LO_DCR/1000*(1+(R33-25)*(Constants!$C$32/100)))/(B33-Y33*S33/1000+C33+$D$4),(Tsw-Min_tOFF_typ)/Tsw))</f>
        <v>0.5900653547814223</v>
      </c>
      <c r="E33" s="168">
        <f ca="1">IF(D33&gt;=(Tsw-Min_tOFF_typ)/Tsw,Tsw-Min_tOFF_typ,IF(Tsw*Efficiency!D33&gt;Constants!$C$19,Tsw*Efficiency!D33,Constants!$C$19))</f>
        <v>295.03267739071117</v>
      </c>
      <c r="F33" s="168">
        <f ca="1">IF(E33=Constants!$C$19,Tsw-Constants!$C$19,IF(Tsw*(1-Efficiency!D33)&gt;Min_tOFF_typ,Tsw*(1-Efficiency!D33),Min_tOFF_typ))</f>
        <v>204.96732260928886</v>
      </c>
      <c r="G33" s="169">
        <f ca="1">IF(Reset=1,(B33)/(L_buckboost*micro)*D33*Tsw*nano,(B33-($B$4+Y33)*(S33/1000+LO_DCR/1000*(1+(R33-A33)*(Constants!$C$32/100))))/(L_buckboost*micro)*D33*Tsw*nano)</f>
        <v>0.55284068756513893</v>
      </c>
      <c r="H33" s="174">
        <f t="shared" si="18"/>
        <v>1.0778947368421052E-4</v>
      </c>
      <c r="I33" s="175">
        <f t="shared" ca="1" si="19"/>
        <v>0.59563912458342916</v>
      </c>
      <c r="J33" s="175">
        <f t="shared" ca="1" si="20"/>
        <v>0.21971279930566653</v>
      </c>
      <c r="K33" s="175">
        <f t="shared" si="21"/>
        <v>0.21557894736842106</v>
      </c>
      <c r="L33" s="175">
        <f t="shared" ca="1" si="22"/>
        <v>1.031038660731201</v>
      </c>
      <c r="M33" s="175">
        <f t="shared" ca="1" si="23"/>
        <v>0.18472443845236602</v>
      </c>
      <c r="N33" s="175">
        <f ca="1">(($B$4+Y33)^2+G33^2/12)*(LO_DCR/1000+LO_DCR/1000*(R33-25)*(Constants!$C$32/100))</f>
        <v>6.9320046553051462E-2</v>
      </c>
      <c r="O33" s="175">
        <f t="shared" si="24"/>
        <v>0.21842912797783934</v>
      </c>
      <c r="P33" s="175">
        <f>IF($I$4="None",V_cs^2/RFB_1,VLOOKUP($I$4,Design!$A$99:$F$102,5))</f>
        <v>7.0052539404553429E-2</v>
      </c>
      <c r="Q33" s="170">
        <f t="shared" ca="1" si="25"/>
        <v>95.15984411488013</v>
      </c>
      <c r="R33" s="170">
        <f t="shared" ca="1" si="26"/>
        <v>131.39673973290405</v>
      </c>
      <c r="S33" s="170">
        <f t="shared" ca="1" si="27"/>
        <v>252.1408701435879</v>
      </c>
      <c r="T33" s="176">
        <f t="shared" ca="1" si="28"/>
        <v>35.846296733250142</v>
      </c>
      <c r="U33" s="176">
        <f t="shared" ca="1" si="29"/>
        <v>12.399999999999999</v>
      </c>
      <c r="V33" s="175">
        <f t="shared" ca="1" si="30"/>
        <v>1.5735648131190114</v>
      </c>
      <c r="W33" s="176">
        <f t="shared" ca="1" si="31"/>
        <v>4.3432574430823117</v>
      </c>
      <c r="X33" s="176">
        <f t="shared" ca="1" si="32"/>
        <v>5.9168222562013231</v>
      </c>
      <c r="Y33" s="176">
        <f t="shared" ca="1" si="33"/>
        <v>0.8544354596718865</v>
      </c>
      <c r="Z33" s="177">
        <f t="shared" ca="1" si="34"/>
        <v>0.73405237727569317</v>
      </c>
      <c r="AA33" s="155" t="str">
        <f ca="1">IF(R33&gt;=TSD,"TSD",IF(OR(E33=Constants!$C$19,Efficiency!F33=Min_tOFF_typ),IF(E33=Constants!$C$19,"Pulse Skip","Dropout"),"Normal"))</f>
        <v>Normal</v>
      </c>
    </row>
    <row r="34" spans="1:27" x14ac:dyDescent="0.25">
      <c r="A34" s="192">
        <f>Design!$D$13</f>
        <v>85</v>
      </c>
      <c r="B34" s="172">
        <f t="shared" si="35"/>
        <v>9.7894736842105274</v>
      </c>
      <c r="C34" s="172">
        <f ca="1">IF(Reset=1,VF,FORECAST($B$4+Y34, OFFSET(Design!$C$16:$C$20,MATCH($B$4+Y34,Design!$B$16:$B$20,1)-1,0,2), OFFSET(Design!$B$16:$B$20,MATCH($B$4+Y34,Design!$B$16:$B$20,1)-1,0,2))+(Q34-25)*Design!$B$21/1000)</f>
        <v>0.37244236318749191</v>
      </c>
      <c r="D34" s="173">
        <f ca="1">IF(Reset=1,$D$4/(B34+$D$4),MIN(($D$4+C34+Y34*LO_DCR/1000*(1+(R34-25)*(Constants!$C$32/100)))/(B34-Y34*S34/1000+C34+$D$4),(Tsw-Min_tOFF_typ)/Tsw))</f>
        <v>0.57306609422954313</v>
      </c>
      <c r="E34" s="168">
        <f ca="1">IF(D34&gt;=(Tsw-Min_tOFF_typ)/Tsw,Tsw-Min_tOFF_typ,IF(Tsw*Efficiency!D34&gt;Constants!$C$19,Tsw*Efficiency!D34,Constants!$C$19))</f>
        <v>286.53304711477159</v>
      </c>
      <c r="F34" s="168">
        <f ca="1">IF(E34=Constants!$C$19,Tsw-Constants!$C$19,IF(Tsw*(1-Efficiency!D34)&gt;Min_tOFF_typ,Tsw*(1-Efficiency!D34),Min_tOFF_typ))</f>
        <v>213.46695288522844</v>
      </c>
      <c r="G34" s="169">
        <f ca="1">IF(Reset=1,(B34)/(L_buckboost*micro)*D34*Tsw*nano,(B34-($B$4+Y34)*(S34/1000+LO_DCR/1000*(1+(R34-A34)*(Constants!$C$32/100))))/(L_buckboost*micro)*D34*Tsw*nano)</f>
        <v>0.5760257907108447</v>
      </c>
      <c r="H34" s="174">
        <f t="shared" si="18"/>
        <v>1.1094736842105262E-4</v>
      </c>
      <c r="I34" s="175">
        <f t="shared" ca="1" si="19"/>
        <v>0.60592448511234331</v>
      </c>
      <c r="J34" s="175">
        <f t="shared" ca="1" si="20"/>
        <v>0.20198230422400246</v>
      </c>
      <c r="K34" s="175">
        <f t="shared" si="21"/>
        <v>0.22189473684210526</v>
      </c>
      <c r="L34" s="175">
        <f t="shared" ca="1" si="22"/>
        <v>1.0299124735468721</v>
      </c>
      <c r="M34" s="175">
        <f t="shared" ca="1" si="23"/>
        <v>0.18614733309194642</v>
      </c>
      <c r="N34" s="175">
        <f ca="1">(($B$4+Y34)^2+G34^2/12)*(LO_DCR/1000+LO_DCR/1000*(R34-25)*(Constants!$C$32/100))</f>
        <v>6.5619818051851214E-2</v>
      </c>
      <c r="O34" s="175">
        <f t="shared" si="24"/>
        <v>0.23141518891966759</v>
      </c>
      <c r="P34" s="175">
        <f>IF($I$4="None",V_cs^2/RFB_1,VLOOKUP($I$4,Design!$A$99:$F$102,5))</f>
        <v>7.0052539404553429E-2</v>
      </c>
      <c r="Q34" s="170">
        <f t="shared" ca="1" si="25"/>
        <v>95.23810332005705</v>
      </c>
      <c r="R34" s="170">
        <f t="shared" ca="1" si="26"/>
        <v>131.34606130960924</v>
      </c>
      <c r="S34" s="170">
        <f t="shared" ca="1" si="27"/>
        <v>252.09221885722485</v>
      </c>
      <c r="T34" s="176">
        <f t="shared" ca="1" si="28"/>
        <v>38.374289895395826</v>
      </c>
      <c r="U34" s="176">
        <f t="shared" ca="1" si="29"/>
        <v>12.399999999999999</v>
      </c>
      <c r="V34" s="175">
        <f t="shared" ca="1" si="30"/>
        <v>1.5831473530148907</v>
      </c>
      <c r="W34" s="176">
        <f t="shared" ca="1" si="31"/>
        <v>4.3432574430823117</v>
      </c>
      <c r="X34" s="176">
        <f t="shared" ca="1" si="32"/>
        <v>5.9264047960972022</v>
      </c>
      <c r="Y34" s="176">
        <f t="shared" ca="1" si="33"/>
        <v>0.82041433647832041</v>
      </c>
      <c r="Z34" s="177">
        <f t="shared" ca="1" si="34"/>
        <v>0.73286547114408007</v>
      </c>
      <c r="AA34" s="155" t="str">
        <f ca="1">IF(R34&gt;=TSD,"TSD",IF(OR(E34=Constants!$C$19,Efficiency!F34=Min_tOFF_typ),IF(E34=Constants!$C$19,"Pulse Skip","Dropout"),"Normal"))</f>
        <v>Normal</v>
      </c>
    </row>
    <row r="35" spans="1:27" x14ac:dyDescent="0.25">
      <c r="A35" s="192">
        <f>Design!$D$13</f>
        <v>85</v>
      </c>
      <c r="B35" s="172">
        <f t="shared" si="35"/>
        <v>10.421052631578949</v>
      </c>
      <c r="C35" s="172">
        <f ca="1">IF(Reset=1,VF,FORECAST($B$4+Y35, OFFSET(Design!$C$16:$C$20,MATCH($B$4+Y35,Design!$B$16:$B$20,1)-1,0,2), OFFSET(Design!$B$16:$B$20,MATCH($B$4+Y35,Design!$B$16:$B$20,1)-1,0,2))+(Q35-25)*Design!$B$21/1000)</f>
        <v>0.37103219613316929</v>
      </c>
      <c r="D35" s="173">
        <f ca="1">IF(Reset=1,$D$4/(B35+$D$4),MIN(($D$4+C35+Y35*LO_DCR/1000*(1+(R35-25)*(Constants!$C$32/100)))/(B35-Y35*S35/1000+C35+$D$4),(Tsw-Min_tOFF_typ)/Tsw))</f>
        <v>0.55705507726702197</v>
      </c>
      <c r="E35" s="168">
        <f ca="1">IF(D35&gt;=(Tsw-Min_tOFF_typ)/Tsw,Tsw-Min_tOFF_typ,IF(Tsw*Efficiency!D35&gt;Constants!$C$19,Tsw*Efficiency!D35,Constants!$C$19))</f>
        <v>278.52753863351097</v>
      </c>
      <c r="F35" s="168">
        <f ca="1">IF(E35=Constants!$C$19,Tsw-Constants!$C$19,IF(Tsw*(1-Efficiency!D35)&gt;Min_tOFF_typ,Tsw*(1-Efficiency!D35),Min_tOFF_typ))</f>
        <v>221.47246136648903</v>
      </c>
      <c r="G35" s="169">
        <f ca="1">IF(Reset=1,(B35)/(L_buckboost*micro)*D35*Tsw*nano,(B35-($B$4+Y35)*(S35/1000+LO_DCR/1000*(1+(R35-A35)*(Constants!$C$32/100))))/(L_buckboost*micro)*D35*Tsw*nano)</f>
        <v>0.59786114124290657</v>
      </c>
      <c r="H35" s="174">
        <f t="shared" si="18"/>
        <v>1.1410526315789473E-4</v>
      </c>
      <c r="I35" s="175">
        <f t="shared" ca="1" si="19"/>
        <v>0.61774147920589917</v>
      </c>
      <c r="J35" s="175">
        <f t="shared" ca="1" si="20"/>
        <v>0.18711684120402236</v>
      </c>
      <c r="K35" s="175">
        <f t="shared" si="21"/>
        <v>0.22821052631578947</v>
      </c>
      <c r="L35" s="175">
        <f t="shared" ca="1" si="22"/>
        <v>1.0331829519888689</v>
      </c>
      <c r="M35" s="175">
        <f t="shared" ca="1" si="23"/>
        <v>0.18752330072883475</v>
      </c>
      <c r="N35" s="175">
        <f ca="1">(($B$4+Y35)^2+G35^2/12)*(LO_DCR/1000+LO_DCR/1000*(R35-25)*(Constants!$C$32/100))</f>
        <v>6.2528057485196922E-2</v>
      </c>
      <c r="O35" s="175">
        <f t="shared" si="24"/>
        <v>0.24477620831024932</v>
      </c>
      <c r="P35" s="175">
        <f>IF($I$4="None",V_cs^2/RFB_1,VLOOKUP($I$4,Design!$A$99:$F$102,5))</f>
        <v>7.0052539404553429E-2</v>
      </c>
      <c r="Q35" s="170">
        <f t="shared" ca="1" si="25"/>
        <v>95.313781540085913</v>
      </c>
      <c r="R35" s="170">
        <f t="shared" ca="1" si="26"/>
        <v>131.49323283949911</v>
      </c>
      <c r="S35" s="170">
        <f t="shared" ca="1" si="27"/>
        <v>252.23350352591916</v>
      </c>
      <c r="T35" s="176">
        <f t="shared" ca="1" si="28"/>
        <v>40.90181790492742</v>
      </c>
      <c r="U35" s="176">
        <f t="shared" ca="1" si="29"/>
        <v>12.399999999999999</v>
      </c>
      <c r="V35" s="175">
        <f t="shared" ca="1" si="30"/>
        <v>1.5980630579177035</v>
      </c>
      <c r="W35" s="176">
        <f t="shared" ca="1" si="31"/>
        <v>4.3432574430823117</v>
      </c>
      <c r="X35" s="176">
        <f t="shared" ca="1" si="32"/>
        <v>5.941320501000015</v>
      </c>
      <c r="Y35" s="176">
        <f t="shared" ca="1" si="33"/>
        <v>0.7907590290495714</v>
      </c>
      <c r="Z35" s="177">
        <f t="shared" ca="1" si="34"/>
        <v>0.7310256099382747</v>
      </c>
      <c r="AA35" s="155" t="str">
        <f ca="1">IF(R35&gt;=TSD,"TSD",IF(OR(E35=Constants!$C$19,Efficiency!F35=Min_tOFF_typ),IF(E35=Constants!$C$19,"Pulse Skip","Dropout"),"Normal"))</f>
        <v>Normal</v>
      </c>
    </row>
    <row r="36" spans="1:27" x14ac:dyDescent="0.25">
      <c r="A36" s="192">
        <f>Design!$D$13</f>
        <v>85</v>
      </c>
      <c r="B36" s="172">
        <f t="shared" si="35"/>
        <v>11.05263157894737</v>
      </c>
      <c r="C36" s="172">
        <f ca="1">IF(Reset=1,VF,FORECAST($B$4+Y36, OFFSET(Design!$C$16:$C$20,MATCH($B$4+Y36,Design!$B$16:$B$20,1)-1,0,2), OFFSET(Design!$B$16:$B$20,MATCH($B$4+Y36,Design!$B$16:$B$20,1)-1,0,2))+(Q36-25)*Design!$B$21/1000)</f>
        <v>0.36978514434601695</v>
      </c>
      <c r="D36" s="173">
        <f ca="1">IF(Reset=1,$D$4/(B36+$D$4),MIN(($D$4+C36+Y36*LO_DCR/1000*(1+(R36-25)*(Constants!$C$32/100)))/(B36-Y36*S36/1000+C36+$D$4),(Tsw-Min_tOFF_typ)/Tsw))</f>
        <v>0.5419420141280652</v>
      </c>
      <c r="E36" s="168">
        <f ca="1">IF(D36&gt;=(Tsw-Min_tOFF_typ)/Tsw,Tsw-Min_tOFF_typ,IF(Tsw*Efficiency!D36&gt;Constants!$C$19,Tsw*Efficiency!D36,Constants!$C$19))</f>
        <v>270.97100706403262</v>
      </c>
      <c r="F36" s="168">
        <f ca="1">IF(E36=Constants!$C$19,Tsw-Constants!$C$19,IF(Tsw*(1-Efficiency!D36)&gt;Min_tOFF_typ,Tsw*(1-Efficiency!D36),Min_tOFF_typ))</f>
        <v>229.02899293596741</v>
      </c>
      <c r="G36" s="169">
        <f ca="1">IF(Reset=1,(B36)/(L_buckboost*micro)*D36*Tsw*nano,(B36-($B$4+Y36)*(S36/1000+LO_DCR/1000*(1+(R36-A36)*(Constants!$C$32/100))))/(L_buckboost*micro)*D36*Tsw*nano)</f>
        <v>0.61847044288853892</v>
      </c>
      <c r="H36" s="174">
        <f t="shared" si="18"/>
        <v>1.1726315789473684E-4</v>
      </c>
      <c r="I36" s="175">
        <f t="shared" ca="1" si="19"/>
        <v>0.6308815834721555</v>
      </c>
      <c r="J36" s="175">
        <f t="shared" ca="1" si="20"/>
        <v>0.17448395243976753</v>
      </c>
      <c r="K36" s="175">
        <f t="shared" si="21"/>
        <v>0.23452631578947369</v>
      </c>
      <c r="L36" s="175">
        <f t="shared" ca="1" si="22"/>
        <v>1.0400091148592914</v>
      </c>
      <c r="M36" s="175">
        <f t="shared" ca="1" si="23"/>
        <v>0.18885050184606525</v>
      </c>
      <c r="N36" s="175">
        <f ca="1">(($B$4+Y36)^2+G36^2/12)*(LO_DCR/1000+LO_DCR/1000*(R36-25)*(Constants!$C$32/100))</f>
        <v>5.9913523882120873E-2</v>
      </c>
      <c r="O36" s="175">
        <f t="shared" si="24"/>
        <v>0.25851218614958454</v>
      </c>
      <c r="P36" s="175">
        <f>IF($I$4="None",V_cs^2/RFB_1,VLOOKUP($I$4,Design!$A$99:$F$102,5))</f>
        <v>7.0052539404553429E-2</v>
      </c>
      <c r="Q36" s="170">
        <f t="shared" ca="1" si="25"/>
        <v>95.386777601533595</v>
      </c>
      <c r="R36" s="170">
        <f t="shared" ca="1" si="26"/>
        <v>131.80041016866812</v>
      </c>
      <c r="S36" s="170">
        <f t="shared" ca="1" si="27"/>
        <v>252.52839376192139</v>
      </c>
      <c r="T36" s="176">
        <f t="shared" ca="1" si="28"/>
        <v>43.428967589990698</v>
      </c>
      <c r="U36" s="176">
        <f t="shared" ca="1" si="29"/>
        <v>12.399999999999999</v>
      </c>
      <c r="V36" s="175">
        <f t="shared" ca="1" si="30"/>
        <v>1.6173378661416156</v>
      </c>
      <c r="W36" s="176">
        <f t="shared" ca="1" si="31"/>
        <v>4.3432574430823117</v>
      </c>
      <c r="X36" s="176">
        <f t="shared" ca="1" si="32"/>
        <v>5.960595309223927</v>
      </c>
      <c r="Y36" s="176">
        <f t="shared" ca="1" si="33"/>
        <v>0.76466890181169034</v>
      </c>
      <c r="Z36" s="177">
        <f t="shared" ca="1" si="34"/>
        <v>0.72866168860032976</v>
      </c>
      <c r="AA36" s="155" t="str">
        <f ca="1">IF(R36&gt;=TSD,"TSD",IF(OR(E36=Constants!$C$19,Efficiency!F36=Min_tOFF_typ),IF(E36=Constants!$C$19,"Pulse Skip","Dropout"),"Normal"))</f>
        <v>Normal</v>
      </c>
    </row>
    <row r="37" spans="1:27" x14ac:dyDescent="0.25">
      <c r="A37" s="192">
        <f>Design!$D$13</f>
        <v>85</v>
      </c>
      <c r="B37" s="172">
        <f t="shared" si="35"/>
        <v>11.684210526315791</v>
      </c>
      <c r="C37" s="172">
        <f ca="1">IF(Reset=1,VF,FORECAST($B$4+Y37, OFFSET(Design!$C$16:$C$20,MATCH($B$4+Y37,Design!$B$16:$B$20,1)-1,0,2), OFFSET(Design!$B$16:$B$20,MATCH($B$4+Y37,Design!$B$16:$B$20,1)-1,0,2))+(Q37-25)*Design!$B$21/1000)</f>
        <v>0.36867360770569452</v>
      </c>
      <c r="D37" s="173">
        <f ca="1">IF(Reset=1,$D$4/(B37+$D$4),MIN(($D$4+C37+Y37*LO_DCR/1000*(1+(R37-25)*(Constants!$C$32/100)))/(B37-Y37*S37/1000+C37+$D$4),(Tsw-Min_tOFF_typ)/Tsw))</f>
        <v>0.52764875247602716</v>
      </c>
      <c r="E37" s="168">
        <f ca="1">IF(D37&gt;=(Tsw-Min_tOFF_typ)/Tsw,Tsw-Min_tOFF_typ,IF(Tsw*Efficiency!D37&gt;Constants!$C$19,Tsw*Efficiency!D37,Constants!$C$19))</f>
        <v>263.8243762380136</v>
      </c>
      <c r="F37" s="168">
        <f ca="1">IF(E37=Constants!$C$19,Tsw-Constants!$C$19,IF(Tsw*(1-Efficiency!D37)&gt;Min_tOFF_typ,Tsw*(1-Efficiency!D37),Min_tOFF_typ))</f>
        <v>236.17562376198643</v>
      </c>
      <c r="G37" s="169">
        <f ca="1">IF(Reset=1,(B37)/(L_buckboost*micro)*D37*Tsw*nano,(B37-($B$4+Y37)*(S37/1000+LO_DCR/1000*(1+(R37-A37)*(Constants!$C$32/100))))/(L_buckboost*micro)*D37*Tsw*nano)</f>
        <v>0.63796067749796204</v>
      </c>
      <c r="H37" s="174">
        <f t="shared" si="18"/>
        <v>1.2042105263157894E-4</v>
      </c>
      <c r="I37" s="175">
        <f t="shared" ca="1" si="19"/>
        <v>0.6451859620311865</v>
      </c>
      <c r="J37" s="175">
        <f t="shared" ca="1" si="20"/>
        <v>0.16362314018519092</v>
      </c>
      <c r="K37" s="175">
        <f t="shared" si="21"/>
        <v>0.24084210526315789</v>
      </c>
      <c r="L37" s="175">
        <f t="shared" ca="1" si="22"/>
        <v>1.049771628532167</v>
      </c>
      <c r="M37" s="175">
        <f t="shared" ca="1" si="23"/>
        <v>0.19012856260407815</v>
      </c>
      <c r="N37" s="175">
        <f ca="1">(($B$4+Y37)^2+G37^2/12)*(LO_DCR/1000+LO_DCR/1000*(R37-25)*(Constants!$C$32/100))</f>
        <v>5.7679982527387479E-2</v>
      </c>
      <c r="O37" s="175">
        <f t="shared" si="24"/>
        <v>0.27262312243767317</v>
      </c>
      <c r="P37" s="175">
        <f>IF($I$4="None",V_cs^2/RFB_1,VLOOKUP($I$4,Design!$A$99:$F$102,5))</f>
        <v>7.0052539404553429E-2</v>
      </c>
      <c r="Q37" s="170">
        <f t="shared" ca="1" si="25"/>
        <v>95.457070943224295</v>
      </c>
      <c r="R37" s="170">
        <f t="shared" ca="1" si="26"/>
        <v>132.23972328394751</v>
      </c>
      <c r="S37" s="170">
        <f t="shared" ca="1" si="27"/>
        <v>252.9501343525896</v>
      </c>
      <c r="T37" s="176">
        <f t="shared" ca="1" si="28"/>
        <v>45.955804036117776</v>
      </c>
      <c r="U37" s="176">
        <f t="shared" ca="1" si="29"/>
        <v>12.399999999999999</v>
      </c>
      <c r="V37" s="175">
        <f t="shared" ca="1" si="30"/>
        <v>1.6402558355058592</v>
      </c>
      <c r="W37" s="176">
        <f t="shared" ca="1" si="31"/>
        <v>4.3432574430823117</v>
      </c>
      <c r="X37" s="176">
        <f t="shared" ca="1" si="32"/>
        <v>5.9835132785881706</v>
      </c>
      <c r="Y37" s="176">
        <f t="shared" ca="1" si="33"/>
        <v>0.74153016184209519</v>
      </c>
      <c r="Z37" s="177">
        <f t="shared" ca="1" si="34"/>
        <v>0.72587077873204242</v>
      </c>
      <c r="AA37" s="155" t="str">
        <f ca="1">IF(R37&gt;=TSD,"TSD",IF(OR(E37=Constants!$C$19,Efficiency!F37=Min_tOFF_typ),IF(E37=Constants!$C$19,"Pulse Skip","Dropout"),"Normal"))</f>
        <v>Normal</v>
      </c>
    </row>
    <row r="38" spans="1:27" x14ac:dyDescent="0.25">
      <c r="A38" s="192">
        <f>Design!$D$13</f>
        <v>85</v>
      </c>
      <c r="B38" s="172">
        <f t="shared" si="35"/>
        <v>12.315789473684212</v>
      </c>
      <c r="C38" s="172">
        <f ca="1">IF(Reset=1,VF,FORECAST($B$4+Y38, OFFSET(Design!$C$16:$C$20,MATCH($B$4+Y38,Design!$B$16:$B$20,1)-1,0,2), OFFSET(Design!$B$16:$B$20,MATCH($B$4+Y38,Design!$B$16:$B$20,1)-1,0,2))+(Q38-25)*Design!$B$21/1000)</f>
        <v>0.36767599823528763</v>
      </c>
      <c r="D38" s="173">
        <f ca="1">IF(Reset=1,$D$4/(B38+$D$4),MIN(($D$4+C38+Y38*LO_DCR/1000*(1+(R38-25)*(Constants!$C$32/100)))/(B38-Y38*S38/1000+C38+$D$4),(Tsw-Min_tOFF_typ)/Tsw))</f>
        <v>0.51410694227721132</v>
      </c>
      <c r="E38" s="168">
        <f ca="1">IF(D38&gt;=(Tsw-Min_tOFF_typ)/Tsw,Tsw-Min_tOFF_typ,IF(Tsw*Efficiency!D38&gt;Constants!$C$19,Tsw*Efficiency!D38,Constants!$C$19))</f>
        <v>257.05347113860569</v>
      </c>
      <c r="F38" s="168">
        <f ca="1">IF(E38=Constants!$C$19,Tsw-Constants!$C$19,IF(Tsw*(1-Efficiency!D38)&gt;Min_tOFF_typ,Tsw*(1-Efficiency!D38),Min_tOFF_typ))</f>
        <v>242.94652886139434</v>
      </c>
      <c r="G38" s="169">
        <f ca="1">IF(Reset=1,(B38)/(L_buckboost*micro)*D38*Tsw*nano,(B38-($B$4+Y38)*(S38/1000+LO_DCR/1000*(1+(R38-A38)*(Constants!$C$32/100))))/(L_buckboost*micro)*D38*Tsw*nano)</f>
        <v>0.65642534640074901</v>
      </c>
      <c r="H38" s="174">
        <f t="shared" si="18"/>
        <v>1.2357894736842104E-4</v>
      </c>
      <c r="I38" s="175">
        <f t="shared" ca="1" si="19"/>
        <v>0.66053133807731523</v>
      </c>
      <c r="J38" s="175">
        <f t="shared" ca="1" si="20"/>
        <v>0.15419139738869889</v>
      </c>
      <c r="K38" s="175">
        <f t="shared" si="21"/>
        <v>0.2471578947368421</v>
      </c>
      <c r="L38" s="175">
        <f t="shared" ca="1" si="22"/>
        <v>1.0620042091502246</v>
      </c>
      <c r="M38" s="175">
        <f t="shared" ca="1" si="23"/>
        <v>0.19135804317657101</v>
      </c>
      <c r="N38" s="175">
        <f ca="1">(($B$4+Y38)^2+G38^2/12)*(LO_DCR/1000+LO_DCR/1000*(R38-25)*(Constants!$C$32/100))</f>
        <v>5.5755291649750786E-2</v>
      </c>
      <c r="O38" s="175">
        <f t="shared" si="24"/>
        <v>0.28710901717451526</v>
      </c>
      <c r="P38" s="175">
        <f>IF($I$4="None",V_cs^2/RFB_1,VLOOKUP($I$4,Design!$A$99:$F$102,5))</f>
        <v>7.0052539404553429E-2</v>
      </c>
      <c r="Q38" s="170">
        <f t="shared" ca="1" si="25"/>
        <v>95.524692374711407</v>
      </c>
      <c r="R38" s="170">
        <f t="shared" ca="1" si="26"/>
        <v>132.79018941176011</v>
      </c>
      <c r="S38" s="170">
        <f t="shared" ca="1" si="27"/>
        <v>253.4785818352897</v>
      </c>
      <c r="T38" s="176">
        <f t="shared" ca="1" si="28"/>
        <v>48.482377053299771</v>
      </c>
      <c r="U38" s="176">
        <f t="shared" ca="1" si="29"/>
        <v>12.399999999999999</v>
      </c>
      <c r="V38" s="175">
        <f t="shared" ca="1" si="30"/>
        <v>1.666279100555615</v>
      </c>
      <c r="W38" s="176">
        <f t="shared" ca="1" si="31"/>
        <v>4.3432574430823117</v>
      </c>
      <c r="X38" s="176">
        <f t="shared" ca="1" si="32"/>
        <v>6.0095365436379264</v>
      </c>
      <c r="Y38" s="176">
        <f t="shared" ca="1" si="33"/>
        <v>0.72086376097721228</v>
      </c>
      <c r="Z38" s="177">
        <f t="shared" ca="1" si="34"/>
        <v>0.72272752009143826</v>
      </c>
      <c r="AA38" s="155" t="str">
        <f ca="1">IF(R38&gt;=TSD,"TSD",IF(OR(E38=Constants!$C$19,Efficiency!F38=Min_tOFF_typ),IF(E38=Constants!$C$19,"Pulse Skip","Dropout"),"Normal"))</f>
        <v>Normal</v>
      </c>
    </row>
    <row r="39" spans="1:27" x14ac:dyDescent="0.25">
      <c r="A39" s="192">
        <f>Design!$D$13</f>
        <v>85</v>
      </c>
      <c r="B39" s="172">
        <f t="shared" si="35"/>
        <v>12.947368421052634</v>
      </c>
      <c r="C39" s="172">
        <f ca="1">IF(Reset=1,VF,FORECAST($B$4+Y39, OFFSET(Design!$C$16:$C$20,MATCH($B$4+Y39,Design!$B$16:$B$20,1)-1,0,2), OFFSET(Design!$B$16:$B$20,MATCH($B$4+Y39,Design!$B$16:$B$20,1)-1,0,2))+(Q39-25)*Design!$B$21/1000)</f>
        <v>0.3667751654855258</v>
      </c>
      <c r="D39" s="173">
        <f ca="1">IF(Reset=1,$D$4/(B39+$D$4),MIN(($D$4+C39+Y39*LO_DCR/1000*(1+(R39-25)*(Constants!$C$32/100)))/(B39-Y39*S39/1000+C39+$D$4),(Tsw-Min_tOFF_typ)/Tsw))</f>
        <v>0.50125631053311848</v>
      </c>
      <c r="E39" s="168">
        <f ca="1">IF(D39&gt;=(Tsw-Min_tOFF_typ)/Tsw,Tsw-Min_tOFF_typ,IF(Tsw*Efficiency!D39&gt;Constants!$C$19,Tsw*Efficiency!D39,Constants!$C$19))</f>
        <v>250.62815526655925</v>
      </c>
      <c r="F39" s="168">
        <f ca="1">IF(E39=Constants!$C$19,Tsw-Constants!$C$19,IF(Tsw*(1-Efficiency!D39)&gt;Min_tOFF_typ,Tsw*(1-Efficiency!D39),Min_tOFF_typ))</f>
        <v>249.37184473344075</v>
      </c>
      <c r="G39" s="169">
        <f ca="1">IF(Reset=1,(B39)/(L_buckboost*micro)*D39*Tsw*nano,(B39-($B$4+Y39)*(S39/1000+LO_DCR/1000*(1+(R39-A39)*(Constants!$C$32/100))))/(L_buckboost*micro)*D39*Tsw*nano)</f>
        <v>0.67394685891099815</v>
      </c>
      <c r="H39" s="174">
        <f t="shared" si="18"/>
        <v>1.2673684210526317E-4</v>
      </c>
      <c r="I39" s="175">
        <f t="shared" ca="1" si="19"/>
        <v>0.676820473455928</v>
      </c>
      <c r="J39" s="175">
        <f t="shared" ca="1" si="20"/>
        <v>0.14592816691514476</v>
      </c>
      <c r="K39" s="175">
        <f t="shared" si="21"/>
        <v>0.2534736842105263</v>
      </c>
      <c r="L39" s="175">
        <f t="shared" ca="1" si="22"/>
        <v>1.0763490614237043</v>
      </c>
      <c r="M39" s="175">
        <f t="shared" ca="1" si="23"/>
        <v>0.19254009272315342</v>
      </c>
      <c r="N39" s="175">
        <f ca="1">(($B$4+Y39)^2+G39^2/12)*(LO_DCR/1000+LO_DCR/1000*(R39-25)*(Constants!$C$32/100))</f>
        <v>5.408433069238102E-2</v>
      </c>
      <c r="O39" s="175">
        <f t="shared" si="24"/>
        <v>0.3019698703601108</v>
      </c>
      <c r="P39" s="175">
        <f>IF($I$4="None",V_cs^2/RFB_1,VLOOKUP($I$4,Design!$A$99:$F$102,5))</f>
        <v>7.0052539404553429E-2</v>
      </c>
      <c r="Q39" s="170">
        <f t="shared" ca="1" si="25"/>
        <v>95.58970509977344</v>
      </c>
      <c r="R39" s="170">
        <f t="shared" ca="1" si="26"/>
        <v>133.43570776406671</v>
      </c>
      <c r="S39" s="170">
        <f t="shared" ca="1" si="27"/>
        <v>254.09827945350403</v>
      </c>
      <c r="T39" s="176">
        <f t="shared" ca="1" si="28"/>
        <v>51.008725447686842</v>
      </c>
      <c r="U39" s="176">
        <f t="shared" ca="1" si="29"/>
        <v>12.399999999999999</v>
      </c>
      <c r="V39" s="175">
        <f t="shared" ca="1" si="30"/>
        <v>1.694995894603903</v>
      </c>
      <c r="W39" s="176">
        <f t="shared" ca="1" si="31"/>
        <v>4.3432574430823117</v>
      </c>
      <c r="X39" s="176">
        <f t="shared" ca="1" si="32"/>
        <v>6.0382533376862142</v>
      </c>
      <c r="Y39" s="176">
        <f t="shared" ca="1" si="33"/>
        <v>0.7022899826505492</v>
      </c>
      <c r="Z39" s="177">
        <f t="shared" ca="1" si="34"/>
        <v>0.71929036431363036</v>
      </c>
      <c r="AA39" s="155" t="str">
        <f ca="1">IF(R39&gt;=TSD,"TSD",IF(OR(E39=Constants!$C$19,Efficiency!F39=Min_tOFF_typ),IF(E39=Constants!$C$19,"Pulse Skip","Dropout"),"Normal"))</f>
        <v>Normal</v>
      </c>
    </row>
    <row r="40" spans="1:27" x14ac:dyDescent="0.25">
      <c r="A40" s="192">
        <f>Design!$D$13</f>
        <v>85</v>
      </c>
      <c r="B40" s="172">
        <f t="shared" si="35"/>
        <v>13.578947368421055</v>
      </c>
      <c r="C40" s="172">
        <f ca="1">IF(Reset=1,VF,FORECAST($B$4+Y40, OFFSET(Design!$C$16:$C$20,MATCH($B$4+Y40,Design!$B$16:$B$20,1)-1,0,2), OFFSET(Design!$B$16:$B$20,MATCH($B$4+Y40,Design!$B$16:$B$20,1)-1,0,2))+(Q40-25)*Design!$B$21/1000)</f>
        <v>0.36595729743678429</v>
      </c>
      <c r="D40" s="173">
        <f ca="1">IF(Reset=1,$D$4/(B40+$D$4),MIN(($D$4+C40+Y40*LO_DCR/1000*(1+(R40-25)*(Constants!$C$32/100)))/(B40-Y40*S40/1000+C40+$D$4),(Tsw-Min_tOFF_typ)/Tsw))</f>
        <v>0.48904334602207356</v>
      </c>
      <c r="E40" s="168">
        <f ca="1">IF(D40&gt;=(Tsw-Min_tOFF_typ)/Tsw,Tsw-Min_tOFF_typ,IF(Tsw*Efficiency!D40&gt;Constants!$C$19,Tsw*Efficiency!D40,Constants!$C$19))</f>
        <v>244.52167301103677</v>
      </c>
      <c r="F40" s="168">
        <f ca="1">IF(E40=Constants!$C$19,Tsw-Constants!$C$19,IF(Tsw*(1-Efficiency!D40)&gt;Min_tOFF_typ,Tsw*(1-Efficiency!D40),Min_tOFF_typ))</f>
        <v>255.47832698896323</v>
      </c>
      <c r="G40" s="169">
        <f ca="1">IF(Reset=1,(B40)/(L_buckboost*micro)*D40*Tsw*nano,(B40-($B$4+Y40)*(S40/1000+LO_DCR/1000*(1+(R40-A40)*(Constants!$C$32/100))))/(L_buckboost*micro)*D40*Tsw*nano)</f>
        <v>0.69059834911299312</v>
      </c>
      <c r="H40" s="174">
        <f t="shared" si="18"/>
        <v>1.2989473684210526E-4</v>
      </c>
      <c r="I40" s="175">
        <f t="shared" ca="1" si="19"/>
        <v>0.69397557828802092</v>
      </c>
      <c r="J40" s="175">
        <f t="shared" ca="1" si="20"/>
        <v>0.13863210348842289</v>
      </c>
      <c r="K40" s="175">
        <f t="shared" si="21"/>
        <v>0.25978947368421051</v>
      </c>
      <c r="L40" s="175">
        <f t="shared" ca="1" si="22"/>
        <v>1.0925270501974964</v>
      </c>
      <c r="M40" s="175">
        <f t="shared" ca="1" si="23"/>
        <v>0.19367622193831469</v>
      </c>
      <c r="N40" s="175">
        <f ca="1">(($B$4+Y40)^2+G40^2/12)*(LO_DCR/1000+LO_DCR/1000*(R40-25)*(Constants!$C$32/100))</f>
        <v>5.2624279015040021E-2</v>
      </c>
      <c r="O40" s="175">
        <f t="shared" si="24"/>
        <v>0.31720568199445986</v>
      </c>
      <c r="P40" s="175">
        <f>IF($I$4="None",V_cs^2/RFB_1,VLOOKUP($I$4,Design!$A$99:$F$102,5))</f>
        <v>7.0052539404553429E-2</v>
      </c>
      <c r="Q40" s="170">
        <f t="shared" ca="1" si="25"/>
        <v>95.65219220660731</v>
      </c>
      <c r="R40" s="170">
        <f t="shared" ca="1" si="26"/>
        <v>134.16371725888735</v>
      </c>
      <c r="S40" s="170">
        <f t="shared" ca="1" si="27"/>
        <v>254.79716856853184</v>
      </c>
      <c r="T40" s="176">
        <f t="shared" ca="1" si="28"/>
        <v>53.534879926063859</v>
      </c>
      <c r="U40" s="176">
        <f t="shared" ca="1" si="29"/>
        <v>12.399999999999999</v>
      </c>
      <c r="V40" s="175">
        <f t="shared" ca="1" si="30"/>
        <v>1.7260857725498644</v>
      </c>
      <c r="W40" s="176">
        <f t="shared" ca="1" si="31"/>
        <v>4.3432574430823117</v>
      </c>
      <c r="X40" s="176">
        <f t="shared" ca="1" si="32"/>
        <v>6.069343215632176</v>
      </c>
      <c r="Y40" s="176">
        <f t="shared" ca="1" si="33"/>
        <v>0.68550373949704668</v>
      </c>
      <c r="Z40" s="177">
        <f t="shared" ca="1" si="34"/>
        <v>0.71560583884856521</v>
      </c>
      <c r="AA40" s="155" t="str">
        <f ca="1">IF(R40&gt;=TSD,"TSD",IF(OR(E40=Constants!$C$19,Efficiency!F40=Min_tOFF_typ),IF(E40=Constants!$C$19,"Pulse Skip","Dropout"),"Normal"))</f>
        <v>Normal</v>
      </c>
    </row>
    <row r="41" spans="1:27" x14ac:dyDescent="0.25">
      <c r="A41" s="192">
        <f>Design!$D$13</f>
        <v>85</v>
      </c>
      <c r="B41" s="172">
        <f t="shared" si="35"/>
        <v>14.210526315789476</v>
      </c>
      <c r="C41" s="172">
        <f ca="1">IF(Reset=1,VF,FORECAST($B$4+Y41, OFFSET(Design!$C$16:$C$20,MATCH($B$4+Y41,Design!$B$16:$B$20,1)-1,0,2), OFFSET(Design!$B$16:$B$20,MATCH($B$4+Y41,Design!$B$16:$B$20,1)-1,0,2))+(Q41-25)*Design!$B$21/1000)</f>
        <v>0.36521113591818621</v>
      </c>
      <c r="D41" s="173">
        <f ca="1">IF(Reset=1,$D$4/(B41+$D$4),MIN(($D$4+C41+Y41*LO_DCR/1000*(1+(R41-25)*(Constants!$C$32/100)))/(B41-Y41*S41/1000+C41+$D$4),(Tsw-Min_tOFF_typ)/Tsw))</f>
        <v>0.47742027072405196</v>
      </c>
      <c r="E41" s="168">
        <f ca="1">IF(D41&gt;=(Tsw-Min_tOFF_typ)/Tsw,Tsw-Min_tOFF_typ,IF(Tsw*Efficiency!D41&gt;Constants!$C$19,Tsw*Efficiency!D41,Constants!$C$19))</f>
        <v>238.71013536202599</v>
      </c>
      <c r="F41" s="168">
        <f ca="1">IF(E41=Constants!$C$19,Tsw-Constants!$C$19,IF(Tsw*(1-Efficiency!D41)&gt;Min_tOFF_typ,Tsw*(1-Efficiency!D41),Min_tOFF_typ))</f>
        <v>261.28986463797401</v>
      </c>
      <c r="G41" s="169">
        <f ca="1">IF(Reset=1,(B41)/(L_buckboost*micro)*D41*Tsw*nano,(B41-($B$4+Y41)*(S41/1000+LO_DCR/1000*(1+(R41-A41)*(Constants!$C$32/100))))/(L_buckboost*micro)*D41*Tsw*nano)</f>
        <v>0.70644509395414579</v>
      </c>
      <c r="H41" s="174">
        <f t="shared" si="18"/>
        <v>1.3305263157894736E-4</v>
      </c>
      <c r="I41" s="175">
        <f t="shared" ca="1" si="19"/>
        <v>0.71193364169430484</v>
      </c>
      <c r="J41" s="175">
        <f t="shared" ca="1" si="20"/>
        <v>0.13214525204386135</v>
      </c>
      <c r="K41" s="175">
        <f t="shared" si="21"/>
        <v>0.26610526315789473</v>
      </c>
      <c r="L41" s="175">
        <f t="shared" ca="1" si="22"/>
        <v>1.1103172095276399</v>
      </c>
      <c r="M41" s="175">
        <f t="shared" ca="1" si="23"/>
        <v>0.19476815147281035</v>
      </c>
      <c r="N41" s="175">
        <f ca="1">(($B$4+Y41)^2+G41^2/12)*(LO_DCR/1000+LO_DCR/1000*(R41-25)*(Constants!$C$32/100))</f>
        <v>5.1341381319413446E-2</v>
      </c>
      <c r="O41" s="175">
        <f t="shared" si="24"/>
        <v>0.33281645207756239</v>
      </c>
      <c r="P41" s="175">
        <f>IF($I$4="None",V_cs^2/RFB_1,VLOOKUP($I$4,Design!$A$99:$F$102,5))</f>
        <v>7.0052539404553429E-2</v>
      </c>
      <c r="Q41" s="170">
        <f t="shared" ca="1" si="25"/>
        <v>95.712248331004574</v>
      </c>
      <c r="R41" s="170">
        <f t="shared" ca="1" si="26"/>
        <v>134.96427442874381</v>
      </c>
      <c r="S41" s="170">
        <f t="shared" ca="1" si="27"/>
        <v>255.56570345159406</v>
      </c>
      <c r="T41" s="176">
        <f t="shared" ca="1" si="28"/>
        <v>56.060865120652558</v>
      </c>
      <c r="U41" s="176">
        <f t="shared" ca="1" si="29"/>
        <v>12.399999999999999</v>
      </c>
      <c r="V41" s="175">
        <f t="shared" ca="1" si="30"/>
        <v>1.7592957338019795</v>
      </c>
      <c r="W41" s="176">
        <f t="shared" ca="1" si="31"/>
        <v>4.3432574430823117</v>
      </c>
      <c r="X41" s="176">
        <f t="shared" ca="1" si="32"/>
        <v>6.1025531768842907</v>
      </c>
      <c r="Y41" s="176">
        <f t="shared" ca="1" si="33"/>
        <v>0.67025695295925092</v>
      </c>
      <c r="Z41" s="177">
        <f t="shared" ca="1" si="34"/>
        <v>0.71171152748558231</v>
      </c>
      <c r="AA41" s="155" t="str">
        <f ca="1">IF(R41&gt;=TSD,"TSD",IF(OR(E41=Constants!$C$19,Efficiency!F41=Min_tOFF_typ),IF(E41=Constants!$C$19,"Pulse Skip","Dropout"),"Normal"))</f>
        <v>Normal</v>
      </c>
    </row>
    <row r="42" spans="1:27" x14ac:dyDescent="0.25">
      <c r="A42" s="192">
        <f>Design!$D$13</f>
        <v>85</v>
      </c>
      <c r="B42" s="172">
        <f t="shared" si="35"/>
        <v>14.842105263157897</v>
      </c>
      <c r="C42" s="172">
        <f ca="1">IF(Reset=1,VF,FORECAST($B$4+Y42, OFFSET(Design!$C$16:$C$20,MATCH($B$4+Y42,Design!$B$16:$B$20,1)-1,0,2), OFFSET(Design!$B$16:$B$20,MATCH($B$4+Y42,Design!$B$16:$B$20,1)-1,0,2))+(Q42-25)*Design!$B$21/1000)</f>
        <v>0.36452740544874029</v>
      </c>
      <c r="D42" s="173">
        <f ca="1">IF(Reset=1,$D$4/(B42+$D$4),MIN(($D$4+C42+Y42*LO_DCR/1000*(1+(R42-25)*(Constants!$C$32/100)))/(B42-Y42*S42/1000+C42+$D$4),(Tsw-Min_tOFF_typ)/Tsw))</f>
        <v>0.46634421849634922</v>
      </c>
      <c r="E42" s="168">
        <f ca="1">IF(D42&gt;=(Tsw-Min_tOFF_typ)/Tsw,Tsw-Min_tOFF_typ,IF(Tsw*Efficiency!D42&gt;Constants!$C$19,Tsw*Efficiency!D42,Constants!$C$19))</f>
        <v>233.17210924817462</v>
      </c>
      <c r="F42" s="168">
        <f ca="1">IF(E42=Constants!$C$19,Tsw-Constants!$C$19,IF(Tsw*(1-Efficiency!D42)&gt;Min_tOFF_typ,Tsw*(1-Efficiency!D42),Min_tOFF_typ))</f>
        <v>266.82789075182541</v>
      </c>
      <c r="G42" s="169">
        <f ca="1">IF(Reset=1,(B42)/(L_buckboost*micro)*D42*Tsw*nano,(B42-($B$4+Y42)*(S42/1000+LO_DCR/1000*(1+(R42-A42)*(Constants!$C$32/100))))/(L_buckboost*micro)*D42*Tsw*nano)</f>
        <v>0.72154564380327146</v>
      </c>
      <c r="H42" s="174">
        <f t="shared" si="18"/>
        <v>1.3621052631578948E-4</v>
      </c>
      <c r="I42" s="175">
        <f t="shared" ca="1" si="19"/>
        <v>0.73064305587267597</v>
      </c>
      <c r="J42" s="175">
        <f t="shared" ca="1" si="20"/>
        <v>0.12634202473131267</v>
      </c>
      <c r="K42" s="175">
        <f t="shared" si="21"/>
        <v>0.27242105263157895</v>
      </c>
      <c r="L42" s="175">
        <f t="shared" ca="1" si="22"/>
        <v>1.1295423437618832</v>
      </c>
      <c r="M42" s="175">
        <f t="shared" ca="1" si="23"/>
        <v>0.19581771029176395</v>
      </c>
      <c r="N42" s="175">
        <f ca="1">(($B$4+Y42)^2+G42^2/12)*(LO_DCR/1000+LO_DCR/1000*(R42-25)*(Constants!$C$32/100))</f>
        <v>5.0208680973501313E-2</v>
      </c>
      <c r="O42" s="175">
        <f t="shared" si="24"/>
        <v>0.34880218060941831</v>
      </c>
      <c r="P42" s="175">
        <f>IF($I$4="None",V_cs^2/RFB_1,VLOOKUP($I$4,Design!$A$99:$F$102,5))</f>
        <v>7.0052539404553429E-2</v>
      </c>
      <c r="Q42" s="170">
        <f t="shared" ca="1" si="25"/>
        <v>95.769974066047013</v>
      </c>
      <c r="R42" s="170">
        <f t="shared" ca="1" si="26"/>
        <v>135.82940546928475</v>
      </c>
      <c r="S42" s="170">
        <f t="shared" ca="1" si="27"/>
        <v>256.39622925051333</v>
      </c>
      <c r="T42" s="176">
        <f t="shared" ca="1" si="28"/>
        <v>58.586701031770588</v>
      </c>
      <c r="U42" s="176">
        <f t="shared" ca="1" si="29"/>
        <v>12.399999999999999</v>
      </c>
      <c r="V42" s="175">
        <f t="shared" ca="1" si="30"/>
        <v>1.7944234550411204</v>
      </c>
      <c r="W42" s="176">
        <f t="shared" ca="1" si="31"/>
        <v>4.3432574430823117</v>
      </c>
      <c r="X42" s="176">
        <f t="shared" ca="1" si="32"/>
        <v>6.1376808981234321</v>
      </c>
      <c r="Y42" s="176">
        <f t="shared" ca="1" si="33"/>
        <v>0.65634573663917284</v>
      </c>
      <c r="Z42" s="177">
        <f t="shared" ca="1" si="34"/>
        <v>0.7076381967674864</v>
      </c>
      <c r="AA42" s="155" t="str">
        <f ca="1">IF(R42&gt;=TSD,"TSD",IF(OR(E42=Constants!$C$19,Efficiency!F42=Min_tOFF_typ),IF(E42=Constants!$C$19,"Pulse Skip","Dropout"),"Normal"))</f>
        <v>Normal</v>
      </c>
    </row>
    <row r="43" spans="1:27" x14ac:dyDescent="0.25">
      <c r="A43" s="192">
        <f>Design!$D$13</f>
        <v>85</v>
      </c>
      <c r="B43" s="172">
        <f t="shared" si="35"/>
        <v>15.473684210526319</v>
      </c>
      <c r="C43" s="172">
        <f ca="1">IF(Reset=1,VF,FORECAST($B$4+Y43, OFFSET(Design!$C$16:$C$20,MATCH($B$4+Y43,Design!$B$16:$B$20,1)-1,0,2), OFFSET(Design!$B$16:$B$20,MATCH($B$4+Y43,Design!$B$16:$B$20,1)-1,0,2))+(Q43-25)*Design!$B$21/1000)</f>
        <v>0.36374915795027973</v>
      </c>
      <c r="D43" s="173">
        <f ca="1">IF(Reset=1,$D$4/(B43+$D$4),MIN(($D$4+C43+Y43*LO_DCR/1000*(1+(R43-25)*(Constants!$C$32/100)))/(B43-Y43*S43/1000+C43+$D$4),(Tsw-Min_tOFF_typ)/Tsw))</f>
        <v>0.45577365109861873</v>
      </c>
      <c r="E43" s="168">
        <f ca="1">IF(D43&gt;=(Tsw-Min_tOFF_typ)/Tsw,Tsw-Min_tOFF_typ,IF(Tsw*Efficiency!D43&gt;Constants!$C$19,Tsw*Efficiency!D43,Constants!$C$19))</f>
        <v>227.88682554930935</v>
      </c>
      <c r="F43" s="168">
        <f ca="1">IF(E43=Constants!$C$19,Tsw-Constants!$C$19,IF(Tsw*(1-Efficiency!D43)&gt;Min_tOFF_typ,Tsw*(1-Efficiency!D43),Min_tOFF_typ))</f>
        <v>272.11317445069062</v>
      </c>
      <c r="G43" s="169">
        <f ca="1">IF(Reset=1,(B43)/(L_buckboost*micro)*D43*Tsw*nano,(B43-($B$4+Y43)*(S43/1000+LO_DCR/1000*(1+(R43-A43)*(Constants!$C$32/100))))/(L_buckboost*micro)*D43*Tsw*nano)</f>
        <v>0.7359480931862632</v>
      </c>
      <c r="H43" s="174">
        <f t="shared" si="18"/>
        <v>1.3936842105263157E-4</v>
      </c>
      <c r="I43" s="175">
        <f t="shared" ca="1" si="19"/>
        <v>0.75005711130519026</v>
      </c>
      <c r="J43" s="175">
        <f t="shared" ca="1" si="20"/>
        <v>0.12111959987663648</v>
      </c>
      <c r="K43" s="175">
        <f t="shared" si="21"/>
        <v>0.27873684210526317</v>
      </c>
      <c r="L43" s="175">
        <f t="shared" ca="1" si="22"/>
        <v>1.1500529217081426</v>
      </c>
      <c r="M43" s="175">
        <f t="shared" ca="1" si="23"/>
        <v>0.19674642175044219</v>
      </c>
      <c r="N43" s="175">
        <f ca="1">(($B$4+Y43)^2+G43^2/12)*(LO_DCR/1000+LO_DCR/1000*(R43-25)*(Constants!$C$32/100))</f>
        <v>4.9204010841339081E-2</v>
      </c>
      <c r="O43" s="175">
        <f t="shared" si="24"/>
        <v>0.36516286759002775</v>
      </c>
      <c r="P43" s="175">
        <f>IF($I$4="None",V_cs^2/RFB_1,VLOOKUP($I$4,Design!$A$99:$F$102,5))</f>
        <v>7.0052539404553429E-2</v>
      </c>
      <c r="Q43" s="170">
        <f t="shared" ca="1" si="25"/>
        <v>95.82105319627432</v>
      </c>
      <c r="R43" s="170">
        <f t="shared" ca="1" si="26"/>
        <v>136.75238147686642</v>
      </c>
      <c r="S43" s="170">
        <f t="shared" ca="1" si="27"/>
        <v>257.28228621779175</v>
      </c>
      <c r="T43" s="176">
        <f t="shared" ca="1" si="28"/>
        <v>61.112553657930434</v>
      </c>
      <c r="U43" s="176">
        <f t="shared" ca="1" si="29"/>
        <v>12.399999999999999</v>
      </c>
      <c r="V43" s="175">
        <f t="shared" ca="1" si="30"/>
        <v>1.8312187612945052</v>
      </c>
      <c r="W43" s="176">
        <f t="shared" ca="1" si="31"/>
        <v>4.3432574430823117</v>
      </c>
      <c r="X43" s="176">
        <f t="shared" ca="1" si="32"/>
        <v>6.1744762043768171</v>
      </c>
      <c r="Y43" s="176">
        <f t="shared" ca="1" si="33"/>
        <v>0.64359746221371938</v>
      </c>
      <c r="Z43" s="177">
        <f t="shared" ca="1" si="34"/>
        <v>0.70342119708932815</v>
      </c>
      <c r="AA43" s="155" t="str">
        <f ca="1">IF(R43&gt;=TSD,"TSD",IF(OR(E43=Constants!$C$19,Efficiency!F43=Min_tOFF_typ),IF(E43=Constants!$C$19,"Pulse Skip","Dropout"),"Normal"))</f>
        <v>Normal</v>
      </c>
    </row>
    <row r="44" spans="1:27" x14ac:dyDescent="0.25">
      <c r="A44" s="192">
        <f>Design!$D$13</f>
        <v>85</v>
      </c>
      <c r="B44" s="172">
        <f t="shared" si="35"/>
        <v>16.10526315789474</v>
      </c>
      <c r="C44" s="172">
        <f ca="1">IF(Reset=1,VF,FORECAST($B$4+Y44, OFFSET(Design!$C$16:$C$20,MATCH($B$4+Y44,Design!$B$16:$B$20,1)-1,0,2), OFFSET(Design!$B$16:$B$20,MATCH($B$4+Y44,Design!$B$16:$B$20,1)-1,0,2))+(Q44-25)*Design!$B$21/1000)</f>
        <v>0.36288347154758838</v>
      </c>
      <c r="D44" s="173">
        <f ca="1">IF(Reset=1,$D$4/(B44+$D$4),MIN(($D$4+C44+Y44*LO_DCR/1000*(1+(R44-25)*(Constants!$C$32/100)))/(B44-Y44*S44/1000+C44+$D$4),(Tsw-Min_tOFF_typ)/Tsw))</f>
        <v>0.44567394483974843</v>
      </c>
      <c r="E44" s="168">
        <f ca="1">IF(D44&gt;=(Tsw-Min_tOFF_typ)/Tsw,Tsw-Min_tOFF_typ,IF(Tsw*Efficiency!D44&gt;Constants!$C$19,Tsw*Efficiency!D44,Constants!$C$19))</f>
        <v>222.8369724198742</v>
      </c>
      <c r="F44" s="168">
        <f ca="1">IF(E44=Constants!$C$19,Tsw-Constants!$C$19,IF(Tsw*(1-Efficiency!D44)&gt;Min_tOFF_typ,Tsw*(1-Efficiency!D44),Min_tOFF_typ))</f>
        <v>277.1630275801258</v>
      </c>
      <c r="G44" s="169">
        <f ca="1">IF(Reset=1,(B44)/(L_buckboost*micro)*D44*Tsw*nano,(B44-($B$4+Y44)*(S44/1000+LO_DCR/1000*(1+(R44-A44)*(Constants!$C$32/100))))/(L_buckboost*micro)*D44*Tsw*nano)</f>
        <v>0.74970003185853729</v>
      </c>
      <c r="H44" s="174">
        <f t="shared" si="18"/>
        <v>1.425263157894737E-4</v>
      </c>
      <c r="I44" s="175">
        <f t="shared" ca="1" si="19"/>
        <v>0.77014050174713444</v>
      </c>
      <c r="J44" s="175">
        <f t="shared" ca="1" si="20"/>
        <v>0.11639615662113602</v>
      </c>
      <c r="K44" s="175">
        <f t="shared" si="21"/>
        <v>0.28505263157894739</v>
      </c>
      <c r="L44" s="175">
        <f t="shared" ca="1" si="22"/>
        <v>1.1717318162630073</v>
      </c>
      <c r="M44" s="175">
        <f t="shared" ca="1" si="23"/>
        <v>0.1975619036124065</v>
      </c>
      <c r="N44" s="175">
        <f ca="1">(($B$4+Y44)^2+G44^2/12)*(LO_DCR/1000+LO_DCR/1000*(R44-25)*(Constants!$C$32/100))</f>
        <v>4.8309672000502096E-2</v>
      </c>
      <c r="O44" s="175">
        <f t="shared" si="24"/>
        <v>0.38189851301939065</v>
      </c>
      <c r="P44" s="175">
        <f>IF($I$4="None",V_cs^2/RFB_1,VLOOKUP($I$4,Design!$A$99:$F$102,5))</f>
        <v>7.0052539404553429E-2</v>
      </c>
      <c r="Q44" s="170">
        <f t="shared" ca="1" si="25"/>
        <v>95.865904698682357</v>
      </c>
      <c r="R44" s="170">
        <f t="shared" ca="1" si="26"/>
        <v>137.72793173183533</v>
      </c>
      <c r="S44" s="170">
        <f t="shared" ca="1" si="27"/>
        <v>258.21881446256191</v>
      </c>
      <c r="T44" s="176">
        <f t="shared" ca="1" si="28"/>
        <v>63.638423010171394</v>
      </c>
      <c r="U44" s="176">
        <f t="shared" ca="1" si="29"/>
        <v>12.399999999999999</v>
      </c>
      <c r="V44" s="175">
        <f t="shared" ca="1" si="30"/>
        <v>1.86955444429986</v>
      </c>
      <c r="W44" s="176">
        <f t="shared" ca="1" si="31"/>
        <v>4.3432574430823117</v>
      </c>
      <c r="X44" s="176">
        <f t="shared" ca="1" si="32"/>
        <v>6.2128118873821716</v>
      </c>
      <c r="Y44" s="176">
        <f t="shared" ca="1" si="33"/>
        <v>0.63187124935252914</v>
      </c>
      <c r="Z44" s="177">
        <f t="shared" ca="1" si="34"/>
        <v>0.69908079011746571</v>
      </c>
      <c r="AA44" s="155" t="str">
        <f ca="1">IF(R44&gt;=TSD,"TSD",IF(OR(E44=Constants!$C$19,Efficiency!F44=Min_tOFF_typ),IF(E44=Constants!$C$19,"Pulse Skip","Dropout"),"Normal"))</f>
        <v>Normal</v>
      </c>
    </row>
    <row r="45" spans="1:27" x14ac:dyDescent="0.25">
      <c r="A45" s="192">
        <f>Design!$D$13</f>
        <v>85</v>
      </c>
      <c r="B45" s="172">
        <f t="shared" si="35"/>
        <v>16.736842105263161</v>
      </c>
      <c r="C45" s="172">
        <f ca="1">IF(Reset=1,VF,FORECAST($B$4+Y45, OFFSET(Design!$C$16:$C$20,MATCH($B$4+Y45,Design!$B$16:$B$20,1)-1,0,2), OFFSET(Design!$B$16:$B$20,MATCH($B$4+Y45,Design!$B$16:$B$20,1)-1,0,2))+(Q45-25)*Design!$B$21/1000)</f>
        <v>0.36208269143153321</v>
      </c>
      <c r="D45" s="173">
        <f ca="1">IF(Reset=1,$D$4/(B45+$D$4),MIN(($D$4+C45+Y45*LO_DCR/1000*(1+(R45-25)*(Constants!$C$32/100)))/(B45-Y45*S45/1000+C45+$D$4),(Tsw-Min_tOFF_typ)/Tsw))</f>
        <v>0.43601650958829818</v>
      </c>
      <c r="E45" s="168">
        <f ca="1">IF(D45&gt;=(Tsw-Min_tOFF_typ)/Tsw,Tsw-Min_tOFF_typ,IF(Tsw*Efficiency!D45&gt;Constants!$C$19,Tsw*Efficiency!D45,Constants!$C$19))</f>
        <v>218.00825479414908</v>
      </c>
      <c r="F45" s="168">
        <f ca="1">IF(E45=Constants!$C$19,Tsw-Constants!$C$19,IF(Tsw*(1-Efficiency!D45)&gt;Min_tOFF_typ,Tsw*(1-Efficiency!D45),Min_tOFF_typ))</f>
        <v>281.99174520585092</v>
      </c>
      <c r="G45" s="169">
        <f ca="1">IF(Reset=1,(B45)/(L_buckboost*micro)*D45*Tsw*nano,(B45-($B$4+Y45)*(S45/1000+LO_DCR/1000*(1+(R45-A45)*(Constants!$C$32/100))))/(L_buckboost*micro)*D45*Tsw*nano)</f>
        <v>0.76284954832674245</v>
      </c>
      <c r="H45" s="174">
        <f t="shared" si="18"/>
        <v>1.4568421052631579E-4</v>
      </c>
      <c r="I45" s="175">
        <f t="shared" ca="1" si="19"/>
        <v>0.7908674772639227</v>
      </c>
      <c r="J45" s="175">
        <f t="shared" ca="1" si="20"/>
        <v>0.11210604736047311</v>
      </c>
      <c r="K45" s="175">
        <f t="shared" si="21"/>
        <v>0.29136842105263161</v>
      </c>
      <c r="L45" s="175">
        <f t="shared" ca="1" si="22"/>
        <v>1.1944876298875537</v>
      </c>
      <c r="M45" s="175">
        <f t="shared" ca="1" si="23"/>
        <v>0.19835073609903769</v>
      </c>
      <c r="N45" s="175">
        <f ca="1">(($B$4+Y45)^2+G45^2/12)*(LO_DCR/1000+LO_DCR/1000*(R45-25)*(Constants!$C$32/100))</f>
        <v>4.751142490005919E-2</v>
      </c>
      <c r="O45" s="175">
        <f t="shared" si="24"/>
        <v>0.39900911689750701</v>
      </c>
      <c r="P45" s="175">
        <f>IF($I$4="None",V_cs^2/RFB_1,VLOOKUP($I$4,Design!$A$99:$F$102,5))</f>
        <v>7.0052539404553429E-2</v>
      </c>
      <c r="Q45" s="170">
        <f t="shared" ca="1" si="25"/>
        <v>95.909290485447073</v>
      </c>
      <c r="R45" s="170">
        <f t="shared" ca="1" si="26"/>
        <v>138.75194334493992</v>
      </c>
      <c r="S45" s="170">
        <f t="shared" ca="1" si="27"/>
        <v>259.2018656111423</v>
      </c>
      <c r="T45" s="176">
        <f t="shared" ca="1" si="28"/>
        <v>66.164162275174675</v>
      </c>
      <c r="U45" s="176">
        <f t="shared" ca="1" si="29"/>
        <v>12.399999999999999</v>
      </c>
      <c r="V45" s="175">
        <f t="shared" ca="1" si="30"/>
        <v>1.9094114471887111</v>
      </c>
      <c r="W45" s="176">
        <f t="shared" ca="1" si="31"/>
        <v>4.3432574430823117</v>
      </c>
      <c r="X45" s="176">
        <f t="shared" ca="1" si="32"/>
        <v>6.252668890271023</v>
      </c>
      <c r="Y45" s="176">
        <f t="shared" ca="1" si="33"/>
        <v>0.62105133036266569</v>
      </c>
      <c r="Z45" s="177">
        <f t="shared" ca="1" si="34"/>
        <v>0.69462457061180671</v>
      </c>
      <c r="AA45" s="155" t="str">
        <f ca="1">IF(R45&gt;=TSD,"TSD",IF(OR(E45=Constants!$C$19,Efficiency!F45=Min_tOFF_typ),IF(E45=Constants!$C$19,"Pulse Skip","Dropout"),"Normal"))</f>
        <v>Normal</v>
      </c>
    </row>
    <row r="46" spans="1:27" x14ac:dyDescent="0.25">
      <c r="A46" s="192">
        <f>Design!$D$13</f>
        <v>85</v>
      </c>
      <c r="B46" s="172">
        <f t="shared" si="35"/>
        <v>17.368421052631582</v>
      </c>
      <c r="C46" s="172">
        <f ca="1">IF(Reset=1,VF,FORECAST($B$4+Y46, OFFSET(Design!$C$16:$C$20,MATCH($B$4+Y46,Design!$B$16:$B$20,1)-1,0,2), OFFSET(Design!$B$16:$B$20,MATCH($B$4+Y46,Design!$B$16:$B$20,1)-1,0,2))+(Q46-25)*Design!$B$21/1000)</f>
        <v>0.36133966132241924</v>
      </c>
      <c r="D46" s="173">
        <f ca="1">IF(Reset=1,$D$4/(B46+$D$4),MIN(($D$4+C46+Y46*LO_DCR/1000*(1+(R46-25)*(Constants!$C$32/100)))/(B46-Y46*S46/1000+C46+$D$4),(Tsw-Min_tOFF_typ)/Tsw))</f>
        <v>0.42677245792364593</v>
      </c>
      <c r="E46" s="168">
        <f ca="1">IF(D46&gt;=(Tsw-Min_tOFF_typ)/Tsw,Tsw-Min_tOFF_typ,IF(Tsw*Efficiency!D46&gt;Constants!$C$19,Tsw*Efficiency!D46,Constants!$C$19))</f>
        <v>213.38622896182298</v>
      </c>
      <c r="F46" s="168">
        <f ca="1">IF(E46=Constants!$C$19,Tsw-Constants!$C$19,IF(Tsw*(1-Efficiency!D46)&gt;Min_tOFF_typ,Tsw*(1-Efficiency!D46),Min_tOFF_typ))</f>
        <v>286.61377103817705</v>
      </c>
      <c r="G46" s="169">
        <f ca="1">IF(Reset=1,(B46)/(L_buckboost*micro)*D46*Tsw*nano,(B46-($B$4+Y46)*(S46/1000+LO_DCR/1000*(1+(R46-A46)*(Constants!$C$32/100))))/(L_buckboost*micro)*D46*Tsw*nano)</f>
        <v>0.77543602322787342</v>
      </c>
      <c r="H46" s="174">
        <f t="shared" si="18"/>
        <v>1.4884210526315791E-4</v>
      </c>
      <c r="I46" s="175">
        <f t="shared" ca="1" si="19"/>
        <v>0.81221255271516635</v>
      </c>
      <c r="J46" s="175">
        <f t="shared" ca="1" si="20"/>
        <v>0.1081932210798378</v>
      </c>
      <c r="K46" s="175">
        <f t="shared" si="21"/>
        <v>0.29768421052631583</v>
      </c>
      <c r="L46" s="175">
        <f t="shared" ca="1" si="22"/>
        <v>1.2182388264265831</v>
      </c>
      <c r="M46" s="175">
        <f t="shared" ca="1" si="23"/>
        <v>0.19911366278002518</v>
      </c>
      <c r="N46" s="175">
        <f ca="1">(($B$4+Y46)^2+G46^2/12)*(LO_DCR/1000+LO_DCR/1000*(R46-25)*(Constants!$C$32/100))</f>
        <v>4.6797070959431621E-2</v>
      </c>
      <c r="O46" s="175">
        <f t="shared" si="24"/>
        <v>0.41649467922437683</v>
      </c>
      <c r="P46" s="175">
        <f>IF($I$4="None",V_cs^2/RFB_1,VLOOKUP($I$4,Design!$A$99:$F$102,5))</f>
        <v>7.0052539404553429E-2</v>
      </c>
      <c r="Q46" s="170">
        <f t="shared" ca="1" si="25"/>
        <v>95.951251452901388</v>
      </c>
      <c r="R46" s="170">
        <f t="shared" ca="1" si="26"/>
        <v>139.82074718919625</v>
      </c>
      <c r="S46" s="170">
        <f t="shared" ca="1" si="27"/>
        <v>260.22791730162839</v>
      </c>
      <c r="T46" s="176">
        <f t="shared" ca="1" si="28"/>
        <v>68.689783544227922</v>
      </c>
      <c r="U46" s="176">
        <f t="shared" ca="1" si="29"/>
        <v>12.399999999999999</v>
      </c>
      <c r="V46" s="175">
        <f t="shared" ca="1" si="30"/>
        <v>1.9506967787949703</v>
      </c>
      <c r="W46" s="176">
        <f t="shared" ca="1" si="31"/>
        <v>4.3432574430823117</v>
      </c>
      <c r="X46" s="176">
        <f t="shared" ca="1" si="32"/>
        <v>6.2939542218772822</v>
      </c>
      <c r="Y46" s="176">
        <f t="shared" ca="1" si="33"/>
        <v>0.61103605691038487</v>
      </c>
      <c r="Z46" s="177">
        <f t="shared" ca="1" si="34"/>
        <v>0.69006816541269012</v>
      </c>
      <c r="AA46" s="155" t="str">
        <f ca="1">IF(R46&gt;=TSD,"TSD",IF(OR(E46=Constants!$C$19,Efficiency!F46=Min_tOFF_typ),IF(E46=Constants!$C$19,"Pulse Skip","Dropout"),"Normal"))</f>
        <v>Normal</v>
      </c>
    </row>
    <row r="47" spans="1:27" ht="15.75" thickBot="1" x14ac:dyDescent="0.3">
      <c r="A47" s="193">
        <f>Design!$D$13</f>
        <v>85</v>
      </c>
      <c r="B47" s="178">
        <f>Design!D4</f>
        <v>18</v>
      </c>
      <c r="C47" s="172">
        <f ca="1">IF(Reset=1,VF,FORECAST($B$4+Y47, OFFSET(Design!$C$16:$C$20,MATCH($B$4+Y47,Design!$B$16:$B$20,1)-1,0,2), OFFSET(Design!$B$16:$B$20,MATCH($B$4+Y47,Design!$B$16:$B$20,1)-1,0,2))+(Q47-25)*Design!$B$21/1000)</f>
        <v>0.36064825139996037</v>
      </c>
      <c r="D47" s="366">
        <f ca="1">IF(Reset=1,$D$4/(B47+$D$4),MIN(($D$4+C47+Y47*LO_DCR/1000*(1+(R47-25)*(Constants!$C$32/100)))/(B47-Y47*S47/1000+C47+$D$4),(Tsw-Min_tOFF_typ)/Tsw))</f>
        <v>0.41791543015392763</v>
      </c>
      <c r="E47" s="168">
        <f ca="1">IF(D47&gt;=(Tsw-Min_tOFF_typ)/Tsw,Tsw-Min_tOFF_typ,IF(Tsw*Efficiency!D47&gt;Constants!$C$19,Tsw*Efficiency!D47,Constants!$C$19))</f>
        <v>208.95771507696381</v>
      </c>
      <c r="F47" s="179">
        <f ca="1">IF(E47=Constants!$C$19,Tsw-Constants!$C$19,IF(Tsw*(1-Efficiency!D47)&gt;Min_tOFF_typ,Tsw*(1-Efficiency!D47),Min_tOFF_typ))</f>
        <v>291.04228492303616</v>
      </c>
      <c r="G47" s="180">
        <f ca="1">IF(Reset=1,(B47)/(L_buckboost*micro)*D47*Tsw*nano,(B47-($B$4+Y47)*(S47/1000+LO_DCR/1000*(1+(R47-A47)*(Constants!$C$32/100))))/(L_buckboost*micro)*D47*Tsw*nano)</f>
        <v>0.78749538727172963</v>
      </c>
      <c r="H47" s="181">
        <f t="shared" si="18"/>
        <v>1.5199999999999998E-4</v>
      </c>
      <c r="I47" s="182">
        <f t="shared" ca="1" si="19"/>
        <v>0.83415398083690828</v>
      </c>
      <c r="J47" s="182">
        <f t="shared" ca="1" si="20"/>
        <v>0.10461084972795945</v>
      </c>
      <c r="K47" s="182">
        <f t="shared" si="21"/>
        <v>0.30399999999999999</v>
      </c>
      <c r="L47" s="182">
        <f ca="1">SUM(H47:K47)</f>
        <v>1.2429168305648677</v>
      </c>
      <c r="M47" s="175">
        <f t="shared" ca="1" si="23"/>
        <v>0.19985150041395608</v>
      </c>
      <c r="N47" s="175">
        <f ca="1">(($B$4+Y47)^2+G47^2/12)*(LO_DCR/1000+LO_DCR/1000*(R47-25)*(Constants!$C$32/100))</f>
        <v>4.6156391816637693E-2</v>
      </c>
      <c r="O47" s="182">
        <f t="shared" si="24"/>
        <v>0.43435520000000005</v>
      </c>
      <c r="P47" s="182">
        <f>IF($I$4="None",V_cs^2/RFB_1,VLOOKUP($I$4,Design!$A$99:$F$102,5))</f>
        <v>7.0052539404553429E-2</v>
      </c>
      <c r="Q47" s="183">
        <f t="shared" ca="1" si="25"/>
        <v>95.991832522767581</v>
      </c>
      <c r="R47" s="170">
        <f t="shared" ca="1" si="26"/>
        <v>140.93125737541905</v>
      </c>
      <c r="S47" s="170">
        <f t="shared" ca="1" si="27"/>
        <v>261.29400708040225</v>
      </c>
      <c r="T47" s="184">
        <f t="shared" ca="1" si="28"/>
        <v>71.215297097699334</v>
      </c>
      <c r="U47" s="176">
        <f t="shared" ca="1" si="29"/>
        <v>12.399999999999999</v>
      </c>
      <c r="V47" s="182">
        <f t="shared" ca="1" si="30"/>
        <v>1.9933324622000148</v>
      </c>
      <c r="W47" s="184">
        <f t="shared" ca="1" si="31"/>
        <v>4.3432574430823117</v>
      </c>
      <c r="X47" s="184">
        <f t="shared" ca="1" si="32"/>
        <v>6.3365899052823265</v>
      </c>
      <c r="Y47" s="176">
        <f t="shared" ca="1" si="33"/>
        <v>0.60173850187334688</v>
      </c>
      <c r="Z47" s="185">
        <f t="shared" ca="1" si="34"/>
        <v>0.68542504848888408</v>
      </c>
      <c r="AA47" s="155" t="str">
        <f ca="1">IF(R47&gt;=TSD,"TSD",IF(OR(E47=Constants!$C$19,Efficiency!F47=Min_tOFF_typ),IF(E47=Constants!$C$19,"Pulse Skip","Dropout"),"Normal"))</f>
        <v>Normal</v>
      </c>
    </row>
    <row r="48" spans="1:27" ht="15.75" thickBot="1" x14ac:dyDescent="0.3">
      <c r="A48" s="193">
        <f>Design!$D$13</f>
        <v>85</v>
      </c>
      <c r="B48" s="178">
        <f>Vin_nom</f>
        <v>13.5</v>
      </c>
      <c r="C48" s="167">
        <f ca="1">IF(Reset=1,VF,FORECAST($B$4+Y48, OFFSET(Design!$C$16:$C$20,MATCH($B$4+Y48,Design!$B$16:$B$20,1)-1,0,2), OFFSET(Design!$B$16:$B$20,MATCH($B$4+Y48,Design!$B$16:$B$20,1)-1,0,2))+(Q48-25)*Design!$B$21/1000)</f>
        <v>0.36605539966901651</v>
      </c>
      <c r="D48" s="367">
        <f ca="1">IF(Reset=1,$D$4/(B48+$D$4),MIN(($D$4+C48+Y48*LO_DCR/1000*(1+(R48-25)*(Constants!$C$32/100)))/(B48-Y48*S48/1000+C48+$D$4),(Tsw-Min_tOFF_typ)/Tsw))</f>
        <v>0.49053677743076424</v>
      </c>
      <c r="E48" s="215">
        <f ca="1">IF(D48&gt;=(Tsw-Min_tOFF_typ)/Tsw,Tsw-Min_tOFF_typ,IF(Tsw*Efficiency!D48&gt;Constants!$C$19,Tsw*Efficiency!D48,Constants!$C$19))</f>
        <v>245.26838871538212</v>
      </c>
      <c r="F48" s="179">
        <f ca="1">IF(E48=Constants!$C$19,Tsw-Constants!$C$19,IF(Tsw*(1-Efficiency!D48)&gt;Min_tOFF_typ,Tsw*(1-Efficiency!D48),Min_tOFF_typ))</f>
        <v>254.73161128461786</v>
      </c>
      <c r="G48" s="180">
        <f ca="1">IF(Reset=1,(B48)/(L_buckboost*micro)*D48*Tsw*nano,(B48-($B$4+Y48)*(S48/1000+LO_DCR/1000*(1+(R48-A48)*(Constants!$C$32/100))))/(L_buckboost*micro)*D48*Tsw*nano)</f>
        <v>0.68856219222604975</v>
      </c>
      <c r="H48" s="181">
        <f t="shared" si="18"/>
        <v>1.295E-4</v>
      </c>
      <c r="I48" s="216">
        <f t="shared" ca="1" si="19"/>
        <v>0.69178610755728753</v>
      </c>
      <c r="J48" s="182">
        <f t="shared" ca="1" si="20"/>
        <v>0.13949696716808857</v>
      </c>
      <c r="K48" s="216">
        <f t="shared" si="21"/>
        <v>0.25899999999999995</v>
      </c>
      <c r="L48" s="182">
        <f t="shared" ca="1" si="22"/>
        <v>1.0904125747253761</v>
      </c>
      <c r="M48" s="216">
        <f t="shared" ca="1" si="23"/>
        <v>0.19353665962285932</v>
      </c>
      <c r="N48" s="216">
        <f ca="1">(($B$4+Y48)^2+G48^2/12)*(LO_DCR/1000+LO_DCR/1000*(R48-25)*(Constants!$C$32/100))</f>
        <v>5.2796478249936551E-2</v>
      </c>
      <c r="O48" s="182">
        <f t="shared" si="24"/>
        <v>0.31528070000000002</v>
      </c>
      <c r="P48" s="182">
        <f>IF($I$4="None",V_cs^2/RFB_1,VLOOKUP($I$4,Design!$A$99:$F$102,5))</f>
        <v>7.0052539404553429E-2</v>
      </c>
      <c r="Q48" s="183">
        <f t="shared" ca="1" si="25"/>
        <v>95.64451627925726</v>
      </c>
      <c r="R48" s="189">
        <f t="shared" ca="1" si="26"/>
        <v>134.06856586264192</v>
      </c>
      <c r="S48" s="189">
        <f t="shared" ca="1" si="27"/>
        <v>254.70582322813624</v>
      </c>
      <c r="T48" s="184">
        <f t="shared" ca="1" si="28"/>
        <v>53.219120329608565</v>
      </c>
      <c r="U48" s="188">
        <f t="shared" ca="1" si="29"/>
        <v>12.399999999999999</v>
      </c>
      <c r="V48" s="182">
        <f t="shared" ca="1" si="30"/>
        <v>1.7220789520027255</v>
      </c>
      <c r="W48" s="184">
        <f t="shared" ca="1" si="31"/>
        <v>4.3432574430823117</v>
      </c>
      <c r="X48" s="184">
        <f t="shared" ca="1" si="32"/>
        <v>6.065336395085037</v>
      </c>
      <c r="Y48" s="190">
        <f t="shared" ca="1" si="33"/>
        <v>0.68751321293887246</v>
      </c>
      <c r="Z48" s="185">
        <f t="shared" ca="1" si="34"/>
        <v>0.71607857506498918</v>
      </c>
      <c r="AA48" s="213" t="str">
        <f ca="1">IF(R48&gt;=TSD,"TSD",IF(OR(E48=Constants!$C$19,Efficiency!F48=Min_tOFF_typ),IF(E48=Constants!$C$19,"Pulse Skip","Dropout"),"Normal"))</f>
        <v>Normal</v>
      </c>
    </row>
    <row r="49" spans="1:27" x14ac:dyDescent="0.25">
      <c r="A49" s="231"/>
      <c r="B49" s="228"/>
      <c r="C49" s="281"/>
      <c r="D49" s="281"/>
      <c r="E49" s="281"/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28"/>
      <c r="T49" s="228"/>
      <c r="U49" s="281"/>
      <c r="V49" s="228"/>
      <c r="W49" s="228"/>
      <c r="X49" s="228"/>
      <c r="Y49" s="281"/>
      <c r="Z49" s="228"/>
      <c r="AA49" s="228"/>
    </row>
    <row r="50" spans="1:27" x14ac:dyDescent="0.25">
      <c r="A50" s="282">
        <f>B6</f>
        <v>6</v>
      </c>
      <c r="B50" s="282">
        <f>TSD</f>
        <v>170</v>
      </c>
      <c r="C50" s="228"/>
      <c r="D50" s="228"/>
      <c r="E50" s="228"/>
      <c r="F50" s="228"/>
      <c r="G50" s="228"/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30"/>
      <c r="AA50" s="230"/>
    </row>
    <row r="51" spans="1:27" x14ac:dyDescent="0.25">
      <c r="A51" s="282">
        <f>B25</f>
        <v>18</v>
      </c>
      <c r="B51" s="282">
        <f>TSD</f>
        <v>170</v>
      </c>
      <c r="C51" s="228"/>
      <c r="D51" s="228"/>
      <c r="E51" s="228"/>
      <c r="F51" s="228"/>
      <c r="G51" s="228"/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30"/>
      <c r="AA51" s="230"/>
    </row>
    <row r="52" spans="1:27" x14ac:dyDescent="0.25">
      <c r="A52" s="228"/>
      <c r="B52" s="228"/>
      <c r="C52" s="228"/>
      <c r="D52" s="228"/>
      <c r="E52" s="228"/>
      <c r="F52" s="228"/>
      <c r="G52" s="228"/>
      <c r="H52" s="229"/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230"/>
      <c r="AA52" s="230"/>
    </row>
    <row r="53" spans="1:27" x14ac:dyDescent="0.25">
      <c r="A53" s="228"/>
      <c r="B53" s="228"/>
      <c r="C53" s="228"/>
      <c r="D53" s="228"/>
      <c r="E53" s="228"/>
      <c r="F53" s="228"/>
      <c r="G53" s="228"/>
      <c r="H53" s="229"/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229"/>
      <c r="T53" s="229"/>
      <c r="U53" s="229"/>
      <c r="V53" s="229"/>
      <c r="W53" s="229"/>
      <c r="X53" s="229"/>
      <c r="Y53" s="229"/>
      <c r="Z53" s="230"/>
      <c r="AA53" s="230"/>
    </row>
    <row r="54" spans="1:27" x14ac:dyDescent="0.25">
      <c r="A54" s="228"/>
      <c r="B54" s="228"/>
      <c r="C54" s="228"/>
      <c r="D54" s="228"/>
      <c r="E54" s="228"/>
      <c r="F54" s="228"/>
      <c r="G54" s="228"/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30"/>
      <c r="AA54" s="230"/>
    </row>
    <row r="55" spans="1:27" x14ac:dyDescent="0.25">
      <c r="A55" s="228"/>
      <c r="B55" s="228"/>
      <c r="C55" s="228"/>
      <c r="D55" s="228"/>
      <c r="E55" s="228"/>
      <c r="F55" s="228"/>
      <c r="G55" s="228"/>
      <c r="H55" s="229"/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30"/>
      <c r="AA55" s="230"/>
    </row>
    <row r="56" spans="1:27" x14ac:dyDescent="0.25">
      <c r="A56" s="228"/>
      <c r="B56" s="228"/>
      <c r="C56" s="228"/>
      <c r="D56" s="228"/>
      <c r="E56" s="228"/>
      <c r="F56" s="228"/>
      <c r="G56" s="228"/>
      <c r="H56" s="229"/>
      <c r="I56" s="229"/>
      <c r="J56" s="229"/>
      <c r="K56" s="229"/>
      <c r="L56" s="229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229"/>
      <c r="Z56" s="230"/>
      <c r="AA56" s="230"/>
    </row>
    <row r="57" spans="1:27" x14ac:dyDescent="0.25">
      <c r="A57" s="228"/>
      <c r="B57" s="228"/>
      <c r="C57" s="228"/>
      <c r="D57" s="228"/>
      <c r="E57" s="228"/>
      <c r="F57" s="228"/>
      <c r="G57" s="228"/>
      <c r="H57" s="229"/>
      <c r="I57" s="229"/>
      <c r="J57" s="229"/>
      <c r="K57" s="229"/>
      <c r="L57" s="229"/>
      <c r="M57" s="229"/>
      <c r="N57" s="229"/>
      <c r="O57" s="229"/>
      <c r="P57" s="229"/>
      <c r="Q57" s="229"/>
      <c r="R57" s="229"/>
      <c r="S57" s="229"/>
      <c r="T57" s="229"/>
      <c r="U57" s="229"/>
      <c r="V57" s="229"/>
      <c r="W57" s="229"/>
      <c r="X57" s="229"/>
      <c r="Y57" s="229"/>
      <c r="Z57" s="230"/>
      <c r="AA57" s="230"/>
    </row>
    <row r="58" spans="1:27" x14ac:dyDescent="0.25">
      <c r="A58" s="228"/>
      <c r="B58" s="228"/>
      <c r="C58" s="228"/>
      <c r="D58" s="228"/>
      <c r="E58" s="228"/>
      <c r="F58" s="228"/>
      <c r="G58" s="228"/>
      <c r="H58" s="229"/>
      <c r="I58" s="229"/>
      <c r="J58" s="229"/>
      <c r="K58" s="229"/>
      <c r="L58" s="229"/>
      <c r="M58" s="229"/>
      <c r="N58" s="229"/>
      <c r="O58" s="229"/>
      <c r="P58" s="229"/>
      <c r="Q58" s="229"/>
      <c r="R58" s="229"/>
      <c r="S58" s="229"/>
      <c r="T58" s="229"/>
      <c r="U58" s="229"/>
      <c r="V58" s="229"/>
      <c r="W58" s="229"/>
      <c r="X58" s="229"/>
      <c r="Y58" s="229"/>
      <c r="Z58" s="230"/>
      <c r="AA58" s="230"/>
    </row>
    <row r="59" spans="1:27" x14ac:dyDescent="0.25">
      <c r="A59" s="228"/>
      <c r="B59" s="228"/>
      <c r="C59" s="228"/>
      <c r="D59" s="228"/>
      <c r="E59" s="228"/>
      <c r="F59" s="228"/>
      <c r="G59" s="228"/>
      <c r="H59" s="229"/>
      <c r="I59" s="229"/>
      <c r="J59" s="229"/>
      <c r="K59" s="229"/>
      <c r="L59" s="229"/>
      <c r="M59" s="229"/>
      <c r="N59" s="229"/>
      <c r="O59" s="229"/>
      <c r="P59" s="229"/>
      <c r="Q59" s="229"/>
      <c r="R59" s="229"/>
      <c r="S59" s="229"/>
      <c r="T59" s="229"/>
      <c r="U59" s="229"/>
      <c r="V59" s="229"/>
      <c r="W59" s="229"/>
      <c r="X59" s="229"/>
      <c r="Y59" s="229"/>
      <c r="Z59" s="230"/>
      <c r="AA59" s="230"/>
    </row>
    <row r="60" spans="1:27" x14ac:dyDescent="0.25">
      <c r="A60" s="228"/>
      <c r="B60" s="228"/>
      <c r="C60" s="228"/>
      <c r="D60" s="228"/>
      <c r="E60" s="228"/>
      <c r="F60" s="228"/>
      <c r="G60" s="228"/>
      <c r="H60" s="229"/>
      <c r="I60" s="229"/>
      <c r="J60" s="229"/>
      <c r="K60" s="229"/>
      <c r="L60" s="229"/>
      <c r="M60" s="229"/>
      <c r="N60" s="229"/>
      <c r="O60" s="229"/>
      <c r="P60" s="229"/>
      <c r="Q60" s="229"/>
      <c r="R60" s="229"/>
      <c r="S60" s="229"/>
      <c r="T60" s="229"/>
      <c r="U60" s="229"/>
      <c r="V60" s="229"/>
      <c r="W60" s="229"/>
      <c r="X60" s="229"/>
      <c r="Y60" s="229"/>
      <c r="Z60" s="230"/>
      <c r="AA60" s="230"/>
    </row>
    <row r="61" spans="1:27" x14ac:dyDescent="0.25">
      <c r="A61" s="228"/>
      <c r="B61" s="228"/>
      <c r="C61" s="228"/>
      <c r="D61" s="228"/>
      <c r="E61" s="228"/>
      <c r="F61" s="228"/>
      <c r="G61" s="228"/>
      <c r="H61" s="229"/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29"/>
      <c r="T61" s="229"/>
      <c r="U61" s="229"/>
      <c r="V61" s="229"/>
      <c r="W61" s="229"/>
      <c r="X61" s="229"/>
      <c r="Y61" s="229"/>
      <c r="Z61" s="230"/>
      <c r="AA61" s="230"/>
    </row>
    <row r="62" spans="1:27" x14ac:dyDescent="0.25">
      <c r="A62" s="228"/>
      <c r="B62" s="228"/>
      <c r="C62" s="228"/>
      <c r="D62" s="228"/>
      <c r="E62" s="228"/>
      <c r="F62" s="228"/>
      <c r="G62" s="228"/>
      <c r="H62" s="229"/>
      <c r="I62" s="229"/>
      <c r="J62" s="229"/>
      <c r="K62" s="229"/>
      <c r="L62" s="229"/>
      <c r="M62" s="229"/>
      <c r="N62" s="229"/>
      <c r="O62" s="229"/>
      <c r="P62" s="229"/>
      <c r="Q62" s="229"/>
      <c r="R62" s="229"/>
      <c r="S62" s="229"/>
      <c r="T62" s="229"/>
      <c r="U62" s="229"/>
      <c r="V62" s="229"/>
      <c r="W62" s="229"/>
      <c r="X62" s="229"/>
      <c r="Y62" s="229"/>
      <c r="Z62" s="230"/>
      <c r="AA62" s="230"/>
    </row>
    <row r="63" spans="1:27" x14ac:dyDescent="0.25">
      <c r="A63" s="228"/>
      <c r="B63" s="228"/>
      <c r="C63" s="228"/>
      <c r="D63" s="228"/>
      <c r="E63" s="228"/>
      <c r="F63" s="228"/>
      <c r="G63" s="228"/>
      <c r="H63" s="229"/>
      <c r="I63" s="229"/>
      <c r="J63" s="229"/>
      <c r="K63" s="229"/>
      <c r="L63" s="229"/>
      <c r="M63" s="229"/>
      <c r="N63" s="229"/>
      <c r="O63" s="229"/>
      <c r="P63" s="229"/>
      <c r="Q63" s="229"/>
      <c r="R63" s="229"/>
      <c r="S63" s="229"/>
      <c r="T63" s="229"/>
      <c r="U63" s="229"/>
      <c r="V63" s="229"/>
      <c r="W63" s="229"/>
      <c r="X63" s="229"/>
      <c r="Y63" s="229"/>
      <c r="Z63" s="230"/>
      <c r="AA63" s="230"/>
    </row>
    <row r="64" spans="1:27" x14ac:dyDescent="0.25">
      <c r="A64" s="228"/>
      <c r="B64" s="228"/>
      <c r="C64" s="228"/>
      <c r="D64" s="228"/>
      <c r="E64" s="228"/>
      <c r="F64" s="228"/>
      <c r="G64" s="228"/>
      <c r="H64" s="229"/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229"/>
      <c r="U64" s="229"/>
      <c r="V64" s="229"/>
      <c r="W64" s="229"/>
      <c r="X64" s="229"/>
      <c r="Y64" s="229"/>
      <c r="Z64" s="230"/>
      <c r="AA64" s="230"/>
    </row>
    <row r="65" spans="1:27" x14ac:dyDescent="0.25">
      <c r="A65" s="228"/>
      <c r="B65" s="228"/>
      <c r="C65" s="231"/>
      <c r="D65" s="228"/>
      <c r="E65" s="228"/>
      <c r="F65" s="228"/>
      <c r="G65" s="228"/>
      <c r="H65" s="229"/>
      <c r="I65" s="229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229"/>
      <c r="U65" s="229"/>
      <c r="V65" s="229"/>
      <c r="W65" s="229"/>
      <c r="X65" s="229"/>
      <c r="Y65" s="229"/>
      <c r="Z65" s="230"/>
      <c r="AA65" s="230"/>
    </row>
    <row r="66" spans="1:27" x14ac:dyDescent="0.25">
      <c r="A66" s="228"/>
      <c r="B66" s="228"/>
      <c r="C66" s="228"/>
      <c r="D66" s="228"/>
      <c r="E66" s="228"/>
      <c r="F66" s="228"/>
      <c r="G66" s="228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  <c r="V66" s="229"/>
      <c r="W66" s="229"/>
      <c r="X66" s="229"/>
      <c r="Y66" s="229"/>
      <c r="Z66" s="230"/>
      <c r="AA66" s="230"/>
    </row>
    <row r="67" spans="1:27" x14ac:dyDescent="0.25">
      <c r="A67" s="228"/>
      <c r="B67" s="228"/>
      <c r="C67" s="228"/>
      <c r="D67" s="228"/>
      <c r="E67" s="228"/>
      <c r="F67" s="228"/>
      <c r="G67" s="228"/>
      <c r="H67" s="229"/>
      <c r="I67" s="229"/>
      <c r="J67" s="229"/>
      <c r="K67" s="229"/>
      <c r="L67" s="229"/>
      <c r="M67" s="229"/>
      <c r="N67" s="229"/>
      <c r="O67" s="229"/>
      <c r="P67" s="229"/>
      <c r="Q67" s="229"/>
      <c r="R67" s="229"/>
      <c r="S67" s="229"/>
      <c r="T67" s="229"/>
      <c r="U67" s="229"/>
      <c r="V67" s="229"/>
      <c r="W67" s="229"/>
      <c r="X67" s="229"/>
      <c r="Y67" s="229"/>
      <c r="Z67" s="230"/>
      <c r="AA67" s="230"/>
    </row>
    <row r="68" spans="1:27" x14ac:dyDescent="0.25">
      <c r="A68" s="228"/>
      <c r="B68" s="228"/>
      <c r="C68" s="228"/>
      <c r="D68" s="228"/>
      <c r="E68" s="228"/>
      <c r="F68" s="228"/>
      <c r="G68" s="228"/>
      <c r="H68" s="229"/>
      <c r="I68" s="229"/>
      <c r="J68" s="229"/>
      <c r="K68" s="229"/>
      <c r="L68" s="229"/>
      <c r="M68" s="229"/>
      <c r="N68" s="229"/>
      <c r="O68" s="229"/>
      <c r="P68" s="229"/>
      <c r="Q68" s="229"/>
      <c r="R68" s="229"/>
      <c r="S68" s="229"/>
      <c r="T68" s="229"/>
      <c r="U68" s="229"/>
      <c r="V68" s="229"/>
      <c r="W68" s="229"/>
      <c r="X68" s="229"/>
      <c r="Y68" s="229"/>
      <c r="Z68" s="230"/>
      <c r="AA68" s="230"/>
    </row>
    <row r="69" spans="1:27" x14ac:dyDescent="0.25">
      <c r="A69" s="228"/>
      <c r="B69" s="228"/>
      <c r="C69" s="228"/>
      <c r="D69" s="228"/>
      <c r="E69" s="228"/>
      <c r="F69" s="228"/>
      <c r="G69" s="228"/>
      <c r="H69" s="229"/>
      <c r="I69" s="229"/>
      <c r="J69" s="229"/>
      <c r="K69" s="229"/>
      <c r="L69" s="229"/>
      <c r="M69" s="229"/>
      <c r="N69" s="229"/>
      <c r="O69" s="229"/>
      <c r="P69" s="229"/>
      <c r="Q69" s="229"/>
      <c r="R69" s="229"/>
      <c r="S69" s="229"/>
      <c r="T69" s="229"/>
      <c r="U69" s="229"/>
      <c r="V69" s="229"/>
      <c r="W69" s="229"/>
      <c r="X69" s="229"/>
      <c r="Y69" s="229"/>
      <c r="Z69" s="230"/>
      <c r="AA69" s="230"/>
    </row>
    <row r="70" spans="1:27" x14ac:dyDescent="0.25">
      <c r="A70" s="228"/>
      <c r="B70" s="228"/>
      <c r="C70" s="228"/>
      <c r="D70" s="228"/>
      <c r="E70" s="228"/>
      <c r="F70" s="228"/>
      <c r="G70" s="228"/>
      <c r="H70" s="229"/>
      <c r="I70" s="229"/>
      <c r="J70" s="229"/>
      <c r="K70" s="229"/>
      <c r="L70" s="229"/>
      <c r="M70" s="229"/>
      <c r="N70" s="229"/>
      <c r="O70" s="229"/>
      <c r="P70" s="229"/>
      <c r="Q70" s="229"/>
      <c r="R70" s="229"/>
      <c r="S70" s="229"/>
      <c r="T70" s="229"/>
      <c r="U70" s="229"/>
      <c r="V70" s="229"/>
      <c r="W70" s="229"/>
      <c r="X70" s="229"/>
      <c r="Y70" s="229"/>
      <c r="Z70" s="230"/>
      <c r="AA70" s="230"/>
    </row>
    <row r="71" spans="1:27" x14ac:dyDescent="0.25">
      <c r="A71" s="228"/>
      <c r="B71" s="228"/>
      <c r="C71" s="228"/>
      <c r="D71" s="228"/>
      <c r="E71" s="228"/>
      <c r="F71" s="228"/>
      <c r="G71" s="228"/>
      <c r="H71" s="229"/>
      <c r="I71" s="229"/>
      <c r="J71" s="229"/>
      <c r="K71" s="229"/>
      <c r="L71" s="229"/>
      <c r="M71" s="229"/>
      <c r="N71" s="229"/>
      <c r="O71" s="229"/>
      <c r="P71" s="229"/>
      <c r="Q71" s="229"/>
      <c r="R71" s="229"/>
      <c r="S71" s="229"/>
      <c r="T71" s="229"/>
      <c r="U71" s="229"/>
      <c r="V71" s="229"/>
      <c r="W71" s="229"/>
      <c r="X71" s="229"/>
      <c r="Y71" s="229"/>
      <c r="Z71" s="230"/>
      <c r="AA71" s="230"/>
    </row>
    <row r="72" spans="1:27" x14ac:dyDescent="0.25">
      <c r="A72" s="228"/>
      <c r="B72" s="228"/>
      <c r="C72" s="228"/>
      <c r="D72" s="228"/>
      <c r="E72" s="228"/>
      <c r="F72" s="228"/>
      <c r="G72" s="228"/>
      <c r="H72" s="229"/>
      <c r="I72" s="229"/>
      <c r="J72" s="229"/>
      <c r="K72" s="229"/>
      <c r="L72" s="229"/>
      <c r="M72" s="229"/>
      <c r="N72" s="229"/>
      <c r="O72" s="229"/>
      <c r="P72" s="229"/>
      <c r="Q72" s="229"/>
      <c r="R72" s="229"/>
      <c r="S72" s="229"/>
      <c r="T72" s="229"/>
      <c r="U72" s="229"/>
      <c r="V72" s="229"/>
      <c r="W72" s="229"/>
      <c r="X72" s="229"/>
      <c r="Y72" s="229"/>
      <c r="Z72" s="230"/>
      <c r="AA72" s="230"/>
    </row>
    <row r="73" spans="1:27" x14ac:dyDescent="0.25">
      <c r="A73" s="228"/>
      <c r="B73" s="228"/>
      <c r="C73" s="228"/>
      <c r="D73" s="228"/>
      <c r="E73" s="228"/>
      <c r="F73" s="228"/>
      <c r="G73" s="228"/>
      <c r="H73" s="229"/>
      <c r="I73" s="229"/>
      <c r="J73" s="229"/>
      <c r="K73" s="229"/>
      <c r="L73" s="229"/>
      <c r="M73" s="229"/>
      <c r="N73" s="229"/>
      <c r="O73" s="229"/>
      <c r="P73" s="229"/>
      <c r="Q73" s="229"/>
      <c r="R73" s="229"/>
      <c r="S73" s="229"/>
      <c r="T73" s="229"/>
      <c r="U73" s="229"/>
      <c r="V73" s="229"/>
      <c r="W73" s="229"/>
      <c r="X73" s="229"/>
      <c r="Y73" s="229"/>
      <c r="Z73" s="230"/>
      <c r="AA73" s="230"/>
    </row>
    <row r="74" spans="1:27" x14ac:dyDescent="0.25">
      <c r="A74" s="228"/>
      <c r="B74" s="228"/>
      <c r="C74" s="228"/>
      <c r="D74" s="228"/>
      <c r="E74" s="228"/>
      <c r="F74" s="228"/>
      <c r="G74" s="228"/>
      <c r="H74" s="229"/>
      <c r="I74" s="229"/>
      <c r="J74" s="229"/>
      <c r="K74" s="229"/>
      <c r="L74" s="229"/>
      <c r="M74" s="229"/>
      <c r="N74" s="229"/>
      <c r="O74" s="229"/>
      <c r="P74" s="229"/>
      <c r="Q74" s="229"/>
      <c r="R74" s="229"/>
      <c r="S74" s="229"/>
      <c r="T74" s="229"/>
      <c r="U74" s="229"/>
      <c r="V74" s="229"/>
      <c r="W74" s="229"/>
      <c r="X74" s="229"/>
      <c r="Y74" s="229"/>
      <c r="Z74" s="230"/>
      <c r="AA74" s="230"/>
    </row>
    <row r="75" spans="1:27" x14ac:dyDescent="0.25">
      <c r="A75" s="228"/>
      <c r="B75" s="228"/>
      <c r="C75" s="228"/>
      <c r="D75" s="228"/>
      <c r="E75" s="228"/>
      <c r="F75" s="228"/>
      <c r="G75" s="228"/>
      <c r="H75" s="228"/>
      <c r="I75" s="228"/>
      <c r="J75" s="228"/>
      <c r="K75" s="228"/>
      <c r="L75" s="228"/>
      <c r="M75" s="228"/>
      <c r="N75" s="228"/>
      <c r="O75" s="228"/>
      <c r="P75" s="228"/>
      <c r="Q75" s="228"/>
      <c r="R75" s="228"/>
      <c r="S75" s="228"/>
      <c r="T75" s="228"/>
      <c r="U75" s="228"/>
      <c r="V75" s="228"/>
      <c r="W75" s="228"/>
      <c r="X75" s="228"/>
      <c r="Y75" s="228"/>
      <c r="Z75" s="228"/>
      <c r="AA75" s="230"/>
    </row>
    <row r="76" spans="1:27" x14ac:dyDescent="0.25">
      <c r="A76" s="228"/>
      <c r="B76" s="228"/>
      <c r="C76" s="228"/>
      <c r="D76" s="228"/>
      <c r="E76" s="228"/>
      <c r="F76" s="228"/>
      <c r="G76" s="228"/>
      <c r="H76" s="228"/>
      <c r="I76" s="228"/>
      <c r="J76" s="228"/>
      <c r="K76" s="228"/>
      <c r="L76" s="228"/>
      <c r="M76" s="228"/>
      <c r="N76" s="228"/>
      <c r="O76" s="228"/>
      <c r="P76" s="228"/>
      <c r="Q76" s="228"/>
      <c r="R76" s="228"/>
      <c r="S76" s="228"/>
      <c r="T76" s="228"/>
      <c r="U76" s="228"/>
      <c r="V76" s="228"/>
      <c r="W76" s="228"/>
      <c r="X76" s="228"/>
      <c r="Y76" s="228"/>
      <c r="Z76" s="228"/>
      <c r="AA76" s="230"/>
    </row>
    <row r="77" spans="1:27" x14ac:dyDescent="0.25">
      <c r="A77" s="228"/>
      <c r="B77" s="228"/>
      <c r="C77" s="228"/>
      <c r="D77" s="228"/>
      <c r="E77" s="228"/>
      <c r="F77" s="228"/>
      <c r="G77" s="228"/>
      <c r="H77" s="228"/>
      <c r="I77" s="228"/>
      <c r="J77" s="228"/>
      <c r="K77" s="228"/>
      <c r="L77" s="228"/>
      <c r="M77" s="228"/>
      <c r="N77" s="228"/>
      <c r="O77" s="228"/>
      <c r="P77" s="228"/>
      <c r="Q77" s="228"/>
      <c r="R77" s="228"/>
      <c r="S77" s="228"/>
      <c r="T77" s="228"/>
      <c r="U77" s="228"/>
      <c r="V77" s="228"/>
      <c r="W77" s="228"/>
      <c r="X77" s="228"/>
      <c r="Y77" s="228"/>
      <c r="Z77" s="228"/>
      <c r="AA77" s="230"/>
    </row>
    <row r="78" spans="1:27" x14ac:dyDescent="0.25">
      <c r="A78" s="228"/>
      <c r="B78" s="228"/>
      <c r="C78" s="228"/>
      <c r="D78" s="228"/>
      <c r="E78" s="228"/>
      <c r="F78" s="228"/>
      <c r="G78" s="228"/>
      <c r="H78" s="228"/>
      <c r="I78" s="228"/>
      <c r="J78" s="228"/>
      <c r="K78" s="228"/>
      <c r="L78" s="228"/>
      <c r="M78" s="228"/>
      <c r="N78" s="228"/>
      <c r="O78" s="228"/>
      <c r="P78" s="228"/>
      <c r="Q78" s="228"/>
      <c r="R78" s="228"/>
      <c r="S78" s="228"/>
      <c r="T78" s="228"/>
      <c r="U78" s="228"/>
      <c r="V78" s="228"/>
      <c r="W78" s="228"/>
      <c r="X78" s="228"/>
      <c r="Y78" s="228"/>
      <c r="Z78" s="228"/>
      <c r="AA78" s="230"/>
    </row>
    <row r="79" spans="1:27" x14ac:dyDescent="0.25">
      <c r="A79" s="228"/>
      <c r="B79" s="228"/>
      <c r="C79" s="228"/>
      <c r="D79" s="228"/>
      <c r="E79" s="228"/>
      <c r="F79" s="228"/>
      <c r="G79" s="228"/>
      <c r="H79" s="228"/>
      <c r="I79" s="228"/>
      <c r="J79" s="228"/>
      <c r="K79" s="228"/>
      <c r="L79" s="228"/>
      <c r="M79" s="228"/>
      <c r="N79" s="228"/>
      <c r="O79" s="228"/>
      <c r="P79" s="228"/>
      <c r="Q79" s="228"/>
      <c r="R79" s="228"/>
      <c r="S79" s="228"/>
      <c r="T79" s="228"/>
      <c r="U79" s="228"/>
      <c r="V79" s="228"/>
      <c r="W79" s="228"/>
      <c r="X79" s="228"/>
      <c r="Y79" s="228"/>
      <c r="Z79" s="228"/>
      <c r="AA79" s="230"/>
    </row>
    <row r="80" spans="1:27" x14ac:dyDescent="0.25">
      <c r="A80" s="228"/>
      <c r="B80" s="228"/>
      <c r="C80" s="228"/>
      <c r="D80" s="228"/>
      <c r="E80" s="228"/>
      <c r="F80" s="228"/>
      <c r="G80" s="228"/>
      <c r="H80" s="228"/>
      <c r="I80" s="228"/>
      <c r="J80" s="228"/>
      <c r="K80" s="228"/>
      <c r="L80" s="228"/>
      <c r="M80" s="228"/>
      <c r="N80" s="228"/>
      <c r="O80" s="228"/>
      <c r="P80" s="228"/>
      <c r="Q80" s="228"/>
      <c r="R80" s="228"/>
      <c r="S80" s="228"/>
      <c r="T80" s="228"/>
      <c r="U80" s="228"/>
      <c r="V80" s="228"/>
      <c r="W80" s="228"/>
      <c r="X80" s="228"/>
      <c r="Y80" s="228"/>
      <c r="Z80" s="228"/>
      <c r="AA80" s="230"/>
    </row>
    <row r="81" spans="1:27" x14ac:dyDescent="0.25">
      <c r="A81" s="228"/>
      <c r="B81" s="228"/>
      <c r="C81" s="228"/>
      <c r="D81" s="228"/>
      <c r="E81" s="228"/>
      <c r="F81" s="228"/>
      <c r="G81" s="228"/>
      <c r="H81" s="228"/>
      <c r="I81" s="228"/>
      <c r="J81" s="228"/>
      <c r="K81" s="228"/>
      <c r="L81" s="228"/>
      <c r="M81" s="228"/>
      <c r="N81" s="228"/>
      <c r="O81" s="228"/>
      <c r="P81" s="228"/>
      <c r="Q81" s="228"/>
      <c r="R81" s="228"/>
      <c r="S81" s="228"/>
      <c r="T81" s="228"/>
      <c r="U81" s="228"/>
      <c r="V81" s="228"/>
      <c r="W81" s="228"/>
      <c r="X81" s="228"/>
      <c r="Y81" s="228"/>
      <c r="Z81" s="228"/>
      <c r="AA81" s="230"/>
    </row>
    <row r="82" spans="1:27" x14ac:dyDescent="0.25">
      <c r="A82" s="228"/>
      <c r="B82" s="228"/>
      <c r="C82" s="228"/>
      <c r="D82" s="228"/>
      <c r="E82" s="228"/>
      <c r="F82" s="228"/>
      <c r="G82" s="228"/>
      <c r="H82" s="228"/>
      <c r="I82" s="228"/>
      <c r="J82" s="228"/>
      <c r="K82" s="228"/>
      <c r="L82" s="228"/>
      <c r="M82" s="228"/>
      <c r="N82" s="228"/>
      <c r="O82" s="228"/>
      <c r="P82" s="228"/>
      <c r="Q82" s="228"/>
      <c r="R82" s="228"/>
      <c r="S82" s="228"/>
      <c r="T82" s="228"/>
      <c r="U82" s="228"/>
      <c r="V82" s="228"/>
      <c r="W82" s="228"/>
      <c r="X82" s="228"/>
      <c r="Y82" s="228"/>
      <c r="Z82" s="228"/>
      <c r="AA82" s="230"/>
    </row>
    <row r="83" spans="1:27" x14ac:dyDescent="0.25">
      <c r="A83" s="228"/>
      <c r="B83" s="228"/>
      <c r="C83" s="228"/>
      <c r="D83" s="228"/>
      <c r="E83" s="228"/>
      <c r="F83" s="228"/>
      <c r="G83" s="228"/>
      <c r="H83" s="228"/>
      <c r="I83" s="228"/>
      <c r="J83" s="228"/>
      <c r="K83" s="228"/>
      <c r="L83" s="228"/>
      <c r="M83" s="228"/>
      <c r="N83" s="228"/>
      <c r="O83" s="228"/>
      <c r="P83" s="228"/>
      <c r="Q83" s="228"/>
      <c r="R83" s="228"/>
      <c r="S83" s="228"/>
      <c r="T83" s="228"/>
      <c r="U83" s="228"/>
      <c r="V83" s="228"/>
      <c r="W83" s="228"/>
      <c r="X83" s="228"/>
      <c r="Y83" s="228"/>
      <c r="Z83" s="228"/>
      <c r="AA83" s="230"/>
    </row>
    <row r="84" spans="1:27" x14ac:dyDescent="0.25">
      <c r="A84" s="228"/>
      <c r="B84" s="228"/>
      <c r="C84" s="228"/>
      <c r="D84" s="228"/>
      <c r="E84" s="228"/>
      <c r="F84" s="228"/>
      <c r="G84" s="228"/>
      <c r="H84" s="228"/>
      <c r="I84" s="228"/>
      <c r="J84" s="228"/>
      <c r="K84" s="228"/>
      <c r="L84" s="228"/>
      <c r="M84" s="228"/>
      <c r="N84" s="228"/>
      <c r="O84" s="228"/>
      <c r="P84" s="228"/>
      <c r="Q84" s="228"/>
      <c r="R84" s="228"/>
      <c r="S84" s="228"/>
      <c r="T84" s="228"/>
      <c r="U84" s="228"/>
      <c r="V84" s="228"/>
      <c r="W84" s="228"/>
      <c r="X84" s="228"/>
      <c r="Y84" s="228"/>
      <c r="Z84" s="228"/>
      <c r="AA84" s="230"/>
    </row>
    <row r="85" spans="1:27" x14ac:dyDescent="0.25">
      <c r="A85" s="228"/>
      <c r="B85" s="228"/>
      <c r="C85" s="228"/>
      <c r="D85" s="228"/>
      <c r="E85" s="228"/>
      <c r="F85" s="228"/>
      <c r="G85" s="228"/>
      <c r="H85" s="228"/>
      <c r="I85" s="228"/>
      <c r="J85" s="228"/>
      <c r="K85" s="228"/>
      <c r="L85" s="228"/>
      <c r="M85" s="228"/>
      <c r="N85" s="228"/>
      <c r="O85" s="228"/>
      <c r="P85" s="228"/>
      <c r="Q85" s="228"/>
      <c r="R85" s="228"/>
      <c r="S85" s="228"/>
      <c r="T85" s="228"/>
      <c r="U85" s="228"/>
      <c r="V85" s="228"/>
      <c r="W85" s="228"/>
      <c r="X85" s="228"/>
      <c r="Y85" s="228"/>
      <c r="Z85" s="228"/>
      <c r="AA85" s="230"/>
    </row>
    <row r="86" spans="1:27" x14ac:dyDescent="0.25">
      <c r="A86" s="228"/>
      <c r="B86" s="228"/>
      <c r="C86" s="228"/>
      <c r="D86" s="228"/>
      <c r="E86" s="228"/>
      <c r="F86" s="228"/>
      <c r="G86" s="228"/>
      <c r="H86" s="228"/>
      <c r="I86" s="228"/>
      <c r="J86" s="228"/>
      <c r="K86" s="228"/>
      <c r="L86" s="228"/>
      <c r="M86" s="228"/>
      <c r="N86" s="228"/>
      <c r="O86" s="228"/>
      <c r="P86" s="228"/>
      <c r="Q86" s="228"/>
      <c r="R86" s="228"/>
      <c r="S86" s="228"/>
      <c r="T86" s="228"/>
      <c r="U86" s="228"/>
      <c r="V86" s="228"/>
      <c r="W86" s="228"/>
      <c r="X86" s="228"/>
      <c r="Y86" s="228"/>
      <c r="Z86" s="228"/>
      <c r="AA86" s="230"/>
    </row>
    <row r="87" spans="1:27" x14ac:dyDescent="0.25">
      <c r="A87" s="228"/>
      <c r="B87" s="228"/>
      <c r="C87" s="228"/>
      <c r="D87" s="228"/>
      <c r="E87" s="228"/>
      <c r="F87" s="228"/>
      <c r="G87" s="228"/>
      <c r="H87" s="228"/>
      <c r="I87" s="228"/>
      <c r="J87" s="228"/>
      <c r="K87" s="228"/>
      <c r="L87" s="228"/>
      <c r="M87" s="228"/>
      <c r="N87" s="228"/>
      <c r="O87" s="228"/>
      <c r="P87" s="228"/>
      <c r="Q87" s="228"/>
      <c r="R87" s="228"/>
      <c r="S87" s="228"/>
      <c r="T87" s="228"/>
      <c r="U87" s="228"/>
      <c r="V87" s="228"/>
      <c r="W87" s="228"/>
      <c r="X87" s="228"/>
      <c r="Y87" s="228"/>
      <c r="Z87" s="228"/>
      <c r="AA87" s="230"/>
    </row>
    <row r="88" spans="1:27" x14ac:dyDescent="0.25">
      <c r="A88" s="228"/>
      <c r="B88" s="228"/>
      <c r="C88" s="228"/>
      <c r="D88" s="228"/>
      <c r="E88" s="228"/>
      <c r="F88" s="228"/>
      <c r="G88" s="228"/>
      <c r="H88" s="228"/>
      <c r="I88" s="228"/>
      <c r="J88" s="228"/>
      <c r="K88" s="228"/>
      <c r="L88" s="228"/>
      <c r="M88" s="228"/>
      <c r="N88" s="228"/>
      <c r="O88" s="228"/>
      <c r="P88" s="228"/>
      <c r="Q88" s="228"/>
      <c r="R88" s="228"/>
      <c r="S88" s="228"/>
      <c r="T88" s="228"/>
      <c r="U88" s="228"/>
      <c r="V88" s="228"/>
      <c r="W88" s="228"/>
      <c r="X88" s="228"/>
      <c r="Y88" s="228"/>
      <c r="Z88" s="228"/>
      <c r="AA88" s="230"/>
    </row>
    <row r="89" spans="1:27" x14ac:dyDescent="0.25">
      <c r="A89" s="228"/>
      <c r="B89" s="228"/>
      <c r="C89" s="228"/>
      <c r="D89" s="228"/>
      <c r="E89" s="228"/>
      <c r="F89" s="228"/>
      <c r="G89" s="228"/>
      <c r="H89" s="228"/>
      <c r="I89" s="228"/>
      <c r="J89" s="228"/>
      <c r="K89" s="228"/>
      <c r="L89" s="228"/>
      <c r="M89" s="228"/>
      <c r="N89" s="228"/>
      <c r="O89" s="228"/>
      <c r="P89" s="228"/>
      <c r="Q89" s="228"/>
      <c r="R89" s="228"/>
      <c r="S89" s="228"/>
      <c r="T89" s="228"/>
      <c r="U89" s="228"/>
      <c r="V89" s="228"/>
      <c r="W89" s="228"/>
      <c r="X89" s="228"/>
      <c r="Y89" s="228"/>
      <c r="Z89" s="228"/>
      <c r="AA89" s="230"/>
    </row>
    <row r="90" spans="1:27" x14ac:dyDescent="0.25">
      <c r="A90" s="228"/>
      <c r="B90" s="228"/>
      <c r="C90" s="228"/>
      <c r="D90" s="228"/>
      <c r="E90" s="228"/>
      <c r="F90" s="228"/>
      <c r="G90" s="228"/>
      <c r="H90" s="228"/>
      <c r="I90" s="228"/>
      <c r="J90" s="228"/>
      <c r="K90" s="228"/>
      <c r="L90" s="228"/>
      <c r="M90" s="228"/>
      <c r="N90" s="228"/>
      <c r="O90" s="228"/>
      <c r="P90" s="228"/>
      <c r="Q90" s="228"/>
      <c r="R90" s="228"/>
      <c r="S90" s="228"/>
      <c r="T90" s="228"/>
      <c r="U90" s="228"/>
      <c r="V90" s="228"/>
      <c r="W90" s="228"/>
      <c r="X90" s="228"/>
      <c r="Y90" s="228"/>
      <c r="Z90" s="228"/>
      <c r="AA90" s="230"/>
    </row>
    <row r="91" spans="1:27" x14ac:dyDescent="0.25">
      <c r="A91" s="228"/>
      <c r="B91" s="228"/>
      <c r="C91" s="228"/>
      <c r="D91" s="228"/>
      <c r="E91" s="228"/>
      <c r="F91" s="228"/>
      <c r="G91" s="228"/>
      <c r="H91" s="228"/>
      <c r="I91" s="228"/>
      <c r="J91" s="228"/>
      <c r="K91" s="228"/>
      <c r="L91" s="228"/>
      <c r="M91" s="228"/>
      <c r="N91" s="228"/>
      <c r="O91" s="228"/>
      <c r="P91" s="228"/>
      <c r="Q91" s="228"/>
      <c r="R91" s="228"/>
      <c r="S91" s="228"/>
      <c r="T91" s="228"/>
      <c r="U91" s="228"/>
      <c r="V91" s="228"/>
      <c r="W91" s="228"/>
      <c r="X91" s="228"/>
      <c r="Y91" s="228"/>
      <c r="Z91" s="228"/>
      <c r="AA91" s="230"/>
    </row>
    <row r="92" spans="1:27" x14ac:dyDescent="0.25">
      <c r="A92" s="228"/>
      <c r="B92" s="228"/>
      <c r="C92" s="228"/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228"/>
      <c r="Q92" s="228"/>
      <c r="R92" s="228"/>
      <c r="S92" s="228"/>
      <c r="T92" s="228"/>
      <c r="U92" s="228"/>
      <c r="V92" s="228"/>
      <c r="W92" s="228"/>
      <c r="X92" s="228"/>
      <c r="Y92" s="228"/>
      <c r="Z92" s="228"/>
      <c r="AA92" s="230"/>
    </row>
    <row r="93" spans="1:27" x14ac:dyDescent="0.25">
      <c r="A93" s="228"/>
      <c r="B93" s="228"/>
      <c r="C93" s="228"/>
      <c r="D93" s="228"/>
      <c r="E93" s="228"/>
      <c r="F93" s="228"/>
      <c r="G93" s="228"/>
      <c r="H93" s="228"/>
      <c r="I93" s="228"/>
      <c r="J93" s="228"/>
      <c r="K93" s="228"/>
      <c r="L93" s="228"/>
      <c r="M93" s="228"/>
      <c r="N93" s="228"/>
      <c r="O93" s="228"/>
      <c r="P93" s="228"/>
      <c r="Q93" s="228"/>
      <c r="R93" s="228"/>
      <c r="S93" s="228"/>
      <c r="T93" s="228"/>
      <c r="U93" s="228"/>
      <c r="V93" s="228"/>
      <c r="W93" s="228"/>
      <c r="X93" s="228"/>
      <c r="Y93" s="228"/>
      <c r="Z93" s="228"/>
      <c r="AA93" s="230"/>
    </row>
    <row r="94" spans="1:27" x14ac:dyDescent="0.25">
      <c r="A94" s="228"/>
      <c r="B94" s="228"/>
      <c r="C94" s="228"/>
      <c r="D94" s="228"/>
      <c r="E94" s="228"/>
      <c r="F94" s="228"/>
      <c r="G94" s="228"/>
      <c r="H94" s="228"/>
      <c r="I94" s="228"/>
      <c r="J94" s="228"/>
      <c r="K94" s="228"/>
      <c r="L94" s="228"/>
      <c r="M94" s="228"/>
      <c r="N94" s="228"/>
      <c r="O94" s="228"/>
      <c r="P94" s="228"/>
      <c r="Q94" s="228"/>
      <c r="R94" s="228"/>
      <c r="S94" s="228"/>
      <c r="T94" s="228"/>
      <c r="U94" s="228"/>
      <c r="V94" s="228"/>
      <c r="W94" s="228"/>
      <c r="X94" s="228"/>
      <c r="Y94" s="228"/>
      <c r="Z94" s="228"/>
      <c r="AA94" s="230"/>
    </row>
    <row r="95" spans="1:27" x14ac:dyDescent="0.25">
      <c r="A95" s="228"/>
      <c r="B95" s="228"/>
      <c r="C95" s="228"/>
      <c r="D95" s="228"/>
      <c r="E95" s="228"/>
      <c r="F95" s="228"/>
      <c r="G95" s="228"/>
      <c r="H95" s="228"/>
      <c r="I95" s="228"/>
      <c r="J95" s="228"/>
      <c r="K95" s="228"/>
      <c r="L95" s="228"/>
      <c r="M95" s="228"/>
      <c r="N95" s="228"/>
      <c r="O95" s="228"/>
      <c r="P95" s="228"/>
      <c r="Q95" s="228"/>
      <c r="R95" s="228"/>
      <c r="S95" s="228"/>
      <c r="T95" s="228"/>
      <c r="U95" s="228"/>
      <c r="V95" s="228"/>
      <c r="W95" s="228"/>
      <c r="X95" s="228"/>
      <c r="Y95" s="228"/>
      <c r="Z95" s="228"/>
      <c r="AA95" s="230"/>
    </row>
    <row r="96" spans="1:27" x14ac:dyDescent="0.25">
      <c r="A96" s="228"/>
      <c r="B96" s="228"/>
      <c r="C96" s="228"/>
      <c r="D96" s="228"/>
      <c r="E96" s="228"/>
      <c r="F96" s="228"/>
      <c r="G96" s="228"/>
      <c r="H96" s="228"/>
      <c r="I96" s="228"/>
      <c r="J96" s="228"/>
      <c r="K96" s="228"/>
      <c r="L96" s="228"/>
      <c r="M96" s="228"/>
      <c r="N96" s="228"/>
      <c r="O96" s="228"/>
      <c r="P96" s="228"/>
      <c r="Q96" s="228"/>
      <c r="R96" s="228"/>
      <c r="S96" s="228"/>
      <c r="T96" s="228"/>
      <c r="U96" s="228"/>
      <c r="V96" s="228"/>
      <c r="W96" s="228"/>
      <c r="X96" s="228"/>
      <c r="Y96" s="228"/>
      <c r="Z96" s="228"/>
      <c r="AA96" s="230"/>
    </row>
    <row r="97" spans="1:27" x14ac:dyDescent="0.25">
      <c r="A97" s="228"/>
      <c r="B97" s="228"/>
      <c r="C97" s="228"/>
      <c r="D97" s="228"/>
      <c r="E97" s="228"/>
      <c r="F97" s="228"/>
      <c r="G97" s="228"/>
      <c r="H97" s="228"/>
      <c r="I97" s="228"/>
      <c r="J97" s="228"/>
      <c r="K97" s="228"/>
      <c r="L97" s="228"/>
      <c r="M97" s="228"/>
      <c r="N97" s="228"/>
      <c r="O97" s="228"/>
      <c r="P97" s="228"/>
      <c r="Q97" s="228"/>
      <c r="R97" s="228"/>
      <c r="S97" s="228"/>
      <c r="T97" s="228"/>
      <c r="U97" s="228"/>
      <c r="V97" s="228"/>
      <c r="W97" s="228"/>
      <c r="X97" s="228"/>
      <c r="Y97" s="228"/>
      <c r="Z97" s="228"/>
      <c r="AA97" s="230"/>
    </row>
    <row r="98" spans="1:27" x14ac:dyDescent="0.25">
      <c r="A98" s="228"/>
      <c r="B98" s="228"/>
      <c r="C98" s="228"/>
      <c r="D98" s="228"/>
      <c r="E98" s="228"/>
      <c r="F98" s="228"/>
      <c r="G98" s="228"/>
      <c r="H98" s="228"/>
      <c r="I98" s="228"/>
      <c r="J98" s="228"/>
      <c r="K98" s="228"/>
      <c r="L98" s="228"/>
      <c r="M98" s="228"/>
      <c r="N98" s="228"/>
      <c r="O98" s="228"/>
      <c r="P98" s="228"/>
      <c r="Q98" s="228"/>
      <c r="R98" s="228"/>
      <c r="S98" s="228"/>
      <c r="T98" s="228"/>
      <c r="U98" s="228"/>
      <c r="V98" s="228"/>
      <c r="W98" s="228"/>
      <c r="X98" s="228"/>
      <c r="Y98" s="228"/>
      <c r="Z98" s="228"/>
      <c r="AA98" s="230"/>
    </row>
    <row r="99" spans="1:27" x14ac:dyDescent="0.25">
      <c r="A99" s="228"/>
      <c r="B99" s="228"/>
      <c r="C99" s="228"/>
      <c r="D99" s="228"/>
      <c r="E99" s="228"/>
      <c r="F99" s="228"/>
      <c r="G99" s="228"/>
      <c r="H99" s="228"/>
      <c r="I99" s="228"/>
      <c r="J99" s="228"/>
      <c r="K99" s="228"/>
      <c r="L99" s="228"/>
      <c r="M99" s="228"/>
      <c r="N99" s="228"/>
      <c r="O99" s="228"/>
      <c r="P99" s="228"/>
      <c r="Q99" s="228"/>
      <c r="R99" s="228"/>
      <c r="S99" s="228"/>
      <c r="T99" s="228"/>
      <c r="U99" s="228"/>
      <c r="V99" s="228"/>
      <c r="W99" s="228"/>
      <c r="X99" s="228"/>
      <c r="Y99" s="228"/>
      <c r="Z99" s="228"/>
      <c r="AA99" s="230"/>
    </row>
    <row r="100" spans="1:27" x14ac:dyDescent="0.25">
      <c r="A100" s="228"/>
      <c r="B100" s="228"/>
      <c r="C100" s="228"/>
      <c r="D100" s="228"/>
      <c r="E100" s="228"/>
      <c r="F100" s="228"/>
      <c r="G100" s="228"/>
      <c r="H100" s="228"/>
      <c r="I100" s="228"/>
      <c r="J100" s="228"/>
      <c r="K100" s="228"/>
      <c r="L100" s="228"/>
      <c r="M100" s="228"/>
      <c r="N100" s="228"/>
      <c r="O100" s="228"/>
      <c r="P100" s="228"/>
      <c r="Q100" s="228"/>
      <c r="R100" s="228"/>
      <c r="S100" s="228"/>
      <c r="T100" s="228"/>
      <c r="U100" s="228"/>
      <c r="V100" s="228"/>
      <c r="W100" s="228"/>
      <c r="X100" s="228"/>
      <c r="Y100" s="228"/>
      <c r="Z100" s="228"/>
      <c r="AA100" s="230"/>
    </row>
    <row r="101" spans="1:27" x14ac:dyDescent="0.25">
      <c r="A101" s="228"/>
      <c r="B101" s="228"/>
      <c r="C101" s="228"/>
      <c r="D101" s="228"/>
      <c r="E101" s="228"/>
      <c r="F101" s="228"/>
      <c r="G101" s="228"/>
      <c r="H101" s="228"/>
      <c r="I101" s="228"/>
      <c r="J101" s="228"/>
      <c r="K101" s="228"/>
      <c r="L101" s="228"/>
      <c r="M101" s="228"/>
      <c r="N101" s="228"/>
      <c r="O101" s="228"/>
      <c r="P101" s="228"/>
      <c r="Q101" s="228"/>
      <c r="R101" s="228"/>
      <c r="S101" s="228"/>
      <c r="T101" s="228"/>
      <c r="U101" s="228"/>
      <c r="V101" s="228"/>
      <c r="W101" s="228"/>
      <c r="X101" s="228"/>
      <c r="Y101" s="228"/>
      <c r="Z101" s="228"/>
      <c r="AA101" s="230"/>
    </row>
    <row r="102" spans="1:27" x14ac:dyDescent="0.25">
      <c r="A102" s="228"/>
      <c r="B102" s="228"/>
      <c r="C102" s="228"/>
      <c r="D102" s="228"/>
      <c r="E102" s="228"/>
      <c r="F102" s="228"/>
      <c r="G102" s="228"/>
      <c r="H102" s="229"/>
      <c r="I102" s="229"/>
      <c r="J102" s="229"/>
      <c r="K102" s="229"/>
      <c r="L102" s="229"/>
      <c r="M102" s="229"/>
      <c r="N102" s="229"/>
      <c r="O102" s="229"/>
      <c r="P102" s="229"/>
      <c r="Q102" s="229"/>
      <c r="R102" s="229"/>
      <c r="S102" s="229"/>
      <c r="T102" s="229"/>
      <c r="U102" s="229"/>
      <c r="V102" s="229"/>
      <c r="W102" s="229"/>
      <c r="X102" s="229"/>
      <c r="Y102" s="229"/>
      <c r="Z102" s="230"/>
      <c r="AA102" s="230"/>
    </row>
    <row r="103" spans="1:27" x14ac:dyDescent="0.25">
      <c r="A103" s="228"/>
      <c r="B103" s="228"/>
      <c r="C103" s="228"/>
      <c r="D103" s="228"/>
      <c r="E103" s="228"/>
      <c r="F103" s="228"/>
      <c r="G103" s="228"/>
      <c r="H103" s="229"/>
      <c r="I103" s="229"/>
      <c r="J103" s="229"/>
      <c r="K103" s="229"/>
      <c r="L103" s="229"/>
      <c r="M103" s="229"/>
      <c r="N103" s="229"/>
      <c r="O103" s="229"/>
      <c r="P103" s="229"/>
      <c r="Q103" s="229"/>
      <c r="R103" s="229"/>
      <c r="S103" s="229"/>
      <c r="T103" s="229"/>
      <c r="U103" s="229"/>
      <c r="V103" s="229"/>
      <c r="W103" s="229"/>
      <c r="X103" s="229"/>
      <c r="Y103" s="229"/>
      <c r="Z103" s="230"/>
      <c r="AA103" s="230"/>
    </row>
    <row r="104" spans="1:27" x14ac:dyDescent="0.25">
      <c r="A104" s="228"/>
      <c r="B104" s="228"/>
      <c r="C104" s="228"/>
      <c r="D104" s="228"/>
      <c r="E104" s="228"/>
      <c r="F104" s="228"/>
      <c r="G104" s="228"/>
      <c r="H104" s="229"/>
      <c r="I104" s="229"/>
      <c r="J104" s="229"/>
      <c r="K104" s="229"/>
      <c r="L104" s="229"/>
      <c r="M104" s="229"/>
      <c r="N104" s="229"/>
      <c r="O104" s="229"/>
      <c r="P104" s="229"/>
      <c r="Q104" s="229"/>
      <c r="R104" s="229"/>
      <c r="S104" s="229"/>
      <c r="T104" s="229"/>
      <c r="U104" s="229"/>
      <c r="V104" s="229"/>
      <c r="W104" s="229"/>
      <c r="X104" s="229"/>
      <c r="Y104" s="229"/>
      <c r="Z104" s="230"/>
      <c r="AA104" s="230"/>
    </row>
    <row r="105" spans="1:27" x14ac:dyDescent="0.25">
      <c r="A105" s="228"/>
      <c r="B105" s="228"/>
      <c r="C105" s="228"/>
      <c r="D105" s="228"/>
      <c r="E105" s="228"/>
      <c r="F105" s="228"/>
      <c r="G105" s="228"/>
      <c r="H105" s="229"/>
      <c r="I105" s="229"/>
      <c r="J105" s="229"/>
      <c r="K105" s="229"/>
      <c r="L105" s="229"/>
      <c r="M105" s="229"/>
      <c r="N105" s="229"/>
      <c r="O105" s="229"/>
      <c r="P105" s="229"/>
      <c r="Q105" s="229"/>
      <c r="R105" s="229"/>
      <c r="S105" s="229"/>
      <c r="T105" s="229"/>
      <c r="U105" s="229"/>
      <c r="V105" s="229"/>
      <c r="W105" s="229"/>
      <c r="X105" s="229"/>
      <c r="Y105" s="229"/>
      <c r="Z105" s="230"/>
      <c r="AA105" s="230"/>
    </row>
    <row r="106" spans="1:27" x14ac:dyDescent="0.25">
      <c r="A106" s="228"/>
      <c r="B106" s="228"/>
      <c r="C106" s="228"/>
      <c r="D106" s="228"/>
      <c r="E106" s="228"/>
      <c r="F106" s="228"/>
      <c r="G106" s="228"/>
      <c r="H106" s="229"/>
      <c r="I106" s="229"/>
      <c r="J106" s="229"/>
      <c r="K106" s="229"/>
      <c r="L106" s="229"/>
      <c r="M106" s="229"/>
      <c r="N106" s="229"/>
      <c r="O106" s="229"/>
      <c r="P106" s="229"/>
      <c r="Q106" s="229"/>
      <c r="R106" s="229"/>
      <c r="S106" s="229"/>
      <c r="T106" s="229"/>
      <c r="U106" s="229"/>
      <c r="V106" s="229"/>
      <c r="W106" s="229"/>
      <c r="X106" s="229"/>
      <c r="Y106" s="229"/>
      <c r="Z106" s="230"/>
      <c r="AA106" s="230"/>
    </row>
    <row r="107" spans="1:27" x14ac:dyDescent="0.25">
      <c r="A107" s="228"/>
      <c r="B107" s="228"/>
      <c r="C107" s="228"/>
      <c r="D107" s="228"/>
      <c r="E107" s="228"/>
      <c r="F107" s="228"/>
      <c r="G107" s="228"/>
      <c r="H107" s="229"/>
      <c r="I107" s="229"/>
      <c r="J107" s="229"/>
      <c r="K107" s="229"/>
      <c r="L107" s="229"/>
      <c r="M107" s="229"/>
      <c r="N107" s="229"/>
      <c r="O107" s="229"/>
      <c r="P107" s="229"/>
      <c r="Q107" s="229"/>
      <c r="R107" s="229"/>
      <c r="S107" s="229"/>
      <c r="T107" s="229"/>
      <c r="U107" s="229"/>
      <c r="V107" s="229"/>
      <c r="W107" s="229"/>
      <c r="X107" s="229"/>
      <c r="Y107" s="229"/>
      <c r="Z107" s="230"/>
      <c r="AA107" s="230"/>
    </row>
    <row r="108" spans="1:27" x14ac:dyDescent="0.25">
      <c r="A108" s="228"/>
      <c r="B108" s="228"/>
      <c r="C108" s="228"/>
      <c r="D108" s="228"/>
      <c r="E108" s="228"/>
      <c r="F108" s="228"/>
      <c r="G108" s="228"/>
      <c r="H108" s="229"/>
      <c r="I108" s="229"/>
      <c r="J108" s="229"/>
      <c r="K108" s="229"/>
      <c r="L108" s="229"/>
      <c r="M108" s="229"/>
      <c r="N108" s="229"/>
      <c r="O108" s="229"/>
      <c r="P108" s="229"/>
      <c r="Q108" s="229"/>
      <c r="R108" s="229"/>
      <c r="S108" s="229"/>
      <c r="T108" s="229"/>
      <c r="U108" s="229"/>
      <c r="V108" s="229"/>
      <c r="W108" s="229"/>
      <c r="X108" s="229"/>
      <c r="Y108" s="229"/>
      <c r="Z108" s="230"/>
      <c r="AA108" s="230"/>
    </row>
    <row r="109" spans="1:27" x14ac:dyDescent="0.25">
      <c r="A109" s="228"/>
      <c r="B109" s="228"/>
      <c r="C109" s="228"/>
      <c r="D109" s="228"/>
      <c r="E109" s="228"/>
      <c r="F109" s="228"/>
      <c r="G109" s="228"/>
      <c r="H109" s="229"/>
      <c r="I109" s="229"/>
      <c r="J109" s="229"/>
      <c r="K109" s="229"/>
      <c r="L109" s="229"/>
      <c r="M109" s="229"/>
      <c r="N109" s="229"/>
      <c r="O109" s="229"/>
      <c r="P109" s="229"/>
      <c r="Q109" s="229"/>
      <c r="R109" s="229"/>
      <c r="S109" s="229"/>
      <c r="T109" s="229"/>
      <c r="U109" s="229"/>
      <c r="V109" s="229"/>
      <c r="W109" s="229"/>
      <c r="X109" s="229"/>
      <c r="Y109" s="229"/>
      <c r="Z109" s="230"/>
      <c r="AA109" s="230"/>
    </row>
    <row r="110" spans="1:27" x14ac:dyDescent="0.25">
      <c r="A110" s="228"/>
      <c r="B110" s="228"/>
      <c r="C110" s="228"/>
      <c r="D110" s="228"/>
      <c r="E110" s="228"/>
      <c r="F110" s="228"/>
      <c r="G110" s="228"/>
      <c r="H110" s="229"/>
      <c r="I110" s="229"/>
      <c r="J110" s="229"/>
      <c r="K110" s="229"/>
      <c r="L110" s="229"/>
      <c r="M110" s="229"/>
      <c r="N110" s="229"/>
      <c r="O110" s="229"/>
      <c r="P110" s="229"/>
      <c r="Q110" s="229"/>
      <c r="R110" s="229"/>
      <c r="S110" s="229"/>
      <c r="T110" s="229"/>
      <c r="U110" s="229"/>
      <c r="V110" s="229"/>
      <c r="W110" s="229"/>
      <c r="X110" s="229"/>
      <c r="Y110" s="229"/>
      <c r="Z110" s="230"/>
      <c r="AA110" s="230"/>
    </row>
    <row r="111" spans="1:27" x14ac:dyDescent="0.25">
      <c r="A111" s="228"/>
      <c r="B111" s="228"/>
      <c r="C111" s="228"/>
      <c r="D111" s="228"/>
      <c r="E111" s="228"/>
      <c r="F111" s="228"/>
      <c r="G111" s="228"/>
      <c r="H111" s="229"/>
      <c r="I111" s="229"/>
      <c r="J111" s="229"/>
      <c r="K111" s="229"/>
      <c r="L111" s="229"/>
      <c r="M111" s="229"/>
      <c r="N111" s="229"/>
      <c r="O111" s="229"/>
      <c r="P111" s="229"/>
      <c r="Q111" s="229"/>
      <c r="R111" s="229"/>
      <c r="S111" s="229"/>
      <c r="T111" s="229"/>
      <c r="U111" s="229"/>
      <c r="V111" s="229"/>
      <c r="W111" s="229"/>
      <c r="X111" s="229"/>
      <c r="Y111" s="229"/>
      <c r="Z111" s="230"/>
      <c r="AA111" s="230"/>
    </row>
    <row r="112" spans="1:27" x14ac:dyDescent="0.25">
      <c r="A112" s="228"/>
      <c r="B112" s="228"/>
      <c r="C112" s="228"/>
      <c r="D112" s="228"/>
      <c r="E112" s="228"/>
      <c r="F112" s="228"/>
      <c r="G112" s="228"/>
      <c r="H112" s="229"/>
      <c r="I112" s="229"/>
      <c r="J112" s="229"/>
      <c r="K112" s="229"/>
      <c r="L112" s="229"/>
      <c r="M112" s="229"/>
      <c r="N112" s="229"/>
      <c r="O112" s="229"/>
      <c r="P112" s="229"/>
      <c r="Q112" s="229"/>
      <c r="R112" s="229"/>
      <c r="S112" s="229"/>
      <c r="T112" s="229"/>
      <c r="U112" s="229"/>
      <c r="V112" s="229"/>
      <c r="W112" s="229"/>
      <c r="X112" s="229"/>
      <c r="Y112" s="229"/>
      <c r="Z112" s="230"/>
      <c r="AA112" s="230"/>
    </row>
  </sheetData>
  <sheetProtection algorithmName="SHA-512" hashValue="wT5QMg5kgPRRlGeh4TFd4NtWKqy/qWCGI5r5QmVlzgnyMW3x6ZpFrxPkgWZGBBJ0C1lmwsjLsclClx18b2yb4w==" saltValue="3Ag0x9dpkknqVHT1P0mvbA==" spinCount="100000" sheet="1" selectLockedCells="1"/>
  <protectedRanges>
    <protectedRange sqref="N3" name="Range1"/>
  </protectedRanges>
  <dataConsolidate/>
  <mergeCells count="5">
    <mergeCell ref="B4:C4"/>
    <mergeCell ref="D4:G4"/>
    <mergeCell ref="A1:AA2"/>
    <mergeCell ref="A3:L3"/>
    <mergeCell ref="Q3:Z3"/>
  </mergeCells>
  <conditionalFormatting sqref="AA6:AA26">
    <cfRule type="expression" dxfId="26" priority="28">
      <formula>AA6="Normal"</formula>
    </cfRule>
    <cfRule type="expression" dxfId="25" priority="29">
      <formula>OR(AA6="Dropout",AA6="TSD",AA6="Pulse Skip")</formula>
    </cfRule>
  </conditionalFormatting>
  <conditionalFormatting sqref="AA6:AA26">
    <cfRule type="expression" dxfId="24" priority="26">
      <formula>ISERROR($AA6)</formula>
    </cfRule>
  </conditionalFormatting>
  <conditionalFormatting sqref="AA28:AA48">
    <cfRule type="expression" dxfId="23" priority="23">
      <formula>AA28="Normal"</formula>
    </cfRule>
    <cfRule type="expression" dxfId="22" priority="24">
      <formula>OR(AA28="Dropout",AA28="TSD",AA28="Pulse Skip")</formula>
    </cfRule>
  </conditionalFormatting>
  <conditionalFormatting sqref="F28:F48 H28:H48 O28:Z48 J28:J48 L28:L48">
    <cfRule type="expression" dxfId="21" priority="19">
      <formula>ISERROR($AA28)</formula>
    </cfRule>
    <cfRule type="expression" dxfId="20" priority="21">
      <formula>OR($AA28="TSD",ISERROR($AA28))</formula>
    </cfRule>
  </conditionalFormatting>
  <conditionalFormatting sqref="AA28:AA48">
    <cfRule type="expression" dxfId="19" priority="20">
      <formula>ISERROR($AA28)</formula>
    </cfRule>
  </conditionalFormatting>
  <conditionalFormatting sqref="C6:Z26">
    <cfRule type="expression" dxfId="18" priority="25">
      <formula>ISERROR($AA6)</formula>
    </cfRule>
    <cfRule type="expression" dxfId="17" priority="27">
      <formula>OR($AA6="TSD",ISERROR($AA6))</formula>
    </cfRule>
  </conditionalFormatting>
  <conditionalFormatting sqref="G28:G48">
    <cfRule type="expression" dxfId="16" priority="17">
      <formula>ISERROR($AA28)</formula>
    </cfRule>
    <cfRule type="expression" dxfId="15" priority="18">
      <formula>OR($AA28="TSD",ISERROR($AA28))</formula>
    </cfRule>
  </conditionalFormatting>
  <conditionalFormatting sqref="C28:C48">
    <cfRule type="expression" dxfId="14" priority="15">
      <formula>ISERROR($AA28)</formula>
    </cfRule>
    <cfRule type="expression" dxfId="13" priority="16">
      <formula>OR($AA28="TSD",ISERROR($AA28))</formula>
    </cfRule>
  </conditionalFormatting>
  <conditionalFormatting sqref="E28:E48">
    <cfRule type="expression" dxfId="12" priority="13">
      <formula>ISERROR($AA28)</formula>
    </cfRule>
    <cfRule type="expression" dxfId="11" priority="14">
      <formula>OR($AA28="TSD",ISERROR($AA28))</formula>
    </cfRule>
  </conditionalFormatting>
  <conditionalFormatting sqref="M28:M48">
    <cfRule type="expression" dxfId="10" priority="11">
      <formula>ISERROR($AA28)</formula>
    </cfRule>
    <cfRule type="expression" dxfId="9" priority="12">
      <formula>OR($AA28="TSD",ISERROR($AA28))</formula>
    </cfRule>
  </conditionalFormatting>
  <conditionalFormatting sqref="N28:N48">
    <cfRule type="expression" dxfId="8" priority="7">
      <formula>ISERROR($AA28)</formula>
    </cfRule>
    <cfRule type="expression" dxfId="7" priority="8">
      <formula>OR($AA28="TSD",ISERROR($AA28))</formula>
    </cfRule>
  </conditionalFormatting>
  <conditionalFormatting sqref="I28:I48">
    <cfRule type="expression" dxfId="6" priority="5">
      <formula>ISERROR($AA28)</formula>
    </cfRule>
    <cfRule type="expression" dxfId="5" priority="6">
      <formula>OR($AA28="TSD",ISERROR($AA28))</formula>
    </cfRule>
  </conditionalFormatting>
  <conditionalFormatting sqref="K28:K48">
    <cfRule type="expression" dxfId="4" priority="3">
      <formula>ISERROR($AA28)</formula>
    </cfRule>
    <cfRule type="expression" dxfId="3" priority="4">
      <formula>OR($AA28="TSD",ISERROR($AA28))</formula>
    </cfRule>
  </conditionalFormatting>
  <conditionalFormatting sqref="D28:D48">
    <cfRule type="expression" dxfId="2" priority="1">
      <formula>ISERROR($AA28)</formula>
    </cfRule>
    <cfRule type="expression" dxfId="1" priority="2">
      <formula>OR($AA28="TSD",ISERROR($AA28))</formula>
    </cfRule>
  </conditionalFormatting>
  <dataValidations count="1">
    <dataValidation type="list" allowBlank="1" showInputMessage="1" showErrorMessage="1" sqref="N3" xr:uid="{93A1F658-DC93-446D-B877-8C4BA39FEA72}">
      <formula1>#REF!</formula1>
    </dataValidation>
  </dataValidations>
  <pageMargins left="0.7" right="0.7" top="0.75" bottom="0.75" header="0.3" footer="0.3"/>
  <pageSetup orientation="portrait" horizontalDpi="4294967293" r:id="rId1"/>
  <drawing r:id="rId2"/>
  <legacyDrawing r:id="rId3"/>
  <controls>
    <mc:AlternateContent xmlns:mc="http://schemas.openxmlformats.org/markup-compatibility/2006">
      <mc:Choice Requires="x14">
        <control shapeId="3074" r:id="rId4" name="CommandButton1">
          <controlPr defaultSize="0" autoLine="0" autoPict="0" r:id="rId5">
            <anchor moveWithCells="1">
              <from>
                <xdr:col>2</xdr:col>
                <xdr:colOff>0</xdr:colOff>
                <xdr:row>49</xdr:row>
                <xdr:rowOff>9525</xdr:rowOff>
              </from>
              <to>
                <xdr:col>5</xdr:col>
                <xdr:colOff>38100</xdr:colOff>
                <xdr:row>52</xdr:row>
                <xdr:rowOff>19050</xdr:rowOff>
              </to>
            </anchor>
          </controlPr>
        </control>
      </mc:Choice>
      <mc:Fallback>
        <control shapeId="3074" r:id="rId4" name="CommandButton1"/>
      </mc:Fallback>
    </mc:AlternateContent>
  </control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2" id="{0ABC4810-CEC4-4F76-8F4A-E70C0AAF0D92}">
            <xm:f>R28&gt;Constants!$C$31</xm:f>
            <x14:dxf>
              <fill>
                <patternFill>
                  <bgColor rgb="FFFF6600"/>
                </patternFill>
              </fill>
            </x14:dxf>
          </x14:cfRule>
          <xm:sqref>R28:R48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660EE62-E2E2-47C8-80CB-68014E7CEC63}">
          <x14:formula1>
            <xm:f>Design!$A$98:$A$102</xm:f>
          </x14:formula1>
          <xm:sqref>I4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K33"/>
  <sheetViews>
    <sheetView zoomScaleNormal="100" workbookViewId="0">
      <selection activeCell="C4" sqref="C4"/>
    </sheetView>
  </sheetViews>
  <sheetFormatPr defaultColWidth="9.140625" defaultRowHeight="15" x14ac:dyDescent="0.25"/>
  <cols>
    <col min="1" max="1" width="20.7109375" style="66" customWidth="1"/>
    <col min="2" max="4" width="12.7109375" style="66" customWidth="1"/>
    <col min="5" max="6" width="15.7109375" style="66" customWidth="1"/>
    <col min="7" max="16384" width="9.140625" style="66"/>
  </cols>
  <sheetData>
    <row r="1" spans="1:11" ht="21.75" thickBot="1" x14ac:dyDescent="0.3">
      <c r="A1" s="454" t="s">
        <v>221</v>
      </c>
      <c r="B1" s="455"/>
      <c r="C1" s="455"/>
      <c r="D1" s="455"/>
      <c r="E1" s="455"/>
      <c r="F1" s="455"/>
      <c r="G1" s="455"/>
      <c r="H1" s="455"/>
      <c r="I1" s="456"/>
    </row>
    <row r="2" spans="1:11" ht="24" customHeight="1" thickBot="1" x14ac:dyDescent="0.3">
      <c r="A2" s="510" t="s">
        <v>84</v>
      </c>
      <c r="B2" s="511"/>
      <c r="C2" s="511"/>
      <c r="D2" s="511"/>
      <c r="E2" s="511"/>
      <c r="F2" s="511"/>
      <c r="G2" s="511"/>
      <c r="H2" s="511"/>
      <c r="I2" s="512"/>
    </row>
    <row r="3" spans="1:11" ht="19.5" thickBot="1" x14ac:dyDescent="0.35">
      <c r="A3" s="26" t="s">
        <v>66</v>
      </c>
      <c r="B3" s="11" t="s">
        <v>25</v>
      </c>
      <c r="C3" s="10" t="s">
        <v>26</v>
      </c>
      <c r="D3" s="11" t="s">
        <v>27</v>
      </c>
      <c r="E3" s="11" t="s">
        <v>28</v>
      </c>
      <c r="F3" s="513" t="s">
        <v>30</v>
      </c>
      <c r="G3" s="514"/>
      <c r="H3" s="514"/>
      <c r="I3" s="515"/>
    </row>
    <row r="4" spans="1:11" ht="18.75" thickBot="1" x14ac:dyDescent="0.4">
      <c r="A4" s="12" t="s">
        <v>109</v>
      </c>
      <c r="B4" s="9" t="s">
        <v>19</v>
      </c>
      <c r="C4" s="7">
        <v>135</v>
      </c>
      <c r="D4" s="52" t="s">
        <v>19</v>
      </c>
      <c r="E4" s="40" t="s">
        <v>14</v>
      </c>
      <c r="F4" s="516" t="s">
        <v>346</v>
      </c>
      <c r="G4" s="517"/>
      <c r="H4" s="517"/>
      <c r="I4" s="518"/>
    </row>
    <row r="5" spans="1:11" ht="18.75" thickBot="1" x14ac:dyDescent="0.4">
      <c r="A5" s="12" t="s">
        <v>112</v>
      </c>
      <c r="B5" s="2" t="s">
        <v>19</v>
      </c>
      <c r="C5" s="75">
        <f>1000000000/(C4*1000000)</f>
        <v>7.4074074074074074</v>
      </c>
      <c r="D5" s="2" t="s">
        <v>19</v>
      </c>
      <c r="E5" s="40" t="s">
        <v>4</v>
      </c>
      <c r="F5" s="275" t="s">
        <v>111</v>
      </c>
      <c r="G5" s="276"/>
      <c r="H5" s="276"/>
      <c r="I5" s="277"/>
    </row>
    <row r="6" spans="1:11" ht="18.75" thickBot="1" x14ac:dyDescent="0.3">
      <c r="A6" s="42" t="s">
        <v>106</v>
      </c>
      <c r="B6" s="16" t="s">
        <v>19</v>
      </c>
      <c r="C6" s="17">
        <v>120</v>
      </c>
      <c r="D6" s="47" t="s">
        <v>19</v>
      </c>
      <c r="E6" s="18" t="s">
        <v>16</v>
      </c>
      <c r="F6" s="519" t="s">
        <v>107</v>
      </c>
      <c r="G6" s="470"/>
      <c r="H6" s="470"/>
      <c r="I6" s="471"/>
    </row>
    <row r="7" spans="1:11" ht="15.75" thickBot="1" x14ac:dyDescent="0.3">
      <c r="A7" s="12" t="s">
        <v>119</v>
      </c>
      <c r="B7" s="9" t="s">
        <v>19</v>
      </c>
      <c r="C7" s="7">
        <v>50</v>
      </c>
      <c r="D7" s="52" t="s">
        <v>19</v>
      </c>
      <c r="E7" s="1" t="s">
        <v>16</v>
      </c>
      <c r="F7" s="520" t="s">
        <v>120</v>
      </c>
      <c r="G7" s="521"/>
      <c r="H7" s="521"/>
      <c r="I7" s="522"/>
    </row>
    <row r="8" spans="1:11" ht="18.75" thickBot="1" x14ac:dyDescent="0.3">
      <c r="A8" s="43" t="s">
        <v>117</v>
      </c>
      <c r="B8" s="44" t="s">
        <v>19</v>
      </c>
      <c r="C8" s="54">
        <v>2.5</v>
      </c>
      <c r="D8" s="48" t="s">
        <v>19</v>
      </c>
      <c r="E8" s="41" t="s">
        <v>344</v>
      </c>
      <c r="F8" s="500" t="s">
        <v>116</v>
      </c>
      <c r="G8" s="501"/>
      <c r="H8" s="501"/>
      <c r="I8" s="502"/>
    </row>
    <row r="9" spans="1:11" ht="32.1" customHeight="1" thickBot="1" x14ac:dyDescent="0.3">
      <c r="A9" s="503" t="s">
        <v>95</v>
      </c>
      <c r="B9" s="504"/>
      <c r="C9" s="504"/>
      <c r="D9" s="504"/>
      <c r="E9" s="504"/>
      <c r="F9" s="504"/>
      <c r="G9" s="504"/>
      <c r="H9" s="504"/>
      <c r="I9" s="505"/>
    </row>
    <row r="10" spans="1:11" ht="18" customHeight="1" x14ac:dyDescent="0.25">
      <c r="A10" s="299" t="s">
        <v>24</v>
      </c>
      <c r="B10" s="300" t="s">
        <v>23</v>
      </c>
      <c r="C10" s="300" t="s">
        <v>28</v>
      </c>
      <c r="D10" s="506" t="s">
        <v>30</v>
      </c>
      <c r="E10" s="507"/>
      <c r="F10" s="507"/>
      <c r="G10" s="507"/>
      <c r="H10" s="507"/>
      <c r="I10" s="508"/>
    </row>
    <row r="11" spans="1:11" ht="15.75" customHeight="1" x14ac:dyDescent="0.25">
      <c r="A11" s="509" t="s">
        <v>105</v>
      </c>
      <c r="B11" s="429"/>
      <c r="C11" s="429"/>
      <c r="D11" s="429"/>
      <c r="E11" s="429"/>
      <c r="F11" s="429"/>
      <c r="G11" s="429"/>
      <c r="H11" s="429"/>
      <c r="I11" s="430"/>
    </row>
    <row r="12" spans="1:11" ht="18" x14ac:dyDescent="0.35">
      <c r="A12" s="147" t="s">
        <v>108</v>
      </c>
      <c r="B12" s="4">
        <f>1000000000*(C5/1000000000)^2/(4*3.14^2*(C6/1000000000000+C7/1000000000000))</f>
        <v>8.1839742483459119</v>
      </c>
      <c r="C12" s="3" t="s">
        <v>22</v>
      </c>
      <c r="D12" s="422" t="s">
        <v>345</v>
      </c>
      <c r="E12" s="423"/>
      <c r="F12" s="423"/>
      <c r="G12" s="423"/>
      <c r="H12" s="423"/>
      <c r="I12" s="451"/>
    </row>
    <row r="13" spans="1:11" ht="18.75" thickBot="1" x14ac:dyDescent="0.4">
      <c r="A13" s="147" t="s">
        <v>141</v>
      </c>
      <c r="B13" s="57">
        <f>SQRT(B12*0.000000001/(C6*0.000000000001+C7*0.000000000001))</f>
        <v>6.9383733677476647</v>
      </c>
      <c r="C13" s="49" t="s">
        <v>43</v>
      </c>
      <c r="D13" s="422" t="s">
        <v>114</v>
      </c>
      <c r="E13" s="423"/>
      <c r="F13" s="423"/>
      <c r="G13" s="423"/>
      <c r="H13" s="423"/>
      <c r="I13" s="451"/>
    </row>
    <row r="14" spans="1:11" ht="18.75" thickBot="1" x14ac:dyDescent="0.4">
      <c r="A14" s="234" t="s">
        <v>144</v>
      </c>
      <c r="B14" s="51">
        <v>6.81</v>
      </c>
      <c r="C14" s="33" t="s">
        <v>43</v>
      </c>
      <c r="D14" s="422" t="s">
        <v>143</v>
      </c>
      <c r="E14" s="423"/>
      <c r="F14" s="423"/>
      <c r="G14" s="423"/>
      <c r="H14" s="423"/>
      <c r="I14" s="451"/>
    </row>
    <row r="15" spans="1:11" ht="18.75" thickBot="1" x14ac:dyDescent="0.4">
      <c r="A15" s="147" t="s">
        <v>142</v>
      </c>
      <c r="B15" s="50">
        <f>1000000000000/C8*(C5/1000000000)/B14</f>
        <v>435.09000924566271</v>
      </c>
      <c r="C15" s="61" t="s">
        <v>16</v>
      </c>
      <c r="D15" s="422" t="s">
        <v>115</v>
      </c>
      <c r="E15" s="423"/>
      <c r="F15" s="423"/>
      <c r="G15" s="423"/>
      <c r="H15" s="423"/>
      <c r="I15" s="451"/>
    </row>
    <row r="16" spans="1:11" ht="18.75" thickBot="1" x14ac:dyDescent="0.4">
      <c r="A16" s="234" t="s">
        <v>145</v>
      </c>
      <c r="B16" s="55">
        <v>470</v>
      </c>
      <c r="C16" s="32" t="s">
        <v>16</v>
      </c>
      <c r="D16" s="422" t="s">
        <v>157</v>
      </c>
      <c r="E16" s="423"/>
      <c r="F16" s="423"/>
      <c r="G16" s="423"/>
      <c r="H16" s="423"/>
      <c r="I16" s="451"/>
      <c r="K16" s="298" t="s">
        <v>156</v>
      </c>
    </row>
    <row r="17" spans="1:9" ht="18.75" thickBot="1" x14ac:dyDescent="0.4">
      <c r="A17" s="301" t="s">
        <v>110</v>
      </c>
      <c r="B17" s="302">
        <f>1000*0.5*B16/1000000000000*Design!D4^2*IF(ISBLANK(Design!B36),Design!B35,Design!B36)*1000000</f>
        <v>152.28</v>
      </c>
      <c r="C17" s="303" t="s">
        <v>113</v>
      </c>
      <c r="D17" s="442" t="s">
        <v>118</v>
      </c>
      <c r="E17" s="443"/>
      <c r="F17" s="443"/>
      <c r="G17" s="443"/>
      <c r="H17" s="443"/>
      <c r="I17" s="444"/>
    </row>
    <row r="33" spans="3:3" x14ac:dyDescent="0.25">
      <c r="C33" s="298" t="s">
        <v>160</v>
      </c>
    </row>
  </sheetData>
  <sheetProtection algorithmName="SHA-512" hashValue="KD6y1fNobBH5ICkA9uBkhcRCEIsHiQBNlyVDDcRE481Mk9WHC3MxMuMgnuqul4Oq0F53Ajx4WAzEV7Gnt6el6g==" saltValue="5XhDISUGHV00Zv/UIvS1yw==" spinCount="100000" sheet="1" selectLockedCells="1"/>
  <protectedRanges>
    <protectedRange sqref="C4 C6 C7 C8 B14 B16" name="Range1"/>
  </protectedRanges>
  <mergeCells count="16">
    <mergeCell ref="F8:I8"/>
    <mergeCell ref="A9:I9"/>
    <mergeCell ref="D10:I10"/>
    <mergeCell ref="A11:I11"/>
    <mergeCell ref="A1:I1"/>
    <mergeCell ref="A2:I2"/>
    <mergeCell ref="F3:I3"/>
    <mergeCell ref="F4:I4"/>
    <mergeCell ref="F6:I6"/>
    <mergeCell ref="F7:I7"/>
    <mergeCell ref="D17:I17"/>
    <mergeCell ref="D12:I12"/>
    <mergeCell ref="D13:I13"/>
    <mergeCell ref="D14:I14"/>
    <mergeCell ref="D15:I15"/>
    <mergeCell ref="D16:I16"/>
  </mergeCells>
  <printOptions horizontalCentered="1"/>
  <pageMargins left="0.7" right="0.7" top="0.75" bottom="0.75" header="0.3" footer="0.3"/>
  <pageSetup scale="49" fitToHeight="2" orientation="portrait" horizontalDpi="4294967293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AD263"/>
  <sheetViews>
    <sheetView zoomScaleNormal="100" workbookViewId="0">
      <selection sqref="A1:I1"/>
    </sheetView>
  </sheetViews>
  <sheetFormatPr defaultColWidth="9.140625" defaultRowHeight="15" x14ac:dyDescent="0.25"/>
  <cols>
    <col min="1" max="1" width="25.5703125" style="68" customWidth="1"/>
    <col min="2" max="5" width="9.140625" style="68"/>
    <col min="6" max="6" width="18.7109375" style="66" customWidth="1"/>
    <col min="7" max="9" width="9.140625" style="66"/>
    <col min="10" max="10" width="12" style="304" bestFit="1" customWidth="1"/>
    <col min="11" max="16" width="12" style="304" customWidth="1"/>
    <col min="17" max="17" width="12" style="368" customWidth="1"/>
    <col min="18" max="20" width="10.28515625" style="377" customWidth="1"/>
    <col min="21" max="23" width="10.28515625" style="373" customWidth="1"/>
    <col min="24" max="24" width="9.140625" style="278"/>
    <col min="25" max="28" width="9.140625" style="304"/>
    <col min="29" max="29" width="12" style="304" bestFit="1" customWidth="1"/>
    <col min="30" max="30" width="10" style="304" bestFit="1" customWidth="1"/>
    <col min="31" max="16384" width="9.140625" style="66"/>
  </cols>
  <sheetData>
    <row r="1" spans="1:24" ht="24" customHeight="1" thickBot="1" x14ac:dyDescent="0.3">
      <c r="A1" s="525" t="s">
        <v>88</v>
      </c>
      <c r="B1" s="525"/>
      <c r="C1" s="525"/>
      <c r="D1" s="525"/>
      <c r="E1" s="525"/>
      <c r="F1" s="525"/>
      <c r="G1" s="525"/>
      <c r="H1" s="525"/>
      <c r="I1" s="525"/>
      <c r="R1" s="527" t="s">
        <v>174</v>
      </c>
      <c r="S1" s="527"/>
      <c r="T1" s="527"/>
      <c r="U1" s="527"/>
      <c r="W1" s="529" t="s">
        <v>177</v>
      </c>
      <c r="X1" s="529"/>
    </row>
    <row r="2" spans="1:24" s="306" customFormat="1" ht="18" customHeight="1" x14ac:dyDescent="0.3">
      <c r="A2" s="313" t="s">
        <v>1</v>
      </c>
      <c r="B2" s="314" t="s">
        <v>25</v>
      </c>
      <c r="C2" s="314" t="s">
        <v>26</v>
      </c>
      <c r="D2" s="314" t="s">
        <v>27</v>
      </c>
      <c r="E2" s="314" t="s">
        <v>28</v>
      </c>
      <c r="F2" s="523" t="s">
        <v>30</v>
      </c>
      <c r="G2" s="523"/>
      <c r="H2" s="523"/>
      <c r="I2" s="524"/>
      <c r="Q2" s="374"/>
      <c r="R2" s="527" t="s">
        <v>175</v>
      </c>
      <c r="S2" s="527"/>
      <c r="T2" s="530" t="s">
        <v>176</v>
      </c>
      <c r="U2" s="530"/>
      <c r="V2" s="373"/>
      <c r="W2" s="375">
        <v>1</v>
      </c>
      <c r="X2" s="375">
        <v>1.2</v>
      </c>
    </row>
    <row r="3" spans="1:24" x14ac:dyDescent="0.25">
      <c r="A3" s="76" t="s">
        <v>217</v>
      </c>
      <c r="B3" s="77">
        <v>3.8</v>
      </c>
      <c r="C3" s="77"/>
      <c r="D3" s="77">
        <v>50</v>
      </c>
      <c r="E3" s="78" t="s">
        <v>2</v>
      </c>
      <c r="F3" s="79" t="s">
        <v>278</v>
      </c>
      <c r="G3" s="80"/>
      <c r="H3" s="80"/>
      <c r="I3" s="81"/>
      <c r="Q3" s="369">
        <v>1</v>
      </c>
      <c r="R3" s="376">
        <v>100</v>
      </c>
      <c r="S3" s="376">
        <v>150</v>
      </c>
      <c r="T3" s="376">
        <v>100</v>
      </c>
      <c r="U3" s="377">
        <v>102</v>
      </c>
      <c r="V3" s="378">
        <v>1</v>
      </c>
      <c r="W3" s="375">
        <v>1.2</v>
      </c>
      <c r="X3" s="375">
        <v>1.5</v>
      </c>
    </row>
    <row r="4" spans="1:24" x14ac:dyDescent="0.25">
      <c r="A4" s="76" t="s">
        <v>194</v>
      </c>
      <c r="B4" s="77">
        <v>0.192</v>
      </c>
      <c r="C4" s="77">
        <v>0.2</v>
      </c>
      <c r="D4" s="77">
        <v>0.20799999999999999</v>
      </c>
      <c r="E4" s="78" t="s">
        <v>2</v>
      </c>
      <c r="F4" s="79" t="s">
        <v>278</v>
      </c>
      <c r="G4" s="80"/>
      <c r="H4" s="80"/>
      <c r="I4" s="81"/>
      <c r="Q4" s="369">
        <f>Q3+1</f>
        <v>2</v>
      </c>
      <c r="R4" s="377">
        <v>150</v>
      </c>
      <c r="S4" s="377">
        <v>220</v>
      </c>
      <c r="T4" s="377">
        <v>102</v>
      </c>
      <c r="U4" s="377">
        <v>105</v>
      </c>
      <c r="V4" s="378">
        <f>V3+1</f>
        <v>2</v>
      </c>
      <c r="W4" s="375">
        <v>1.5</v>
      </c>
      <c r="X4" s="375">
        <v>1.8</v>
      </c>
    </row>
    <row r="5" spans="1:24" x14ac:dyDescent="0.25">
      <c r="A5" s="76" t="s">
        <v>195</v>
      </c>
      <c r="B5" s="82">
        <f>100*(B4-C4)/C4</f>
        <v>-4.0000000000000036</v>
      </c>
      <c r="C5" s="83" t="s">
        <v>19</v>
      </c>
      <c r="D5" s="82">
        <f>100*(D4-C4)/C4</f>
        <v>3.9999999999999893</v>
      </c>
      <c r="E5" s="84" t="s">
        <v>21</v>
      </c>
      <c r="F5" s="79" t="s">
        <v>36</v>
      </c>
      <c r="G5" s="80"/>
      <c r="H5" s="80"/>
      <c r="I5" s="81"/>
      <c r="Q5" s="369">
        <f t="shared" ref="Q5:Q71" si="0">Q4+1</f>
        <v>3</v>
      </c>
      <c r="R5" s="377">
        <v>220</v>
      </c>
      <c r="S5" s="377">
        <v>330</v>
      </c>
      <c r="T5" s="377">
        <v>105</v>
      </c>
      <c r="U5" s="377">
        <v>107</v>
      </c>
      <c r="V5" s="378">
        <f t="shared" ref="V5:V68" si="1">V4+1</f>
        <v>3</v>
      </c>
      <c r="W5" s="375">
        <v>1.8</v>
      </c>
      <c r="X5" s="375">
        <v>2.2000000000000002</v>
      </c>
    </row>
    <row r="6" spans="1:24" x14ac:dyDescent="0.25">
      <c r="A6" s="76" t="s">
        <v>103</v>
      </c>
      <c r="B6" s="83" t="s">
        <v>19</v>
      </c>
      <c r="C6" s="83">
        <v>3</v>
      </c>
      <c r="D6" s="85">
        <v>3.3</v>
      </c>
      <c r="E6" s="84" t="s">
        <v>2</v>
      </c>
      <c r="F6" s="79" t="s">
        <v>278</v>
      </c>
      <c r="G6" s="80"/>
      <c r="H6" s="80"/>
      <c r="I6" s="81"/>
      <c r="Q6" s="369">
        <f t="shared" si="0"/>
        <v>4</v>
      </c>
      <c r="R6" s="377">
        <v>330</v>
      </c>
      <c r="S6" s="377">
        <v>470</v>
      </c>
      <c r="T6" s="377">
        <v>107</v>
      </c>
      <c r="U6" s="377">
        <v>110</v>
      </c>
      <c r="V6" s="378">
        <f t="shared" si="1"/>
        <v>4</v>
      </c>
      <c r="W6" s="375">
        <v>3.3</v>
      </c>
      <c r="X6" s="375">
        <v>3.9</v>
      </c>
    </row>
    <row r="7" spans="1:24" x14ac:dyDescent="0.25">
      <c r="A7" s="76" t="s">
        <v>29</v>
      </c>
      <c r="B7" s="86">
        <v>300</v>
      </c>
      <c r="C7" s="83" t="s">
        <v>19</v>
      </c>
      <c r="D7" s="83" t="s">
        <v>19</v>
      </c>
      <c r="E7" s="84" t="s">
        <v>17</v>
      </c>
      <c r="F7" s="79" t="s">
        <v>277</v>
      </c>
      <c r="G7" s="80"/>
      <c r="H7" s="80"/>
      <c r="I7" s="81"/>
      <c r="Q7" s="369">
        <f t="shared" si="0"/>
        <v>5</v>
      </c>
      <c r="R7" s="377">
        <v>470</v>
      </c>
      <c r="S7" s="377">
        <v>680</v>
      </c>
      <c r="T7" s="377">
        <v>110</v>
      </c>
      <c r="U7" s="377">
        <v>113</v>
      </c>
      <c r="V7" s="378">
        <f t="shared" si="1"/>
        <v>5</v>
      </c>
      <c r="W7" s="375">
        <v>4.7</v>
      </c>
      <c r="X7" s="375">
        <v>5.6</v>
      </c>
    </row>
    <row r="8" spans="1:24" x14ac:dyDescent="0.25">
      <c r="A8" s="76" t="s">
        <v>82</v>
      </c>
      <c r="B8" s="83" t="s">
        <v>19</v>
      </c>
      <c r="C8" s="83">
        <v>0.5</v>
      </c>
      <c r="D8" s="83" t="s">
        <v>19</v>
      </c>
      <c r="E8" s="83" t="s">
        <v>19</v>
      </c>
      <c r="F8" s="79" t="s">
        <v>83</v>
      </c>
      <c r="G8" s="80"/>
      <c r="H8" s="80"/>
      <c r="I8" s="81"/>
      <c r="Q8" s="369">
        <f t="shared" si="0"/>
        <v>6</v>
      </c>
      <c r="R8" s="377">
        <v>680</v>
      </c>
      <c r="S8" s="377">
        <v>1000</v>
      </c>
      <c r="T8" s="377">
        <v>113</v>
      </c>
      <c r="U8" s="377">
        <v>115</v>
      </c>
      <c r="V8" s="378">
        <f t="shared" si="1"/>
        <v>6</v>
      </c>
      <c r="W8" s="375">
        <v>6.8</v>
      </c>
      <c r="X8" s="375">
        <v>8.1999999999999993</v>
      </c>
    </row>
    <row r="9" spans="1:24" x14ac:dyDescent="0.25">
      <c r="A9" s="76" t="s">
        <v>276</v>
      </c>
      <c r="B9" s="83">
        <v>16</v>
      </c>
      <c r="C9" s="83">
        <v>18</v>
      </c>
      <c r="D9" s="83">
        <v>20</v>
      </c>
      <c r="E9" s="83" t="s">
        <v>2</v>
      </c>
      <c r="F9" s="79" t="s">
        <v>278</v>
      </c>
      <c r="G9" s="80"/>
      <c r="H9" s="80"/>
      <c r="I9" s="81"/>
      <c r="Q9" s="369"/>
      <c r="R9" s="527" t="s">
        <v>329</v>
      </c>
      <c r="S9" s="527"/>
      <c r="T9" s="377">
        <v>115</v>
      </c>
      <c r="U9" s="377">
        <v>118</v>
      </c>
      <c r="V9" s="378">
        <f t="shared" si="1"/>
        <v>7</v>
      </c>
      <c r="W9" s="375">
        <v>8.1999999999999993</v>
      </c>
      <c r="X9" s="375">
        <v>10</v>
      </c>
    </row>
    <row r="10" spans="1:24" x14ac:dyDescent="0.25">
      <c r="A10" s="76" t="s">
        <v>7</v>
      </c>
      <c r="B10" s="83" t="s">
        <v>19</v>
      </c>
      <c r="C10" s="78">
        <v>60</v>
      </c>
      <c r="D10" s="83" t="s">
        <v>19</v>
      </c>
      <c r="E10" s="84" t="s">
        <v>8</v>
      </c>
      <c r="F10" s="79" t="s">
        <v>277</v>
      </c>
      <c r="G10" s="80"/>
      <c r="H10" s="80"/>
      <c r="I10" s="81"/>
      <c r="Q10" s="369">
        <v>1</v>
      </c>
      <c r="R10" s="377">
        <v>100</v>
      </c>
      <c r="S10" s="377">
        <v>120</v>
      </c>
      <c r="T10" s="377">
        <v>118</v>
      </c>
      <c r="U10" s="377">
        <v>121</v>
      </c>
      <c r="V10" s="378">
        <f t="shared" si="1"/>
        <v>8</v>
      </c>
      <c r="W10" s="529" t="s">
        <v>178</v>
      </c>
      <c r="X10" s="529"/>
    </row>
    <row r="11" spans="1:24" x14ac:dyDescent="0.25">
      <c r="A11" s="76" t="s">
        <v>9</v>
      </c>
      <c r="B11" s="78">
        <v>100</v>
      </c>
      <c r="C11" s="78">
        <v>120</v>
      </c>
      <c r="D11" s="78">
        <v>146</v>
      </c>
      <c r="E11" s="84" t="s">
        <v>63</v>
      </c>
      <c r="F11" s="79" t="s">
        <v>278</v>
      </c>
      <c r="G11" s="80"/>
      <c r="H11" s="80"/>
      <c r="I11" s="81"/>
      <c r="J11" s="307"/>
      <c r="Q11" s="369">
        <f t="shared" si="0"/>
        <v>2</v>
      </c>
      <c r="R11" s="377">
        <v>120</v>
      </c>
      <c r="S11" s="377">
        <v>150</v>
      </c>
      <c r="T11" s="377">
        <v>121</v>
      </c>
      <c r="U11" s="377">
        <v>124</v>
      </c>
      <c r="V11" s="378">
        <f t="shared" si="1"/>
        <v>9</v>
      </c>
      <c r="W11" s="379">
        <v>1</v>
      </c>
      <c r="X11" s="379">
        <v>1.5</v>
      </c>
    </row>
    <row r="12" spans="1:24" x14ac:dyDescent="0.25">
      <c r="A12" s="76" t="s">
        <v>44</v>
      </c>
      <c r="B12" s="82">
        <f>POWER(10,$C$10/20)/(D11/1000000)/1000000</f>
        <v>6.8493150684931514</v>
      </c>
      <c r="C12" s="82">
        <f>POWER(10,$C$10/20)/(C11/1000000)/1000000</f>
        <v>8.3333333333333321</v>
      </c>
      <c r="D12" s="82">
        <f>POWER(10,$C$10/20)/(B11/1000000)/1000000</f>
        <v>10</v>
      </c>
      <c r="E12" s="84" t="s">
        <v>45</v>
      </c>
      <c r="F12" s="79" t="s">
        <v>36</v>
      </c>
      <c r="G12" s="80"/>
      <c r="H12" s="80"/>
      <c r="I12" s="81"/>
      <c r="Q12" s="369">
        <f t="shared" si="0"/>
        <v>3</v>
      </c>
      <c r="R12" s="377">
        <v>150</v>
      </c>
      <c r="S12" s="377">
        <v>180</v>
      </c>
      <c r="T12" s="377">
        <v>124</v>
      </c>
      <c r="U12" s="377">
        <v>127</v>
      </c>
      <c r="V12" s="378">
        <f t="shared" si="1"/>
        <v>10</v>
      </c>
      <c r="W12" s="379">
        <v>1.5</v>
      </c>
      <c r="X12" s="379">
        <v>2.2000000000000002</v>
      </c>
    </row>
    <row r="13" spans="1:24" x14ac:dyDescent="0.25">
      <c r="A13" s="76" t="s">
        <v>0</v>
      </c>
      <c r="B13" s="83" t="s">
        <v>19</v>
      </c>
      <c r="C13" s="218">
        <v>9</v>
      </c>
      <c r="D13" s="83" t="s">
        <v>19</v>
      </c>
      <c r="E13" s="84" t="s">
        <v>3</v>
      </c>
      <c r="F13" s="79" t="s">
        <v>277</v>
      </c>
      <c r="G13" s="80"/>
      <c r="H13" s="80"/>
      <c r="I13" s="81"/>
      <c r="Q13" s="369">
        <f t="shared" si="0"/>
        <v>4</v>
      </c>
      <c r="R13" s="377">
        <v>180</v>
      </c>
      <c r="S13" s="380">
        <v>220</v>
      </c>
      <c r="T13" s="377">
        <v>127</v>
      </c>
      <c r="U13" s="377">
        <v>130</v>
      </c>
      <c r="V13" s="378">
        <f t="shared" si="1"/>
        <v>11</v>
      </c>
      <c r="W13" s="379">
        <v>2.2000000000000002</v>
      </c>
      <c r="X13" s="379">
        <v>3.3</v>
      </c>
    </row>
    <row r="14" spans="1:24" x14ac:dyDescent="0.25">
      <c r="A14" s="76" t="s">
        <v>185</v>
      </c>
      <c r="B14" s="83" t="s">
        <v>19</v>
      </c>
      <c r="C14" s="218">
        <v>0.62</v>
      </c>
      <c r="D14" s="83" t="s">
        <v>19</v>
      </c>
      <c r="E14" s="84" t="s">
        <v>183</v>
      </c>
      <c r="F14" s="79" t="s">
        <v>37</v>
      </c>
      <c r="G14" s="80"/>
      <c r="H14" s="80"/>
      <c r="I14" s="81"/>
      <c r="Q14" s="369">
        <f t="shared" si="0"/>
        <v>5</v>
      </c>
      <c r="R14" s="380">
        <v>220</v>
      </c>
      <c r="S14" s="380">
        <v>270</v>
      </c>
      <c r="T14" s="377">
        <v>130</v>
      </c>
      <c r="U14" s="377">
        <v>133</v>
      </c>
      <c r="V14" s="378">
        <f t="shared" si="1"/>
        <v>12</v>
      </c>
      <c r="W14" s="379">
        <v>3.3</v>
      </c>
      <c r="X14" s="379">
        <v>4.7</v>
      </c>
    </row>
    <row r="15" spans="1:24" x14ac:dyDescent="0.25">
      <c r="A15" s="76" t="s">
        <v>184</v>
      </c>
      <c r="B15" s="83" t="s">
        <v>19</v>
      </c>
      <c r="C15" s="218">
        <v>3.1</v>
      </c>
      <c r="D15" s="83" t="s">
        <v>19</v>
      </c>
      <c r="E15" s="84" t="s">
        <v>183</v>
      </c>
      <c r="F15" s="79" t="s">
        <v>278</v>
      </c>
      <c r="G15" s="80"/>
      <c r="H15" s="80"/>
      <c r="I15" s="81"/>
      <c r="Q15" s="369">
        <f t="shared" si="0"/>
        <v>6</v>
      </c>
      <c r="R15" s="380">
        <v>270</v>
      </c>
      <c r="S15" s="380">
        <v>330</v>
      </c>
      <c r="T15" s="377">
        <v>133</v>
      </c>
      <c r="U15" s="377">
        <v>137</v>
      </c>
      <c r="V15" s="378">
        <f t="shared" si="1"/>
        <v>13</v>
      </c>
      <c r="W15" s="375">
        <v>4.7</v>
      </c>
      <c r="X15" s="375">
        <v>6.8</v>
      </c>
    </row>
    <row r="16" spans="1:24" x14ac:dyDescent="0.25">
      <c r="A16" s="76" t="s">
        <v>162</v>
      </c>
      <c r="B16" s="87">
        <v>0.2</v>
      </c>
      <c r="C16" s="83" t="s">
        <v>19</v>
      </c>
      <c r="D16" s="87">
        <v>2.5</v>
      </c>
      <c r="E16" s="84" t="s">
        <v>14</v>
      </c>
      <c r="F16" s="79" t="s">
        <v>278</v>
      </c>
      <c r="G16" s="80"/>
      <c r="H16" s="80"/>
      <c r="I16" s="81"/>
      <c r="Q16" s="369">
        <f t="shared" si="0"/>
        <v>7</v>
      </c>
      <c r="R16" s="380">
        <v>330</v>
      </c>
      <c r="S16" s="380">
        <v>390</v>
      </c>
      <c r="T16" s="377">
        <v>137</v>
      </c>
      <c r="U16" s="377">
        <v>140</v>
      </c>
      <c r="V16" s="378">
        <f t="shared" si="1"/>
        <v>14</v>
      </c>
      <c r="W16" s="375">
        <v>6.8</v>
      </c>
      <c r="X16" s="375">
        <v>10</v>
      </c>
    </row>
    <row r="17" spans="1:24" x14ac:dyDescent="0.25">
      <c r="A17" s="76" t="s">
        <v>182</v>
      </c>
      <c r="B17" s="83">
        <v>-10</v>
      </c>
      <c r="C17" s="83" t="s">
        <v>19</v>
      </c>
      <c r="D17" s="83">
        <v>10</v>
      </c>
      <c r="E17" s="84" t="s">
        <v>21</v>
      </c>
      <c r="F17" s="79" t="s">
        <v>278</v>
      </c>
      <c r="G17" s="80"/>
      <c r="H17" s="80"/>
      <c r="I17" s="81"/>
      <c r="Q17" s="369">
        <f t="shared" si="0"/>
        <v>8</v>
      </c>
      <c r="R17" s="380">
        <v>390</v>
      </c>
      <c r="S17" s="380">
        <v>470</v>
      </c>
      <c r="T17" s="377">
        <v>140</v>
      </c>
      <c r="U17" s="377">
        <v>143</v>
      </c>
      <c r="V17" s="378">
        <f t="shared" si="1"/>
        <v>15</v>
      </c>
    </row>
    <row r="18" spans="1:24" x14ac:dyDescent="0.25">
      <c r="A18" s="76" t="s">
        <v>208</v>
      </c>
      <c r="B18" s="83" t="s">
        <v>19</v>
      </c>
      <c r="C18" s="83">
        <v>5</v>
      </c>
      <c r="D18" s="83" t="s">
        <v>19</v>
      </c>
      <c r="E18" s="84" t="s">
        <v>21</v>
      </c>
      <c r="F18" s="79" t="s">
        <v>209</v>
      </c>
      <c r="G18" s="80"/>
      <c r="H18" s="80"/>
      <c r="I18" s="81"/>
      <c r="Q18" s="369">
        <f t="shared" si="0"/>
        <v>9</v>
      </c>
      <c r="R18" s="380">
        <v>470</v>
      </c>
      <c r="S18" s="380">
        <v>560</v>
      </c>
      <c r="T18" s="377">
        <v>143</v>
      </c>
      <c r="U18" s="377">
        <v>147</v>
      </c>
      <c r="V18" s="378">
        <f t="shared" si="1"/>
        <v>16</v>
      </c>
    </row>
    <row r="19" spans="1:24" ht="18" x14ac:dyDescent="0.35">
      <c r="A19" s="76" t="s">
        <v>58</v>
      </c>
      <c r="B19" s="83" t="s">
        <v>19</v>
      </c>
      <c r="C19" s="83">
        <v>80</v>
      </c>
      <c r="D19" s="78">
        <v>100</v>
      </c>
      <c r="E19" s="84" t="s">
        <v>4</v>
      </c>
      <c r="F19" s="79" t="s">
        <v>279</v>
      </c>
      <c r="G19" s="80"/>
      <c r="H19" s="80"/>
      <c r="I19" s="81"/>
      <c r="Q19" s="369">
        <f t="shared" si="0"/>
        <v>10</v>
      </c>
      <c r="R19" s="380">
        <v>560</v>
      </c>
      <c r="S19" s="377">
        <v>680</v>
      </c>
      <c r="T19" s="377">
        <v>147</v>
      </c>
      <c r="U19" s="377">
        <v>150</v>
      </c>
      <c r="V19" s="378">
        <f t="shared" si="1"/>
        <v>17</v>
      </c>
      <c r="X19" s="373"/>
    </row>
    <row r="20" spans="1:24" ht="18" x14ac:dyDescent="0.35">
      <c r="A20" s="76" t="s">
        <v>59</v>
      </c>
      <c r="B20" s="83" t="s">
        <v>19</v>
      </c>
      <c r="C20" s="83">
        <v>100</v>
      </c>
      <c r="D20" s="83" t="s">
        <v>19</v>
      </c>
      <c r="E20" s="84" t="s">
        <v>4</v>
      </c>
      <c r="F20" s="79" t="s">
        <v>281</v>
      </c>
      <c r="G20" s="80"/>
      <c r="H20" s="80"/>
      <c r="I20" s="81"/>
      <c r="Q20" s="369">
        <f t="shared" si="0"/>
        <v>11</v>
      </c>
      <c r="R20" s="377">
        <v>680</v>
      </c>
      <c r="S20" s="377">
        <v>820</v>
      </c>
      <c r="T20" s="377">
        <v>150</v>
      </c>
      <c r="U20" s="377">
        <v>154</v>
      </c>
      <c r="V20" s="378">
        <f t="shared" si="1"/>
        <v>18</v>
      </c>
      <c r="X20" s="373"/>
    </row>
    <row r="21" spans="1:24" x14ac:dyDescent="0.25">
      <c r="A21" s="76" t="s">
        <v>100</v>
      </c>
      <c r="B21" s="83" t="s">
        <v>19</v>
      </c>
      <c r="C21" s="138">
        <v>5</v>
      </c>
      <c r="D21" s="83" t="s">
        <v>19</v>
      </c>
      <c r="E21" s="84" t="s">
        <v>213</v>
      </c>
      <c r="F21" s="79" t="s">
        <v>277</v>
      </c>
      <c r="G21" s="80"/>
      <c r="H21" s="80"/>
      <c r="I21" s="81"/>
      <c r="Q21" s="369">
        <f t="shared" si="0"/>
        <v>12</v>
      </c>
      <c r="R21" s="376">
        <v>820</v>
      </c>
      <c r="S21" s="377">
        <v>1000</v>
      </c>
      <c r="T21" s="377">
        <v>154</v>
      </c>
      <c r="U21" s="377">
        <v>158</v>
      </c>
      <c r="V21" s="378">
        <f t="shared" si="1"/>
        <v>19</v>
      </c>
      <c r="X21" s="373"/>
    </row>
    <row r="22" spans="1:24" x14ac:dyDescent="0.25">
      <c r="A22" s="76" t="s">
        <v>55</v>
      </c>
      <c r="B22" s="83" t="s">
        <v>19</v>
      </c>
      <c r="C22" s="83">
        <v>150</v>
      </c>
      <c r="D22" s="83" t="s">
        <v>19</v>
      </c>
      <c r="E22" s="84" t="s">
        <v>54</v>
      </c>
      <c r="F22" s="79" t="s">
        <v>37</v>
      </c>
      <c r="G22" s="80"/>
      <c r="H22" s="80"/>
      <c r="I22" s="81"/>
      <c r="Q22" s="369"/>
      <c r="R22" s="528" t="s">
        <v>330</v>
      </c>
      <c r="S22" s="528"/>
      <c r="T22" s="377">
        <v>158</v>
      </c>
      <c r="U22" s="377">
        <v>162</v>
      </c>
      <c r="V22" s="378">
        <f t="shared" si="1"/>
        <v>20</v>
      </c>
      <c r="X22" s="373"/>
    </row>
    <row r="23" spans="1:24" x14ac:dyDescent="0.25">
      <c r="A23" s="76" t="s">
        <v>61</v>
      </c>
      <c r="B23" s="83" t="s">
        <v>19</v>
      </c>
      <c r="C23" s="83">
        <v>0.64</v>
      </c>
      <c r="D23" s="83" t="s">
        <v>19</v>
      </c>
      <c r="E23" s="84" t="s">
        <v>62</v>
      </c>
      <c r="F23" s="79" t="s">
        <v>37</v>
      </c>
      <c r="G23" s="80"/>
      <c r="H23" s="80"/>
      <c r="I23" s="81"/>
      <c r="Q23" s="369">
        <f t="shared" si="0"/>
        <v>1</v>
      </c>
      <c r="R23" s="377">
        <v>100</v>
      </c>
      <c r="S23" s="377">
        <v>110</v>
      </c>
      <c r="T23" s="377">
        <v>162</v>
      </c>
      <c r="U23" s="377">
        <v>165</v>
      </c>
      <c r="V23" s="378">
        <f t="shared" si="1"/>
        <v>21</v>
      </c>
      <c r="X23" s="373"/>
    </row>
    <row r="24" spans="1:24" ht="18" x14ac:dyDescent="0.35">
      <c r="A24" s="76" t="s">
        <v>90</v>
      </c>
      <c r="B24" s="83" t="s">
        <v>19</v>
      </c>
      <c r="C24" s="84">
        <v>5</v>
      </c>
      <c r="D24" s="83" t="s">
        <v>19</v>
      </c>
      <c r="E24" s="84" t="s">
        <v>2</v>
      </c>
      <c r="F24" s="79" t="s">
        <v>37</v>
      </c>
      <c r="G24" s="80"/>
      <c r="H24" s="80"/>
      <c r="I24" s="81"/>
      <c r="Q24" s="369">
        <f t="shared" si="0"/>
        <v>2</v>
      </c>
      <c r="R24" s="377">
        <v>110</v>
      </c>
      <c r="S24" s="377">
        <v>120</v>
      </c>
      <c r="T24" s="377">
        <v>165</v>
      </c>
      <c r="U24" s="377">
        <v>169</v>
      </c>
      <c r="V24" s="378">
        <f t="shared" si="1"/>
        <v>22</v>
      </c>
      <c r="X24" s="373"/>
    </row>
    <row r="25" spans="1:24" x14ac:dyDescent="0.25">
      <c r="A25" s="76" t="s">
        <v>18</v>
      </c>
      <c r="B25" s="83" t="s">
        <v>19</v>
      </c>
      <c r="C25" s="83" t="s">
        <v>19</v>
      </c>
      <c r="D25" s="84">
        <v>5</v>
      </c>
      <c r="E25" s="84" t="s">
        <v>6</v>
      </c>
      <c r="F25" s="79" t="s">
        <v>37</v>
      </c>
      <c r="G25" s="80"/>
      <c r="H25" s="80"/>
      <c r="I25" s="81"/>
      <c r="Q25" s="369">
        <f t="shared" si="0"/>
        <v>3</v>
      </c>
      <c r="R25" s="377">
        <v>120</v>
      </c>
      <c r="S25" s="377">
        <v>130</v>
      </c>
      <c r="T25" s="377">
        <v>169</v>
      </c>
      <c r="U25" s="377">
        <v>174</v>
      </c>
      <c r="V25" s="378">
        <f t="shared" si="1"/>
        <v>23</v>
      </c>
      <c r="X25" s="373"/>
    </row>
    <row r="26" spans="1:24" x14ac:dyDescent="0.25">
      <c r="A26" s="76" t="s">
        <v>158</v>
      </c>
      <c r="B26" s="83" t="s">
        <v>19</v>
      </c>
      <c r="C26" s="88">
        <v>1.5</v>
      </c>
      <c r="D26" s="83" t="s">
        <v>19</v>
      </c>
      <c r="E26" s="84" t="s">
        <v>5</v>
      </c>
      <c r="F26" s="79" t="s">
        <v>302</v>
      </c>
      <c r="G26" s="80"/>
      <c r="H26" s="80"/>
      <c r="I26" s="81"/>
      <c r="Q26" s="369">
        <f t="shared" si="0"/>
        <v>4</v>
      </c>
      <c r="R26" s="377">
        <v>130</v>
      </c>
      <c r="S26" s="377">
        <v>150</v>
      </c>
      <c r="T26" s="377">
        <v>174</v>
      </c>
      <c r="U26" s="377">
        <v>178</v>
      </c>
      <c r="V26" s="378">
        <f t="shared" si="1"/>
        <v>24</v>
      </c>
      <c r="X26" s="373"/>
    </row>
    <row r="27" spans="1:24" x14ac:dyDescent="0.25">
      <c r="A27" s="76" t="s">
        <v>159</v>
      </c>
      <c r="B27" s="83" t="s">
        <v>19</v>
      </c>
      <c r="C27" s="88">
        <v>1.2</v>
      </c>
      <c r="D27" s="83" t="s">
        <v>19</v>
      </c>
      <c r="E27" s="84" t="s">
        <v>5</v>
      </c>
      <c r="F27" s="79" t="s">
        <v>302</v>
      </c>
      <c r="G27" s="80"/>
      <c r="H27" s="80"/>
      <c r="I27" s="81"/>
      <c r="Q27" s="369">
        <f t="shared" si="0"/>
        <v>5</v>
      </c>
      <c r="R27" s="377">
        <v>150</v>
      </c>
      <c r="S27" s="377">
        <v>160</v>
      </c>
      <c r="T27" s="377">
        <v>178</v>
      </c>
      <c r="U27" s="377">
        <v>182</v>
      </c>
      <c r="V27" s="378">
        <f t="shared" si="1"/>
        <v>25</v>
      </c>
      <c r="X27" s="373"/>
    </row>
    <row r="28" spans="1:24" ht="17.45" customHeight="1" x14ac:dyDescent="0.35">
      <c r="A28" s="194" t="s">
        <v>256</v>
      </c>
      <c r="B28" s="88">
        <v>3.5</v>
      </c>
      <c r="C28" s="83">
        <v>5.5</v>
      </c>
      <c r="D28" s="83">
        <v>6.5</v>
      </c>
      <c r="E28" s="84" t="s">
        <v>10</v>
      </c>
      <c r="F28" s="79" t="s">
        <v>280</v>
      </c>
      <c r="G28" s="80"/>
      <c r="H28" s="80"/>
      <c r="I28" s="81"/>
      <c r="Q28" s="369">
        <f t="shared" si="0"/>
        <v>6</v>
      </c>
      <c r="R28" s="377">
        <v>160</v>
      </c>
      <c r="S28" s="377">
        <v>180</v>
      </c>
      <c r="T28" s="377">
        <v>182</v>
      </c>
      <c r="U28" s="377">
        <v>187</v>
      </c>
      <c r="V28" s="378">
        <f t="shared" si="1"/>
        <v>26</v>
      </c>
      <c r="X28" s="373"/>
    </row>
    <row r="29" spans="1:24" x14ac:dyDescent="0.25">
      <c r="A29" s="89" t="s">
        <v>75</v>
      </c>
      <c r="B29" s="83" t="s">
        <v>19</v>
      </c>
      <c r="C29" s="90">
        <v>-1.06E-2</v>
      </c>
      <c r="D29" s="83" t="s">
        <v>19</v>
      </c>
      <c r="E29" s="84" t="s">
        <v>77</v>
      </c>
      <c r="F29" s="79" t="s">
        <v>91</v>
      </c>
      <c r="G29" s="80"/>
      <c r="H29" s="80"/>
      <c r="I29" s="81"/>
      <c r="Q29" s="369">
        <f t="shared" si="0"/>
        <v>7</v>
      </c>
      <c r="R29" s="377">
        <v>180</v>
      </c>
      <c r="S29" s="377">
        <v>200</v>
      </c>
      <c r="T29" s="377">
        <v>187</v>
      </c>
      <c r="U29" s="377">
        <v>191</v>
      </c>
      <c r="V29" s="378">
        <f t="shared" si="1"/>
        <v>27</v>
      </c>
      <c r="X29" s="373"/>
    </row>
    <row r="30" spans="1:24" s="298" customFormat="1" ht="18" customHeight="1" x14ac:dyDescent="0.25">
      <c r="A30" s="89" t="s">
        <v>76</v>
      </c>
      <c r="B30" s="83" t="s">
        <v>19</v>
      </c>
      <c r="C30" s="90">
        <v>4.9528999999999996</v>
      </c>
      <c r="D30" s="83" t="s">
        <v>19</v>
      </c>
      <c r="E30" s="84" t="s">
        <v>10</v>
      </c>
      <c r="F30" s="79" t="s">
        <v>92</v>
      </c>
      <c r="G30" s="80"/>
      <c r="H30" s="80"/>
      <c r="I30" s="81"/>
      <c r="J30" s="304"/>
      <c r="K30" s="304"/>
      <c r="L30" s="304"/>
      <c r="M30" s="304"/>
      <c r="N30" s="304"/>
      <c r="O30" s="304"/>
      <c r="P30" s="304"/>
      <c r="Q30" s="369">
        <f t="shared" si="0"/>
        <v>8</v>
      </c>
      <c r="R30" s="377">
        <v>200</v>
      </c>
      <c r="S30" s="377">
        <v>220</v>
      </c>
      <c r="T30" s="380">
        <v>191</v>
      </c>
      <c r="U30" s="377">
        <v>196</v>
      </c>
      <c r="V30" s="378">
        <f t="shared" si="1"/>
        <v>28</v>
      </c>
      <c r="W30" s="381"/>
      <c r="X30" s="381"/>
    </row>
    <row r="31" spans="1:24" s="298" customFormat="1" ht="18" customHeight="1" x14ac:dyDescent="0.25">
      <c r="A31" s="161" t="s">
        <v>250</v>
      </c>
      <c r="B31" s="83" t="s">
        <v>19</v>
      </c>
      <c r="C31" s="162">
        <v>170</v>
      </c>
      <c r="D31" s="83" t="s">
        <v>19</v>
      </c>
      <c r="E31" s="163" t="s">
        <v>251</v>
      </c>
      <c r="F31" s="164" t="s">
        <v>252</v>
      </c>
      <c r="G31" s="165"/>
      <c r="H31" s="165"/>
      <c r="I31" s="166"/>
      <c r="J31" s="304"/>
      <c r="K31" s="304"/>
      <c r="L31" s="304"/>
      <c r="M31" s="304"/>
      <c r="N31" s="304"/>
      <c r="O31" s="304"/>
      <c r="P31" s="304"/>
      <c r="Q31" s="369">
        <f t="shared" si="0"/>
        <v>9</v>
      </c>
      <c r="R31" s="377">
        <v>220</v>
      </c>
      <c r="S31" s="377">
        <v>240</v>
      </c>
      <c r="T31" s="377">
        <v>196</v>
      </c>
      <c r="U31" s="377">
        <v>200</v>
      </c>
      <c r="V31" s="378">
        <f t="shared" si="1"/>
        <v>29</v>
      </c>
      <c r="W31" s="381"/>
      <c r="X31" s="381"/>
    </row>
    <row r="32" spans="1:24" ht="15.75" thickBot="1" x14ac:dyDescent="0.3">
      <c r="A32" s="91" t="s">
        <v>121</v>
      </c>
      <c r="B32" s="92" t="s">
        <v>19</v>
      </c>
      <c r="C32" s="93">
        <v>0.39300000000000002</v>
      </c>
      <c r="D32" s="92" t="s">
        <v>19</v>
      </c>
      <c r="E32" s="94" t="s">
        <v>122</v>
      </c>
      <c r="F32" s="95" t="s">
        <v>126</v>
      </c>
      <c r="G32" s="96"/>
      <c r="H32" s="96"/>
      <c r="I32" s="97"/>
      <c r="Q32" s="369">
        <f t="shared" si="0"/>
        <v>10</v>
      </c>
      <c r="R32" s="377">
        <v>240</v>
      </c>
      <c r="S32" s="377">
        <v>270</v>
      </c>
      <c r="T32" s="377">
        <v>200</v>
      </c>
      <c r="U32" s="377">
        <v>205</v>
      </c>
      <c r="V32" s="378">
        <f t="shared" si="1"/>
        <v>30</v>
      </c>
      <c r="W32" s="381"/>
      <c r="X32" s="381"/>
    </row>
    <row r="33" spans="1:30" x14ac:dyDescent="0.25">
      <c r="A33" s="383"/>
      <c r="B33" s="383"/>
      <c r="C33" s="383"/>
      <c r="D33" s="383"/>
      <c r="E33" s="383"/>
      <c r="F33" s="368"/>
      <c r="G33" s="106"/>
      <c r="H33" s="106"/>
      <c r="I33" s="106"/>
      <c r="J33" s="106"/>
      <c r="K33" s="106"/>
      <c r="L33" s="106"/>
      <c r="Q33" s="369">
        <f t="shared" si="0"/>
        <v>11</v>
      </c>
      <c r="R33" s="377">
        <v>270</v>
      </c>
      <c r="S33" s="377">
        <v>300</v>
      </c>
      <c r="T33" s="377">
        <v>205</v>
      </c>
      <c r="U33" s="377">
        <v>210</v>
      </c>
      <c r="V33" s="378">
        <f t="shared" si="1"/>
        <v>31</v>
      </c>
      <c r="W33" s="381"/>
      <c r="X33" s="381"/>
    </row>
    <row r="34" spans="1:30" x14ac:dyDescent="0.25">
      <c r="A34" s="383" t="s">
        <v>200</v>
      </c>
      <c r="B34" s="384">
        <f>POWER(10,-9)</f>
        <v>1.0000000000000001E-9</v>
      </c>
      <c r="C34" s="384"/>
      <c r="D34" s="383"/>
      <c r="E34" s="383" t="s">
        <v>238</v>
      </c>
      <c r="F34" s="368"/>
      <c r="G34" s="106"/>
      <c r="H34" s="106"/>
      <c r="I34" s="106"/>
      <c r="J34" s="106"/>
      <c r="K34" s="106"/>
      <c r="L34" s="106"/>
      <c r="Q34" s="369">
        <f t="shared" si="0"/>
        <v>12</v>
      </c>
      <c r="R34" s="377">
        <v>300</v>
      </c>
      <c r="S34" s="377">
        <v>330</v>
      </c>
      <c r="T34" s="377">
        <v>210</v>
      </c>
      <c r="U34" s="377">
        <v>215</v>
      </c>
      <c r="V34" s="378">
        <f t="shared" si="1"/>
        <v>32</v>
      </c>
      <c r="W34" s="381"/>
      <c r="X34" s="381"/>
    </row>
    <row r="35" spans="1:30" x14ac:dyDescent="0.25">
      <c r="A35" s="383" t="s">
        <v>201</v>
      </c>
      <c r="B35" s="384">
        <f>POWER(10,-6)</f>
        <v>9.9999999999999995E-7</v>
      </c>
      <c r="C35" s="383"/>
      <c r="D35" s="383"/>
      <c r="E35" s="383" t="s">
        <v>239</v>
      </c>
      <c r="F35" s="368"/>
      <c r="G35" s="106"/>
      <c r="H35" s="106"/>
      <c r="I35" s="106"/>
      <c r="J35" s="106"/>
      <c r="K35" s="106"/>
      <c r="L35" s="106"/>
      <c r="Q35" s="369">
        <f t="shared" si="0"/>
        <v>13</v>
      </c>
      <c r="R35" s="377">
        <v>330</v>
      </c>
      <c r="S35" s="377">
        <v>360</v>
      </c>
      <c r="T35" s="377">
        <v>215</v>
      </c>
      <c r="U35" s="377">
        <v>221</v>
      </c>
      <c r="V35" s="378">
        <f t="shared" si="1"/>
        <v>33</v>
      </c>
      <c r="W35" s="381"/>
      <c r="X35" s="381"/>
    </row>
    <row r="36" spans="1:30" x14ac:dyDescent="0.25">
      <c r="A36" s="383" t="s">
        <v>202</v>
      </c>
      <c r="B36" s="384">
        <f>POWER(10,-3)</f>
        <v>1E-3</v>
      </c>
      <c r="C36" s="383"/>
      <c r="D36" s="383"/>
      <c r="E36" s="383"/>
      <c r="F36" s="368"/>
      <c r="G36" s="106"/>
      <c r="H36" s="106"/>
      <c r="I36" s="106"/>
      <c r="J36" s="106"/>
      <c r="K36" s="106"/>
      <c r="L36" s="106"/>
      <c r="Q36" s="369">
        <f t="shared" si="0"/>
        <v>14</v>
      </c>
      <c r="R36" s="377">
        <v>360</v>
      </c>
      <c r="S36" s="377">
        <v>390</v>
      </c>
      <c r="T36" s="377">
        <v>221</v>
      </c>
      <c r="U36" s="377">
        <v>226</v>
      </c>
      <c r="V36" s="378">
        <f t="shared" si="1"/>
        <v>34</v>
      </c>
      <c r="W36" s="381"/>
      <c r="X36" s="381"/>
    </row>
    <row r="37" spans="1:30" x14ac:dyDescent="0.25">
      <c r="A37" s="383" t="s">
        <v>203</v>
      </c>
      <c r="B37" s="384">
        <f>POWER(10,3)</f>
        <v>1000</v>
      </c>
      <c r="C37" s="383"/>
      <c r="D37" s="383"/>
      <c r="E37" s="385"/>
      <c r="F37" s="368"/>
      <c r="G37" s="106"/>
      <c r="H37" s="106"/>
      <c r="I37" s="106"/>
      <c r="J37" s="106"/>
      <c r="K37" s="106"/>
      <c r="L37" s="106"/>
      <c r="Q37" s="369">
        <f t="shared" si="0"/>
        <v>15</v>
      </c>
      <c r="R37" s="377">
        <v>390</v>
      </c>
      <c r="S37" s="377">
        <v>430</v>
      </c>
      <c r="T37" s="377">
        <v>226</v>
      </c>
      <c r="U37" s="377">
        <v>232</v>
      </c>
      <c r="V37" s="378">
        <f t="shared" si="1"/>
        <v>35</v>
      </c>
      <c r="W37" s="381"/>
      <c r="X37" s="381"/>
    </row>
    <row r="38" spans="1:30" x14ac:dyDescent="0.25">
      <c r="A38" s="383" t="s">
        <v>204</v>
      </c>
      <c r="B38" s="384">
        <f>POWER(10,6)</f>
        <v>1000000</v>
      </c>
      <c r="C38" s="383"/>
      <c r="D38" s="383"/>
      <c r="E38" s="386"/>
      <c r="F38" s="368"/>
      <c r="G38" s="106"/>
      <c r="H38" s="106"/>
      <c r="I38" s="106"/>
      <c r="J38" s="106"/>
      <c r="K38" s="106"/>
      <c r="L38" s="106"/>
      <c r="Q38" s="369">
        <f t="shared" si="0"/>
        <v>16</v>
      </c>
      <c r="R38" s="377">
        <v>430</v>
      </c>
      <c r="S38" s="377">
        <v>470</v>
      </c>
      <c r="T38" s="377">
        <v>232</v>
      </c>
      <c r="U38" s="377">
        <v>237</v>
      </c>
      <c r="V38" s="378">
        <f t="shared" si="1"/>
        <v>36</v>
      </c>
      <c r="W38" s="381"/>
      <c r="X38" s="381"/>
    </row>
    <row r="39" spans="1:30" x14ac:dyDescent="0.25">
      <c r="A39" s="383" t="s">
        <v>205</v>
      </c>
      <c r="B39" s="384">
        <f>POWER(10,9)</f>
        <v>1000000000</v>
      </c>
      <c r="C39" s="383"/>
      <c r="D39" s="383"/>
      <c r="E39" s="387"/>
      <c r="F39" s="368"/>
      <c r="H39" s="106"/>
      <c r="I39" s="106"/>
      <c r="J39" s="106"/>
      <c r="K39" s="106"/>
      <c r="L39" s="106"/>
      <c r="Q39" s="369">
        <f t="shared" si="0"/>
        <v>17</v>
      </c>
      <c r="R39" s="377">
        <v>470</v>
      </c>
      <c r="S39" s="377">
        <v>510</v>
      </c>
      <c r="T39" s="377">
        <v>237</v>
      </c>
      <c r="U39" s="377">
        <v>243</v>
      </c>
      <c r="V39" s="378">
        <f t="shared" si="1"/>
        <v>37</v>
      </c>
      <c r="W39" s="381"/>
      <c r="X39" s="381"/>
    </row>
    <row r="40" spans="1:30" x14ac:dyDescent="0.25">
      <c r="A40" s="383"/>
      <c r="B40" s="383"/>
      <c r="C40" s="383"/>
      <c r="D40" s="383"/>
      <c r="E40" s="387"/>
      <c r="F40" s="368"/>
      <c r="H40" s="106"/>
      <c r="I40" s="106"/>
      <c r="J40" s="308"/>
      <c r="K40" s="308"/>
      <c r="L40" s="308"/>
      <c r="M40" s="298"/>
      <c r="N40" s="298"/>
      <c r="O40" s="298"/>
      <c r="P40" s="298"/>
      <c r="Q40" s="369">
        <f t="shared" si="0"/>
        <v>18</v>
      </c>
      <c r="R40" s="377">
        <v>510</v>
      </c>
      <c r="S40" s="377">
        <v>560</v>
      </c>
      <c r="T40" s="377">
        <v>243</v>
      </c>
      <c r="U40" s="377">
        <v>249</v>
      </c>
      <c r="V40" s="378">
        <f t="shared" si="1"/>
        <v>38</v>
      </c>
      <c r="W40" s="381"/>
      <c r="X40" s="381"/>
    </row>
    <row r="41" spans="1:30" s="310" customFormat="1" ht="12.75" x14ac:dyDescent="0.2">
      <c r="A41" s="329"/>
      <c r="B41" s="329"/>
      <c r="C41" s="329"/>
      <c r="D41" s="329"/>
      <c r="E41" s="387"/>
      <c r="F41" s="329"/>
      <c r="H41" s="309"/>
      <c r="I41" s="309"/>
      <c r="J41" s="309"/>
      <c r="K41" s="309"/>
      <c r="L41" s="309"/>
      <c r="M41" s="311"/>
      <c r="N41" s="311"/>
      <c r="O41" s="311"/>
      <c r="P41" s="311"/>
      <c r="Q41" s="369">
        <f t="shared" si="0"/>
        <v>19</v>
      </c>
      <c r="R41" s="377">
        <v>560</v>
      </c>
      <c r="S41" s="377">
        <v>620</v>
      </c>
      <c r="T41" s="377">
        <v>249</v>
      </c>
      <c r="U41" s="377">
        <v>255</v>
      </c>
      <c r="V41" s="378">
        <f t="shared" si="1"/>
        <v>39</v>
      </c>
      <c r="W41" s="381"/>
      <c r="X41" s="381"/>
      <c r="Y41" s="311"/>
      <c r="Z41" s="311"/>
      <c r="AA41" s="311"/>
      <c r="AB41" s="311"/>
      <c r="AC41" s="311"/>
      <c r="AD41" s="311"/>
    </row>
    <row r="42" spans="1:30" s="310" customFormat="1" ht="12.75" x14ac:dyDescent="0.2">
      <c r="A42" s="329"/>
      <c r="B42" s="329"/>
      <c r="C42" s="329"/>
      <c r="D42" s="329"/>
      <c r="E42" s="329"/>
      <c r="F42" s="329"/>
      <c r="H42" s="309"/>
      <c r="I42" s="309"/>
      <c r="J42" s="309"/>
      <c r="K42" s="309"/>
      <c r="L42" s="309"/>
      <c r="M42" s="311"/>
      <c r="N42" s="311"/>
      <c r="O42" s="311"/>
      <c r="P42" s="311"/>
      <c r="Q42" s="369">
        <f t="shared" si="0"/>
        <v>20</v>
      </c>
      <c r="R42" s="377">
        <v>620</v>
      </c>
      <c r="S42" s="377">
        <v>680</v>
      </c>
      <c r="T42" s="377">
        <v>255</v>
      </c>
      <c r="U42" s="377">
        <v>261</v>
      </c>
      <c r="V42" s="378">
        <f t="shared" si="1"/>
        <v>40</v>
      </c>
      <c r="W42" s="373"/>
      <c r="X42" s="373"/>
      <c r="Y42" s="311"/>
      <c r="Z42" s="311"/>
      <c r="AA42" s="311"/>
      <c r="AB42" s="311"/>
      <c r="AC42" s="311"/>
      <c r="AD42" s="311"/>
    </row>
    <row r="43" spans="1:30" s="310" customFormat="1" ht="12.75" x14ac:dyDescent="0.2">
      <c r="A43" s="309"/>
      <c r="B43" s="309"/>
      <c r="C43" s="309"/>
      <c r="D43" s="309"/>
      <c r="E43" s="309"/>
      <c r="F43" s="309"/>
      <c r="H43" s="309"/>
      <c r="I43" s="309"/>
      <c r="J43" s="309"/>
      <c r="K43" s="309"/>
      <c r="L43" s="309"/>
      <c r="M43" s="311"/>
      <c r="N43" s="311"/>
      <c r="O43" s="311"/>
      <c r="P43" s="311"/>
      <c r="Q43" s="369">
        <f t="shared" si="0"/>
        <v>21</v>
      </c>
      <c r="R43" s="377">
        <v>680</v>
      </c>
      <c r="S43" s="377">
        <v>750</v>
      </c>
      <c r="T43" s="377">
        <v>261</v>
      </c>
      <c r="U43" s="377">
        <v>267</v>
      </c>
      <c r="V43" s="378">
        <f t="shared" si="1"/>
        <v>41</v>
      </c>
      <c r="W43" s="373"/>
      <c r="X43" s="373"/>
      <c r="Y43" s="311"/>
      <c r="Z43" s="311"/>
      <c r="AA43" s="311"/>
      <c r="AB43" s="311"/>
      <c r="AC43" s="311"/>
      <c r="AD43" s="311"/>
    </row>
    <row r="44" spans="1:30" s="310" customFormat="1" ht="12.75" x14ac:dyDescent="0.2">
      <c r="A44" s="309"/>
      <c r="B44" s="309"/>
      <c r="C44" s="309"/>
      <c r="D44" s="309"/>
      <c r="E44" s="309"/>
      <c r="F44" s="309"/>
      <c r="G44" s="309"/>
      <c r="H44" s="309"/>
      <c r="I44" s="309"/>
      <c r="J44" s="309"/>
      <c r="K44" s="309"/>
      <c r="L44" s="309"/>
      <c r="M44" s="311"/>
      <c r="N44" s="311"/>
      <c r="O44" s="311"/>
      <c r="P44" s="311"/>
      <c r="Q44" s="369">
        <f t="shared" si="0"/>
        <v>22</v>
      </c>
      <c r="R44" s="377">
        <v>750</v>
      </c>
      <c r="S44" s="377">
        <v>820</v>
      </c>
      <c r="T44" s="377">
        <v>267</v>
      </c>
      <c r="U44" s="377">
        <v>274</v>
      </c>
      <c r="V44" s="378">
        <f t="shared" si="1"/>
        <v>42</v>
      </c>
      <c r="W44" s="373"/>
      <c r="X44" s="373"/>
      <c r="Y44" s="311"/>
      <c r="Z44" s="311"/>
      <c r="AA44" s="311"/>
      <c r="AB44" s="311"/>
      <c r="AC44" s="311"/>
      <c r="AD44" s="311"/>
    </row>
    <row r="45" spans="1:30" s="310" customFormat="1" ht="12.75" x14ac:dyDescent="0.2">
      <c r="A45" s="309"/>
      <c r="B45" s="309"/>
      <c r="C45" s="309"/>
      <c r="D45" s="309"/>
      <c r="E45" s="309"/>
      <c r="F45" s="309"/>
      <c r="G45" s="309"/>
      <c r="H45" s="309"/>
      <c r="I45" s="309"/>
      <c r="J45" s="309"/>
      <c r="K45" s="309"/>
      <c r="L45" s="309"/>
      <c r="M45" s="311"/>
      <c r="N45" s="311"/>
      <c r="O45" s="311"/>
      <c r="P45" s="311"/>
      <c r="Q45" s="369">
        <f t="shared" si="0"/>
        <v>23</v>
      </c>
      <c r="R45" s="377">
        <v>820</v>
      </c>
      <c r="S45" s="377">
        <v>910</v>
      </c>
      <c r="T45" s="377">
        <v>274</v>
      </c>
      <c r="U45" s="377">
        <v>280</v>
      </c>
      <c r="V45" s="378">
        <f t="shared" si="1"/>
        <v>43</v>
      </c>
      <c r="W45" s="373"/>
      <c r="X45" s="373"/>
      <c r="Y45" s="311"/>
      <c r="Z45" s="311"/>
      <c r="AA45" s="311"/>
      <c r="AB45" s="311"/>
      <c r="AC45" s="311"/>
      <c r="AD45" s="311"/>
    </row>
    <row r="46" spans="1:30" s="310" customFormat="1" ht="12.75" x14ac:dyDescent="0.2">
      <c r="A46" s="309"/>
      <c r="B46" s="309"/>
      <c r="C46" s="309"/>
      <c r="D46" s="309"/>
      <c r="E46" s="309"/>
      <c r="F46" s="309"/>
      <c r="G46" s="309"/>
      <c r="H46" s="309"/>
      <c r="I46" s="309"/>
      <c r="J46" s="309"/>
      <c r="K46" s="309"/>
      <c r="L46" s="309"/>
      <c r="M46" s="311"/>
      <c r="N46" s="311"/>
      <c r="O46" s="311"/>
      <c r="P46" s="311"/>
      <c r="Q46" s="369">
        <f t="shared" si="0"/>
        <v>24</v>
      </c>
      <c r="R46" s="377">
        <v>910</v>
      </c>
      <c r="S46" s="377">
        <v>1000</v>
      </c>
      <c r="T46" s="377">
        <v>280</v>
      </c>
      <c r="U46" s="377">
        <v>287</v>
      </c>
      <c r="V46" s="378">
        <f t="shared" si="1"/>
        <v>44</v>
      </c>
      <c r="W46" s="373"/>
      <c r="X46" s="373"/>
      <c r="Y46" s="311"/>
      <c r="Z46" s="311"/>
      <c r="AA46" s="311"/>
      <c r="AB46" s="311"/>
      <c r="AC46" s="311"/>
      <c r="AD46" s="311"/>
    </row>
    <row r="47" spans="1:30" s="310" customFormat="1" ht="12.75" x14ac:dyDescent="0.2">
      <c r="A47" s="309"/>
      <c r="B47" s="309"/>
      <c r="C47" s="309"/>
      <c r="D47" s="309"/>
      <c r="E47" s="309"/>
      <c r="F47" s="309"/>
      <c r="G47" s="309"/>
      <c r="H47" s="309"/>
      <c r="I47" s="309"/>
      <c r="J47" s="309"/>
      <c r="K47" s="309"/>
      <c r="L47" s="309"/>
      <c r="M47" s="311"/>
      <c r="N47" s="311"/>
      <c r="O47" s="311"/>
      <c r="P47" s="311"/>
      <c r="Q47" s="369"/>
      <c r="R47" s="527" t="s">
        <v>179</v>
      </c>
      <c r="S47" s="527"/>
      <c r="T47" s="377">
        <v>287</v>
      </c>
      <c r="U47" s="377">
        <v>294</v>
      </c>
      <c r="V47" s="378">
        <f t="shared" si="1"/>
        <v>45</v>
      </c>
      <c r="W47" s="373"/>
      <c r="X47" s="373"/>
      <c r="Y47" s="311"/>
      <c r="Z47" s="311"/>
      <c r="AA47" s="311"/>
      <c r="AB47" s="311"/>
      <c r="AC47" s="311"/>
      <c r="AD47" s="311"/>
    </row>
    <row r="48" spans="1:30" s="310" customFormat="1" ht="12.75" x14ac:dyDescent="0.2">
      <c r="A48" s="309"/>
      <c r="B48" s="309"/>
      <c r="C48" s="309"/>
      <c r="D48" s="309"/>
      <c r="E48" s="309"/>
      <c r="F48" s="309"/>
      <c r="G48" s="309"/>
      <c r="H48" s="309"/>
      <c r="I48" s="309"/>
      <c r="J48" s="309"/>
      <c r="K48" s="309"/>
      <c r="L48" s="309"/>
      <c r="M48" s="311"/>
      <c r="N48" s="311"/>
      <c r="O48" s="311"/>
      <c r="P48" s="311"/>
      <c r="Q48" s="369">
        <f t="shared" si="0"/>
        <v>1</v>
      </c>
      <c r="R48" s="377">
        <v>100</v>
      </c>
      <c r="S48" s="377">
        <v>105</v>
      </c>
      <c r="T48" s="377">
        <v>294</v>
      </c>
      <c r="U48" s="377">
        <v>301</v>
      </c>
      <c r="V48" s="378">
        <f t="shared" si="1"/>
        <v>46</v>
      </c>
      <c r="W48" s="373"/>
      <c r="X48" s="373"/>
      <c r="Y48" s="311"/>
      <c r="Z48" s="311"/>
      <c r="AA48" s="311"/>
      <c r="AB48" s="311"/>
      <c r="AC48" s="311"/>
      <c r="AD48" s="311"/>
    </row>
    <row r="49" spans="1:30" s="310" customFormat="1" ht="12.75" x14ac:dyDescent="0.2">
      <c r="A49" s="309"/>
      <c r="B49" s="309"/>
      <c r="C49" s="309"/>
      <c r="D49" s="309"/>
      <c r="E49" s="309"/>
      <c r="F49" s="309"/>
      <c r="G49" s="309"/>
      <c r="H49" s="309"/>
      <c r="I49" s="309"/>
      <c r="J49" s="309"/>
      <c r="K49" s="309"/>
      <c r="L49" s="309"/>
      <c r="M49" s="311"/>
      <c r="N49" s="311"/>
      <c r="O49" s="311"/>
      <c r="P49" s="311"/>
      <c r="Q49" s="369">
        <f t="shared" si="0"/>
        <v>2</v>
      </c>
      <c r="R49" s="377">
        <v>105</v>
      </c>
      <c r="S49" s="377">
        <v>110</v>
      </c>
      <c r="T49" s="377">
        <v>301</v>
      </c>
      <c r="U49" s="377">
        <v>309</v>
      </c>
      <c r="V49" s="378">
        <f t="shared" si="1"/>
        <v>47</v>
      </c>
      <c r="W49" s="373"/>
      <c r="X49" s="373"/>
      <c r="Y49" s="311"/>
      <c r="Z49" s="311"/>
      <c r="AA49" s="311"/>
      <c r="AB49" s="311"/>
      <c r="AC49" s="311"/>
      <c r="AD49" s="311"/>
    </row>
    <row r="50" spans="1:30" s="310" customFormat="1" ht="12.75" x14ac:dyDescent="0.2">
      <c r="A50" s="309"/>
      <c r="B50" s="309"/>
      <c r="C50" s="309"/>
      <c r="D50" s="309"/>
      <c r="E50" s="309"/>
      <c r="F50" s="309"/>
      <c r="G50" s="309"/>
      <c r="H50" s="309"/>
      <c r="I50" s="309"/>
      <c r="J50" s="309"/>
      <c r="K50" s="309"/>
      <c r="L50" s="309"/>
      <c r="M50" s="311"/>
      <c r="N50" s="311"/>
      <c r="O50" s="311"/>
      <c r="P50" s="311"/>
      <c r="Q50" s="369">
        <f t="shared" si="0"/>
        <v>3</v>
      </c>
      <c r="R50" s="377">
        <v>110</v>
      </c>
      <c r="S50" s="377">
        <v>115</v>
      </c>
      <c r="T50" s="377">
        <v>309</v>
      </c>
      <c r="U50" s="377">
        <v>316</v>
      </c>
      <c r="V50" s="378">
        <f t="shared" si="1"/>
        <v>48</v>
      </c>
      <c r="W50" s="373"/>
      <c r="X50" s="373"/>
      <c r="Y50" s="311"/>
      <c r="Z50" s="311"/>
      <c r="AA50" s="311"/>
      <c r="AB50" s="311"/>
      <c r="AC50" s="311"/>
      <c r="AD50" s="311"/>
    </row>
    <row r="51" spans="1:30" s="310" customFormat="1" ht="12.75" x14ac:dyDescent="0.2">
      <c r="A51" s="309"/>
      <c r="B51" s="309"/>
      <c r="C51" s="309"/>
      <c r="D51" s="309"/>
      <c r="E51" s="309"/>
      <c r="F51" s="309"/>
      <c r="G51" s="309"/>
      <c r="H51" s="309"/>
      <c r="I51" s="309"/>
      <c r="J51" s="309"/>
      <c r="K51" s="309"/>
      <c r="L51" s="309"/>
      <c r="M51" s="311"/>
      <c r="N51" s="311"/>
      <c r="O51" s="311"/>
      <c r="P51" s="311"/>
      <c r="Q51" s="369">
        <f t="shared" si="0"/>
        <v>4</v>
      </c>
      <c r="R51" s="377">
        <v>115</v>
      </c>
      <c r="S51" s="377">
        <v>121</v>
      </c>
      <c r="T51" s="377">
        <v>316</v>
      </c>
      <c r="U51" s="377">
        <v>324</v>
      </c>
      <c r="V51" s="378">
        <f t="shared" si="1"/>
        <v>49</v>
      </c>
      <c r="W51" s="373"/>
      <c r="X51" s="373"/>
      <c r="Y51" s="311"/>
      <c r="Z51" s="311"/>
      <c r="AA51" s="311"/>
      <c r="AB51" s="311"/>
      <c r="AC51" s="311"/>
      <c r="AD51" s="311"/>
    </row>
    <row r="52" spans="1:30" s="310" customFormat="1" ht="12.75" x14ac:dyDescent="0.2">
      <c r="A52" s="309"/>
      <c r="B52" s="309"/>
      <c r="C52" s="309"/>
      <c r="D52" s="309"/>
      <c r="E52" s="309"/>
      <c r="F52" s="309"/>
      <c r="G52" s="309"/>
      <c r="H52" s="309"/>
      <c r="I52" s="309"/>
      <c r="J52" s="309"/>
      <c r="K52" s="309"/>
      <c r="L52" s="309"/>
      <c r="M52" s="311"/>
      <c r="N52" s="311"/>
      <c r="O52" s="311"/>
      <c r="P52" s="311"/>
      <c r="Q52" s="369">
        <f t="shared" si="0"/>
        <v>5</v>
      </c>
      <c r="R52" s="377">
        <v>121</v>
      </c>
      <c r="S52" s="376">
        <v>127</v>
      </c>
      <c r="T52" s="377">
        <v>324</v>
      </c>
      <c r="U52" s="377">
        <v>332</v>
      </c>
      <c r="V52" s="378">
        <f t="shared" si="1"/>
        <v>50</v>
      </c>
      <c r="W52" s="373"/>
      <c r="X52" s="373"/>
      <c r="Y52" s="311"/>
      <c r="Z52" s="311"/>
      <c r="AA52" s="311"/>
      <c r="AB52" s="311"/>
      <c r="AC52" s="311"/>
      <c r="AD52" s="311"/>
    </row>
    <row r="53" spans="1:30" s="310" customFormat="1" ht="12.75" x14ac:dyDescent="0.2">
      <c r="A53" s="312"/>
      <c r="B53" s="312"/>
      <c r="C53" s="312"/>
      <c r="D53" s="312"/>
      <c r="E53" s="312"/>
      <c r="F53" s="312"/>
      <c r="G53" s="312"/>
      <c r="H53" s="312"/>
      <c r="I53" s="312"/>
      <c r="J53" s="311"/>
      <c r="K53" s="311"/>
      <c r="L53" s="311"/>
      <c r="M53" s="311"/>
      <c r="N53" s="311"/>
      <c r="O53" s="311"/>
      <c r="P53" s="311"/>
      <c r="Q53" s="369">
        <f t="shared" si="0"/>
        <v>6</v>
      </c>
      <c r="R53" s="377">
        <v>127</v>
      </c>
      <c r="S53" s="377">
        <v>133</v>
      </c>
      <c r="T53" s="377">
        <v>332</v>
      </c>
      <c r="U53" s="377">
        <v>340</v>
      </c>
      <c r="V53" s="378">
        <f t="shared" si="1"/>
        <v>51</v>
      </c>
      <c r="W53" s="373"/>
      <c r="X53" s="373"/>
      <c r="Y53" s="311"/>
      <c r="Z53" s="311"/>
      <c r="AA53" s="311"/>
      <c r="AB53" s="311"/>
      <c r="AC53" s="311"/>
      <c r="AD53" s="311"/>
    </row>
    <row r="54" spans="1:30" s="310" customFormat="1" ht="12.75" x14ac:dyDescent="0.2">
      <c r="A54" s="312"/>
      <c r="B54" s="312"/>
      <c r="C54" s="312"/>
      <c r="D54" s="312"/>
      <c r="E54" s="312"/>
      <c r="F54" s="312"/>
      <c r="G54" s="312"/>
      <c r="H54" s="312"/>
      <c r="I54" s="312"/>
      <c r="J54" s="311"/>
      <c r="K54" s="311"/>
      <c r="L54" s="311"/>
      <c r="M54" s="311"/>
      <c r="N54" s="311"/>
      <c r="O54" s="311"/>
      <c r="P54" s="311"/>
      <c r="Q54" s="369">
        <f t="shared" si="0"/>
        <v>7</v>
      </c>
      <c r="R54" s="377">
        <v>133</v>
      </c>
      <c r="S54" s="377">
        <v>140</v>
      </c>
      <c r="T54" s="377">
        <v>340</v>
      </c>
      <c r="U54" s="377">
        <v>348</v>
      </c>
      <c r="V54" s="378">
        <f t="shared" si="1"/>
        <v>52</v>
      </c>
      <c r="W54" s="373"/>
      <c r="X54" s="373"/>
      <c r="Y54" s="311"/>
      <c r="Z54" s="311"/>
      <c r="AA54" s="311"/>
      <c r="AB54" s="311"/>
      <c r="AC54" s="311"/>
      <c r="AD54" s="311"/>
    </row>
    <row r="55" spans="1:30" s="310" customFormat="1" ht="12.75" x14ac:dyDescent="0.2">
      <c r="A55" s="312"/>
      <c r="B55" s="312"/>
      <c r="C55" s="312"/>
      <c r="D55" s="312"/>
      <c r="E55" s="312"/>
      <c r="F55" s="312"/>
      <c r="G55" s="312"/>
      <c r="H55" s="312"/>
      <c r="I55" s="312"/>
      <c r="J55" s="311"/>
      <c r="K55" s="311"/>
      <c r="L55" s="311"/>
      <c r="M55" s="311"/>
      <c r="N55" s="311"/>
      <c r="O55" s="311"/>
      <c r="P55" s="311"/>
      <c r="Q55" s="369">
        <f t="shared" si="0"/>
        <v>8</v>
      </c>
      <c r="R55" s="377">
        <v>140</v>
      </c>
      <c r="S55" s="377">
        <v>147</v>
      </c>
      <c r="T55" s="377">
        <v>348</v>
      </c>
      <c r="U55" s="377">
        <v>357</v>
      </c>
      <c r="V55" s="378">
        <f t="shared" si="1"/>
        <v>53</v>
      </c>
      <c r="W55" s="373"/>
      <c r="X55" s="373"/>
      <c r="Y55" s="311"/>
      <c r="Z55" s="311"/>
      <c r="AA55" s="311"/>
      <c r="AB55" s="311"/>
      <c r="AC55" s="311"/>
      <c r="AD55" s="311"/>
    </row>
    <row r="56" spans="1:30" s="310" customFormat="1" ht="12.75" x14ac:dyDescent="0.2">
      <c r="A56" s="312"/>
      <c r="B56" s="312"/>
      <c r="C56" s="312"/>
      <c r="D56" s="312"/>
      <c r="E56" s="312"/>
      <c r="F56" s="312"/>
      <c r="G56" s="312"/>
      <c r="H56" s="312"/>
      <c r="I56" s="312"/>
      <c r="J56" s="311"/>
      <c r="K56" s="311"/>
      <c r="L56" s="311"/>
      <c r="M56" s="311"/>
      <c r="N56" s="311"/>
      <c r="O56" s="311"/>
      <c r="P56" s="311"/>
      <c r="Q56" s="369">
        <f t="shared" si="0"/>
        <v>9</v>
      </c>
      <c r="R56" s="377">
        <v>147</v>
      </c>
      <c r="S56" s="377">
        <v>154</v>
      </c>
      <c r="T56" s="377">
        <v>357</v>
      </c>
      <c r="U56" s="377">
        <v>365</v>
      </c>
      <c r="V56" s="378">
        <f t="shared" si="1"/>
        <v>54</v>
      </c>
      <c r="W56" s="373"/>
      <c r="X56" s="373"/>
      <c r="Y56" s="311"/>
      <c r="Z56" s="311"/>
      <c r="AA56" s="311"/>
      <c r="AB56" s="311"/>
      <c r="AC56" s="311"/>
      <c r="AD56" s="311"/>
    </row>
    <row r="57" spans="1:30" s="310" customFormat="1" ht="12.75" x14ac:dyDescent="0.2">
      <c r="A57" s="312"/>
      <c r="B57" s="526"/>
      <c r="C57" s="526"/>
      <c r="D57" s="312"/>
      <c r="E57" s="312"/>
      <c r="F57" s="312"/>
      <c r="G57" s="312"/>
      <c r="H57" s="526"/>
      <c r="I57" s="526"/>
      <c r="J57" s="311"/>
      <c r="K57" s="311"/>
      <c r="L57" s="311"/>
      <c r="M57" s="311"/>
      <c r="N57" s="311"/>
      <c r="O57" s="311"/>
      <c r="P57" s="311"/>
      <c r="Q57" s="369">
        <f t="shared" si="0"/>
        <v>10</v>
      </c>
      <c r="R57" s="377">
        <v>154</v>
      </c>
      <c r="S57" s="377">
        <v>162</v>
      </c>
      <c r="T57" s="377">
        <v>365</v>
      </c>
      <c r="U57" s="377">
        <v>374</v>
      </c>
      <c r="V57" s="378">
        <f t="shared" si="1"/>
        <v>55</v>
      </c>
      <c r="W57" s="373"/>
      <c r="X57" s="373"/>
      <c r="Y57" s="311"/>
      <c r="Z57" s="311"/>
      <c r="AA57" s="311"/>
      <c r="AB57" s="311"/>
      <c r="AC57" s="311"/>
      <c r="AD57" s="311"/>
    </row>
    <row r="58" spans="1:30" s="310" customFormat="1" ht="12.75" x14ac:dyDescent="0.2">
      <c r="A58" s="312"/>
      <c r="B58" s="312"/>
      <c r="C58" s="312"/>
      <c r="D58" s="312"/>
      <c r="E58" s="312"/>
      <c r="F58" s="312"/>
      <c r="G58" s="312"/>
      <c r="H58" s="312"/>
      <c r="I58" s="312"/>
      <c r="J58" s="311"/>
      <c r="K58" s="311"/>
      <c r="L58" s="311"/>
      <c r="M58" s="311"/>
      <c r="N58" s="311"/>
      <c r="O58" s="311"/>
      <c r="P58" s="311"/>
      <c r="Q58" s="369">
        <f t="shared" si="0"/>
        <v>11</v>
      </c>
      <c r="R58" s="377">
        <v>162</v>
      </c>
      <c r="S58" s="377">
        <v>169</v>
      </c>
      <c r="T58" s="377">
        <v>374</v>
      </c>
      <c r="U58" s="377">
        <v>383</v>
      </c>
      <c r="V58" s="378">
        <f t="shared" si="1"/>
        <v>56</v>
      </c>
      <c r="W58" s="373"/>
      <c r="X58" s="373"/>
      <c r="Y58" s="311"/>
      <c r="Z58" s="311"/>
      <c r="AA58" s="311"/>
      <c r="AB58" s="311"/>
      <c r="AC58" s="311"/>
      <c r="AD58" s="311"/>
    </row>
    <row r="59" spans="1:30" s="310" customFormat="1" ht="12.75" x14ac:dyDescent="0.2">
      <c r="A59" s="312"/>
      <c r="B59" s="312"/>
      <c r="C59" s="312"/>
      <c r="D59" s="312"/>
      <c r="E59" s="312"/>
      <c r="F59" s="312"/>
      <c r="G59" s="312"/>
      <c r="H59" s="312"/>
      <c r="I59" s="312"/>
      <c r="J59" s="311"/>
      <c r="K59" s="311"/>
      <c r="L59" s="311"/>
      <c r="M59" s="311"/>
      <c r="N59" s="311"/>
      <c r="O59" s="311"/>
      <c r="P59" s="311"/>
      <c r="Q59" s="369">
        <f t="shared" si="0"/>
        <v>12</v>
      </c>
      <c r="R59" s="377">
        <v>169</v>
      </c>
      <c r="S59" s="377">
        <v>178</v>
      </c>
      <c r="T59" s="377">
        <v>383</v>
      </c>
      <c r="U59" s="377">
        <v>392</v>
      </c>
      <c r="V59" s="378">
        <f t="shared" si="1"/>
        <v>57</v>
      </c>
      <c r="W59" s="373"/>
      <c r="X59" s="373"/>
      <c r="Y59" s="311"/>
      <c r="Z59" s="311"/>
      <c r="AA59" s="311"/>
      <c r="AB59" s="311"/>
      <c r="AC59" s="311"/>
      <c r="AD59" s="311"/>
    </row>
    <row r="60" spans="1:30" s="310" customFormat="1" ht="12.75" x14ac:dyDescent="0.2">
      <c r="A60" s="312"/>
      <c r="B60" s="312"/>
      <c r="C60" s="312"/>
      <c r="D60" s="312"/>
      <c r="E60" s="312"/>
      <c r="F60" s="312"/>
      <c r="G60" s="312"/>
      <c r="H60" s="312"/>
      <c r="I60" s="312"/>
      <c r="J60" s="311"/>
      <c r="K60" s="311"/>
      <c r="L60" s="311"/>
      <c r="M60" s="311"/>
      <c r="N60" s="311"/>
      <c r="O60" s="311"/>
      <c r="P60" s="311"/>
      <c r="Q60" s="369">
        <f t="shared" si="0"/>
        <v>13</v>
      </c>
      <c r="R60" s="377">
        <v>178</v>
      </c>
      <c r="S60" s="377">
        <v>187</v>
      </c>
      <c r="T60" s="377">
        <v>392</v>
      </c>
      <c r="U60" s="377">
        <v>402</v>
      </c>
      <c r="V60" s="378">
        <f t="shared" si="1"/>
        <v>58</v>
      </c>
      <c r="W60" s="373"/>
      <c r="X60" s="373"/>
      <c r="Y60" s="311"/>
      <c r="Z60" s="311"/>
      <c r="AA60" s="311"/>
      <c r="AB60" s="311"/>
      <c r="AC60" s="311"/>
      <c r="AD60" s="311"/>
    </row>
    <row r="61" spans="1:30" s="310" customFormat="1" ht="12.75" x14ac:dyDescent="0.2">
      <c r="A61" s="312"/>
      <c r="B61" s="312"/>
      <c r="C61" s="312"/>
      <c r="D61" s="312"/>
      <c r="E61" s="312"/>
      <c r="F61" s="312"/>
      <c r="G61" s="312"/>
      <c r="H61" s="312"/>
      <c r="I61" s="312"/>
      <c r="J61" s="311"/>
      <c r="K61" s="311"/>
      <c r="L61" s="311"/>
      <c r="M61" s="311"/>
      <c r="N61" s="311"/>
      <c r="O61" s="311"/>
      <c r="P61" s="311"/>
      <c r="Q61" s="369">
        <f t="shared" si="0"/>
        <v>14</v>
      </c>
      <c r="R61" s="377">
        <v>187</v>
      </c>
      <c r="S61" s="377">
        <v>196</v>
      </c>
      <c r="T61" s="377">
        <v>402</v>
      </c>
      <c r="U61" s="377">
        <v>412</v>
      </c>
      <c r="V61" s="378">
        <f t="shared" si="1"/>
        <v>59</v>
      </c>
      <c r="W61" s="373"/>
      <c r="X61" s="373"/>
      <c r="Y61" s="311"/>
      <c r="Z61" s="311"/>
      <c r="AA61" s="311"/>
      <c r="AB61" s="311"/>
      <c r="AC61" s="311"/>
      <c r="AD61" s="311"/>
    </row>
    <row r="62" spans="1:30" s="310" customFormat="1" ht="12.75" x14ac:dyDescent="0.2">
      <c r="A62" s="312"/>
      <c r="B62" s="312"/>
      <c r="C62" s="312"/>
      <c r="D62" s="312"/>
      <c r="E62" s="312"/>
      <c r="F62" s="312"/>
      <c r="G62" s="312"/>
      <c r="H62" s="312"/>
      <c r="I62" s="312"/>
      <c r="J62" s="311"/>
      <c r="K62" s="311"/>
      <c r="L62" s="311"/>
      <c r="M62" s="311"/>
      <c r="N62" s="311"/>
      <c r="O62" s="311"/>
      <c r="P62" s="311"/>
      <c r="Q62" s="369">
        <f t="shared" si="0"/>
        <v>15</v>
      </c>
      <c r="R62" s="377">
        <v>196</v>
      </c>
      <c r="S62" s="377">
        <v>205</v>
      </c>
      <c r="T62" s="377">
        <v>412</v>
      </c>
      <c r="U62" s="377">
        <v>422</v>
      </c>
      <c r="V62" s="378">
        <f t="shared" si="1"/>
        <v>60</v>
      </c>
      <c r="W62" s="373"/>
      <c r="X62" s="373"/>
      <c r="Y62" s="311"/>
      <c r="Z62" s="311"/>
      <c r="AA62" s="311"/>
      <c r="AB62" s="311"/>
      <c r="AC62" s="311"/>
      <c r="AD62" s="311"/>
    </row>
    <row r="63" spans="1:30" s="310" customFormat="1" ht="12.75" x14ac:dyDescent="0.2">
      <c r="A63" s="312"/>
      <c r="B63" s="312"/>
      <c r="C63" s="312"/>
      <c r="D63" s="312"/>
      <c r="E63" s="312"/>
      <c r="F63" s="312"/>
      <c r="G63" s="312"/>
      <c r="H63" s="312"/>
      <c r="I63" s="312"/>
      <c r="J63" s="311"/>
      <c r="K63" s="311"/>
      <c r="L63" s="311"/>
      <c r="M63" s="311"/>
      <c r="N63" s="311"/>
      <c r="O63" s="311"/>
      <c r="P63" s="311"/>
      <c r="Q63" s="369">
        <f t="shared" si="0"/>
        <v>16</v>
      </c>
      <c r="R63" s="377">
        <v>205</v>
      </c>
      <c r="S63" s="377">
        <v>215</v>
      </c>
      <c r="T63" s="377">
        <v>422</v>
      </c>
      <c r="U63" s="377">
        <v>432</v>
      </c>
      <c r="V63" s="378">
        <f t="shared" si="1"/>
        <v>61</v>
      </c>
      <c r="W63" s="373"/>
      <c r="X63" s="373"/>
      <c r="Y63" s="311"/>
      <c r="Z63" s="311"/>
      <c r="AA63" s="311"/>
      <c r="AB63" s="311"/>
      <c r="AC63" s="311"/>
      <c r="AD63" s="311"/>
    </row>
    <row r="64" spans="1:30" s="310" customFormat="1" ht="12.75" x14ac:dyDescent="0.2">
      <c r="A64" s="312"/>
      <c r="B64" s="312"/>
      <c r="C64" s="312"/>
      <c r="D64" s="312"/>
      <c r="E64" s="312"/>
      <c r="F64" s="312"/>
      <c r="G64" s="312"/>
      <c r="H64" s="312"/>
      <c r="I64" s="312"/>
      <c r="J64" s="311"/>
      <c r="K64" s="311"/>
      <c r="L64" s="311"/>
      <c r="M64" s="311"/>
      <c r="N64" s="311"/>
      <c r="O64" s="311"/>
      <c r="P64" s="311"/>
      <c r="Q64" s="369">
        <f t="shared" si="0"/>
        <v>17</v>
      </c>
      <c r="R64" s="377">
        <v>215</v>
      </c>
      <c r="S64" s="377">
        <v>226</v>
      </c>
      <c r="T64" s="377">
        <v>432</v>
      </c>
      <c r="U64" s="377">
        <v>442</v>
      </c>
      <c r="V64" s="378">
        <f t="shared" si="1"/>
        <v>62</v>
      </c>
      <c r="W64" s="373"/>
      <c r="X64" s="373"/>
      <c r="Y64" s="311"/>
      <c r="Z64" s="311"/>
      <c r="AA64" s="311"/>
      <c r="AB64" s="311"/>
      <c r="AC64" s="311"/>
      <c r="AD64" s="311"/>
    </row>
    <row r="65" spans="1:30" s="310" customFormat="1" ht="12.75" x14ac:dyDescent="0.2">
      <c r="A65" s="312"/>
      <c r="B65" s="312"/>
      <c r="C65" s="312"/>
      <c r="D65" s="312"/>
      <c r="E65" s="312"/>
      <c r="F65" s="312"/>
      <c r="G65" s="312"/>
      <c r="H65" s="312"/>
      <c r="I65" s="312"/>
      <c r="J65" s="311"/>
      <c r="K65" s="311"/>
      <c r="L65" s="311"/>
      <c r="M65" s="311"/>
      <c r="N65" s="311"/>
      <c r="O65" s="311"/>
      <c r="P65" s="311"/>
      <c r="Q65" s="369">
        <f t="shared" si="0"/>
        <v>18</v>
      </c>
      <c r="R65" s="377">
        <v>226</v>
      </c>
      <c r="S65" s="377">
        <v>237</v>
      </c>
      <c r="T65" s="377">
        <v>442</v>
      </c>
      <c r="U65" s="377">
        <v>453</v>
      </c>
      <c r="V65" s="378">
        <f t="shared" si="1"/>
        <v>63</v>
      </c>
      <c r="W65" s="373"/>
      <c r="X65" s="373"/>
      <c r="Y65" s="311"/>
      <c r="Z65" s="311"/>
      <c r="AA65" s="311"/>
      <c r="AB65" s="311"/>
      <c r="AC65" s="311"/>
      <c r="AD65" s="311"/>
    </row>
    <row r="66" spans="1:30" s="310" customFormat="1" ht="12.75" x14ac:dyDescent="0.2">
      <c r="A66" s="312"/>
      <c r="B66" s="312"/>
      <c r="C66" s="312"/>
      <c r="D66" s="312"/>
      <c r="E66" s="312"/>
      <c r="F66" s="312"/>
      <c r="G66" s="312"/>
      <c r="H66" s="312"/>
      <c r="I66" s="312"/>
      <c r="J66" s="311"/>
      <c r="K66" s="311"/>
      <c r="L66" s="311"/>
      <c r="M66" s="311"/>
      <c r="N66" s="311"/>
      <c r="O66" s="311"/>
      <c r="P66" s="311"/>
      <c r="Q66" s="369">
        <f t="shared" si="0"/>
        <v>19</v>
      </c>
      <c r="R66" s="377">
        <v>237</v>
      </c>
      <c r="S66" s="377">
        <v>249</v>
      </c>
      <c r="T66" s="377">
        <v>453</v>
      </c>
      <c r="U66" s="377">
        <v>464</v>
      </c>
      <c r="V66" s="378">
        <f t="shared" si="1"/>
        <v>64</v>
      </c>
      <c r="W66" s="373"/>
      <c r="X66" s="373"/>
      <c r="Y66" s="311"/>
      <c r="Z66" s="311"/>
      <c r="AA66" s="311"/>
      <c r="AB66" s="311"/>
      <c r="AC66" s="311"/>
      <c r="AD66" s="311"/>
    </row>
    <row r="67" spans="1:30" s="310" customFormat="1" ht="12.75" x14ac:dyDescent="0.2">
      <c r="A67" s="312"/>
      <c r="B67" s="312"/>
      <c r="C67" s="312"/>
      <c r="D67" s="312"/>
      <c r="E67" s="312"/>
      <c r="F67" s="312"/>
      <c r="G67" s="312"/>
      <c r="H67" s="312"/>
      <c r="I67" s="312"/>
      <c r="J67" s="311"/>
      <c r="K67" s="311"/>
      <c r="L67" s="311"/>
      <c r="M67" s="311"/>
      <c r="N67" s="311"/>
      <c r="O67" s="311"/>
      <c r="P67" s="311"/>
      <c r="Q67" s="369">
        <f t="shared" si="0"/>
        <v>20</v>
      </c>
      <c r="R67" s="377">
        <v>249</v>
      </c>
      <c r="S67" s="377">
        <v>261</v>
      </c>
      <c r="T67" s="377">
        <v>464</v>
      </c>
      <c r="U67" s="377">
        <v>475</v>
      </c>
      <c r="V67" s="378">
        <f t="shared" si="1"/>
        <v>65</v>
      </c>
      <c r="W67" s="373"/>
      <c r="X67" s="373"/>
      <c r="Y67" s="311"/>
      <c r="Z67" s="311"/>
      <c r="AA67" s="311"/>
      <c r="AB67" s="311"/>
      <c r="AC67" s="311"/>
      <c r="AD67" s="311"/>
    </row>
    <row r="68" spans="1:30" s="310" customFormat="1" ht="12.75" x14ac:dyDescent="0.2">
      <c r="A68" s="312"/>
      <c r="B68" s="312"/>
      <c r="C68" s="312"/>
      <c r="D68" s="312"/>
      <c r="E68" s="312"/>
      <c r="F68" s="312"/>
      <c r="G68" s="312"/>
      <c r="H68" s="312"/>
      <c r="I68" s="312"/>
      <c r="J68" s="311"/>
      <c r="K68" s="311"/>
      <c r="L68" s="311"/>
      <c r="M68" s="311"/>
      <c r="N68" s="311"/>
      <c r="O68" s="311"/>
      <c r="P68" s="311"/>
      <c r="Q68" s="369">
        <f t="shared" si="0"/>
        <v>21</v>
      </c>
      <c r="R68" s="377">
        <v>261</v>
      </c>
      <c r="S68" s="377">
        <v>274</v>
      </c>
      <c r="T68" s="377">
        <v>475</v>
      </c>
      <c r="U68" s="377">
        <v>487</v>
      </c>
      <c r="V68" s="378">
        <f t="shared" si="1"/>
        <v>66</v>
      </c>
      <c r="W68" s="373"/>
      <c r="X68" s="373"/>
      <c r="Y68" s="311"/>
      <c r="Z68" s="311"/>
      <c r="AA68" s="311"/>
      <c r="AB68" s="311"/>
      <c r="AC68" s="311"/>
      <c r="AD68" s="311"/>
    </row>
    <row r="69" spans="1:30" s="310" customFormat="1" ht="12.75" x14ac:dyDescent="0.2">
      <c r="A69" s="312"/>
      <c r="B69" s="312"/>
      <c r="C69" s="312"/>
      <c r="D69" s="312"/>
      <c r="E69" s="312"/>
      <c r="F69" s="312"/>
      <c r="G69" s="312"/>
      <c r="H69" s="312"/>
      <c r="I69" s="312"/>
      <c r="J69" s="311"/>
      <c r="K69" s="311"/>
      <c r="L69" s="311"/>
      <c r="M69" s="311"/>
      <c r="N69" s="311"/>
      <c r="O69" s="311"/>
      <c r="P69" s="311"/>
      <c r="Q69" s="369">
        <f t="shared" si="0"/>
        <v>22</v>
      </c>
      <c r="R69" s="377">
        <v>274</v>
      </c>
      <c r="S69" s="377">
        <v>287</v>
      </c>
      <c r="T69" s="377">
        <v>487</v>
      </c>
      <c r="U69" s="377">
        <v>499</v>
      </c>
      <c r="V69" s="378">
        <f t="shared" ref="V69:V81" si="2">V68+1</f>
        <v>67</v>
      </c>
      <c r="W69" s="373"/>
      <c r="X69" s="373"/>
      <c r="Y69" s="311"/>
      <c r="Z69" s="311"/>
      <c r="AA69" s="311"/>
      <c r="AB69" s="311"/>
      <c r="AC69" s="311"/>
      <c r="AD69" s="311"/>
    </row>
    <row r="70" spans="1:30" s="310" customFormat="1" ht="12.75" x14ac:dyDescent="0.2">
      <c r="A70" s="312"/>
      <c r="B70" s="312"/>
      <c r="C70" s="312"/>
      <c r="D70" s="312"/>
      <c r="E70" s="312"/>
      <c r="F70" s="312"/>
      <c r="G70" s="312"/>
      <c r="H70" s="312"/>
      <c r="I70" s="312"/>
      <c r="J70" s="311"/>
      <c r="K70" s="311"/>
      <c r="L70" s="311"/>
      <c r="M70" s="311"/>
      <c r="N70" s="311"/>
      <c r="O70" s="311"/>
      <c r="P70" s="311"/>
      <c r="Q70" s="369">
        <f t="shared" si="0"/>
        <v>23</v>
      </c>
      <c r="R70" s="377">
        <v>287</v>
      </c>
      <c r="S70" s="377">
        <v>301</v>
      </c>
      <c r="T70" s="377">
        <v>499</v>
      </c>
      <c r="U70" s="377">
        <v>511</v>
      </c>
      <c r="V70" s="378">
        <f t="shared" si="2"/>
        <v>68</v>
      </c>
      <c r="W70" s="373"/>
      <c r="X70" s="373"/>
      <c r="Y70" s="311"/>
      <c r="Z70" s="311"/>
      <c r="AA70" s="311"/>
      <c r="AB70" s="311"/>
      <c r="AC70" s="311"/>
      <c r="AD70" s="311"/>
    </row>
    <row r="71" spans="1:30" s="310" customFormat="1" ht="12.75" x14ac:dyDescent="0.2">
      <c r="A71" s="312"/>
      <c r="B71" s="312"/>
      <c r="C71" s="312"/>
      <c r="D71" s="312"/>
      <c r="E71" s="312"/>
      <c r="F71" s="312"/>
      <c r="G71" s="312"/>
      <c r="H71" s="312"/>
      <c r="I71" s="312"/>
      <c r="J71" s="311"/>
      <c r="K71" s="311"/>
      <c r="L71" s="311"/>
      <c r="M71" s="311"/>
      <c r="N71" s="311"/>
      <c r="O71" s="311"/>
      <c r="P71" s="311"/>
      <c r="Q71" s="369">
        <f t="shared" si="0"/>
        <v>24</v>
      </c>
      <c r="R71" s="377">
        <v>301</v>
      </c>
      <c r="S71" s="377">
        <v>316</v>
      </c>
      <c r="T71" s="377">
        <v>511</v>
      </c>
      <c r="U71" s="377">
        <v>523</v>
      </c>
      <c r="V71" s="378">
        <f t="shared" si="2"/>
        <v>69</v>
      </c>
      <c r="W71" s="373"/>
      <c r="X71" s="373"/>
      <c r="Y71" s="311"/>
      <c r="Z71" s="311"/>
      <c r="AA71" s="311"/>
      <c r="AB71" s="311"/>
      <c r="AC71" s="311"/>
      <c r="AD71" s="311"/>
    </row>
    <row r="72" spans="1:30" s="310" customFormat="1" ht="12.75" x14ac:dyDescent="0.2">
      <c r="A72" s="312"/>
      <c r="B72" s="312"/>
      <c r="C72" s="312"/>
      <c r="D72" s="312"/>
      <c r="E72" s="312"/>
      <c r="F72" s="312"/>
      <c r="G72" s="312"/>
      <c r="H72" s="312"/>
      <c r="I72" s="312"/>
      <c r="J72" s="311"/>
      <c r="K72" s="311"/>
      <c r="L72" s="311"/>
      <c r="M72" s="311"/>
      <c r="N72" s="311"/>
      <c r="O72" s="311"/>
      <c r="P72" s="311"/>
      <c r="Q72" s="369">
        <f t="shared" ref="Q72:Q95" si="3">Q71+1</f>
        <v>25</v>
      </c>
      <c r="R72" s="377">
        <v>316</v>
      </c>
      <c r="S72" s="377">
        <v>332</v>
      </c>
      <c r="T72" s="377">
        <v>523</v>
      </c>
      <c r="U72" s="377">
        <v>536</v>
      </c>
      <c r="V72" s="378">
        <f t="shared" si="2"/>
        <v>70</v>
      </c>
      <c r="W72" s="373"/>
      <c r="X72" s="373"/>
      <c r="Y72" s="311"/>
      <c r="Z72" s="311"/>
      <c r="AA72" s="311"/>
      <c r="AB72" s="311"/>
      <c r="AC72" s="311"/>
      <c r="AD72" s="311"/>
    </row>
    <row r="73" spans="1:30" s="310" customFormat="1" ht="12.75" x14ac:dyDescent="0.2">
      <c r="A73" s="312"/>
      <c r="B73" s="312"/>
      <c r="C73" s="312"/>
      <c r="D73" s="312"/>
      <c r="E73" s="312"/>
      <c r="F73" s="312"/>
      <c r="G73" s="312"/>
      <c r="H73" s="312"/>
      <c r="I73" s="312"/>
      <c r="J73" s="311"/>
      <c r="K73" s="311"/>
      <c r="L73" s="311"/>
      <c r="M73" s="311"/>
      <c r="N73" s="311"/>
      <c r="O73" s="311"/>
      <c r="P73" s="311"/>
      <c r="Q73" s="369">
        <f t="shared" si="3"/>
        <v>26</v>
      </c>
      <c r="R73" s="377">
        <v>332</v>
      </c>
      <c r="S73" s="377">
        <v>348</v>
      </c>
      <c r="T73" s="377">
        <v>536</v>
      </c>
      <c r="U73" s="377">
        <v>549</v>
      </c>
      <c r="V73" s="378">
        <f t="shared" si="2"/>
        <v>71</v>
      </c>
      <c r="W73" s="373"/>
      <c r="X73" s="373"/>
      <c r="Y73" s="311"/>
      <c r="Z73" s="311"/>
      <c r="AA73" s="311"/>
      <c r="AB73" s="311"/>
      <c r="AC73" s="311"/>
      <c r="AD73" s="311"/>
    </row>
    <row r="74" spans="1:30" s="310" customFormat="1" ht="12.75" x14ac:dyDescent="0.2">
      <c r="A74" s="312"/>
      <c r="B74" s="312"/>
      <c r="C74" s="312"/>
      <c r="D74" s="312"/>
      <c r="E74" s="312"/>
      <c r="F74" s="312"/>
      <c r="G74" s="312"/>
      <c r="H74" s="312"/>
      <c r="I74" s="312"/>
      <c r="J74" s="311"/>
      <c r="K74" s="311"/>
      <c r="L74" s="311"/>
      <c r="M74" s="311"/>
      <c r="N74" s="311"/>
      <c r="O74" s="311"/>
      <c r="P74" s="311"/>
      <c r="Q74" s="369">
        <f t="shared" si="3"/>
        <v>27</v>
      </c>
      <c r="R74" s="377">
        <v>348</v>
      </c>
      <c r="S74" s="377">
        <v>365</v>
      </c>
      <c r="T74" s="377">
        <v>549</v>
      </c>
      <c r="U74" s="377">
        <v>562</v>
      </c>
      <c r="V74" s="378">
        <f t="shared" si="2"/>
        <v>72</v>
      </c>
      <c r="W74" s="373"/>
      <c r="X74" s="373"/>
      <c r="Y74" s="311"/>
      <c r="Z74" s="311"/>
      <c r="AA74" s="311"/>
      <c r="AB74" s="311"/>
      <c r="AC74" s="311"/>
      <c r="AD74" s="311"/>
    </row>
    <row r="75" spans="1:30" s="310" customFormat="1" ht="12.75" x14ac:dyDescent="0.2">
      <c r="A75" s="312"/>
      <c r="B75" s="312"/>
      <c r="C75" s="312"/>
      <c r="D75" s="312"/>
      <c r="E75" s="312"/>
      <c r="F75" s="312"/>
      <c r="G75" s="312"/>
      <c r="H75" s="312"/>
      <c r="I75" s="312"/>
      <c r="J75" s="311"/>
      <c r="K75" s="311"/>
      <c r="L75" s="311"/>
      <c r="M75" s="311"/>
      <c r="N75" s="311"/>
      <c r="O75" s="311"/>
      <c r="P75" s="311"/>
      <c r="Q75" s="369">
        <f t="shared" si="3"/>
        <v>28</v>
      </c>
      <c r="R75" s="377">
        <v>365</v>
      </c>
      <c r="S75" s="377">
        <v>383</v>
      </c>
      <c r="T75" s="377">
        <v>562</v>
      </c>
      <c r="U75" s="377">
        <v>576</v>
      </c>
      <c r="V75" s="378">
        <f t="shared" si="2"/>
        <v>73</v>
      </c>
      <c r="W75" s="373"/>
      <c r="X75" s="373"/>
      <c r="Y75" s="311"/>
      <c r="Z75" s="311"/>
      <c r="AA75" s="311"/>
      <c r="AB75" s="311"/>
      <c r="AC75" s="311"/>
      <c r="AD75" s="311"/>
    </row>
    <row r="76" spans="1:30" s="310" customFormat="1" ht="12.75" x14ac:dyDescent="0.2">
      <c r="A76" s="312"/>
      <c r="B76" s="312"/>
      <c r="C76" s="312"/>
      <c r="D76" s="312"/>
      <c r="E76" s="312"/>
      <c r="F76" s="312"/>
      <c r="G76" s="312"/>
      <c r="H76" s="312"/>
      <c r="I76" s="312"/>
      <c r="J76" s="311"/>
      <c r="K76" s="311"/>
      <c r="L76" s="311"/>
      <c r="M76" s="311"/>
      <c r="N76" s="311"/>
      <c r="O76" s="311"/>
      <c r="P76" s="311"/>
      <c r="Q76" s="369">
        <f t="shared" si="3"/>
        <v>29</v>
      </c>
      <c r="R76" s="377">
        <v>383</v>
      </c>
      <c r="S76" s="377">
        <v>402</v>
      </c>
      <c r="T76" s="382">
        <v>576</v>
      </c>
      <c r="U76" s="382">
        <v>590</v>
      </c>
      <c r="V76" s="378">
        <f t="shared" si="2"/>
        <v>74</v>
      </c>
      <c r="W76" s="373"/>
      <c r="X76" s="373"/>
      <c r="Y76" s="311"/>
      <c r="Z76" s="311"/>
      <c r="AA76" s="311"/>
      <c r="AB76" s="311"/>
      <c r="AC76" s="311"/>
      <c r="AD76" s="311"/>
    </row>
    <row r="77" spans="1:30" s="310" customFormat="1" ht="12.75" x14ac:dyDescent="0.2">
      <c r="A77" s="312"/>
      <c r="B77" s="312"/>
      <c r="C77" s="312"/>
      <c r="D77" s="312"/>
      <c r="E77" s="312"/>
      <c r="F77" s="312"/>
      <c r="G77" s="312"/>
      <c r="H77" s="312"/>
      <c r="I77" s="312"/>
      <c r="J77" s="311"/>
      <c r="K77" s="311"/>
      <c r="L77" s="311"/>
      <c r="M77" s="311"/>
      <c r="N77" s="311"/>
      <c r="O77" s="311"/>
      <c r="P77" s="311"/>
      <c r="Q77" s="369">
        <f t="shared" si="3"/>
        <v>30</v>
      </c>
      <c r="R77" s="377">
        <v>402</v>
      </c>
      <c r="S77" s="377">
        <v>422</v>
      </c>
      <c r="T77" s="377">
        <v>590</v>
      </c>
      <c r="U77" s="377">
        <v>604</v>
      </c>
      <c r="V77" s="378">
        <f t="shared" si="2"/>
        <v>75</v>
      </c>
      <c r="W77" s="373"/>
      <c r="X77" s="373"/>
      <c r="Y77" s="311"/>
      <c r="Z77" s="311"/>
      <c r="AA77" s="311"/>
      <c r="AB77" s="311"/>
      <c r="AC77" s="311"/>
      <c r="AD77" s="311"/>
    </row>
    <row r="78" spans="1:30" s="310" customFormat="1" ht="12.75" x14ac:dyDescent="0.2">
      <c r="A78" s="312"/>
      <c r="B78" s="312"/>
      <c r="C78" s="312"/>
      <c r="D78" s="312"/>
      <c r="E78" s="312"/>
      <c r="F78" s="312"/>
      <c r="G78" s="312"/>
      <c r="H78" s="312"/>
      <c r="I78" s="312"/>
      <c r="J78" s="311"/>
      <c r="K78" s="311"/>
      <c r="L78" s="311"/>
      <c r="M78" s="311"/>
      <c r="N78" s="311"/>
      <c r="O78" s="311"/>
      <c r="P78" s="311"/>
      <c r="Q78" s="369">
        <f t="shared" si="3"/>
        <v>31</v>
      </c>
      <c r="R78" s="377">
        <v>422</v>
      </c>
      <c r="S78" s="377">
        <v>442</v>
      </c>
      <c r="T78" s="377">
        <v>604</v>
      </c>
      <c r="U78" s="377">
        <v>619</v>
      </c>
      <c r="V78" s="378">
        <f t="shared" si="2"/>
        <v>76</v>
      </c>
      <c r="W78" s="373"/>
      <c r="X78" s="373"/>
      <c r="Y78" s="311"/>
      <c r="Z78" s="311"/>
      <c r="AA78" s="311"/>
      <c r="AB78" s="311"/>
      <c r="AC78" s="311"/>
      <c r="AD78" s="311"/>
    </row>
    <row r="79" spans="1:30" s="310" customFormat="1" x14ac:dyDescent="0.25">
      <c r="A79" s="312"/>
      <c r="B79" s="312"/>
      <c r="C79" s="312"/>
      <c r="D79" s="312"/>
      <c r="E79" s="312"/>
      <c r="F79" s="312"/>
      <c r="G79" s="312"/>
      <c r="H79" s="312"/>
      <c r="I79" s="312"/>
      <c r="J79" s="311"/>
      <c r="K79" s="311"/>
      <c r="L79" s="311"/>
      <c r="M79" s="311"/>
      <c r="N79" s="311"/>
      <c r="O79" s="311"/>
      <c r="P79" s="311"/>
      <c r="Q79" s="369">
        <f t="shared" si="3"/>
        <v>32</v>
      </c>
      <c r="R79" s="377">
        <v>442</v>
      </c>
      <c r="S79" s="377">
        <v>464</v>
      </c>
      <c r="T79" s="377">
        <v>619</v>
      </c>
      <c r="U79" s="375">
        <v>634</v>
      </c>
      <c r="V79" s="378">
        <f t="shared" si="2"/>
        <v>77</v>
      </c>
      <c r="W79" s="373"/>
      <c r="X79" s="278"/>
      <c r="Y79" s="311"/>
      <c r="Z79" s="311"/>
      <c r="AA79" s="311"/>
      <c r="AB79" s="311"/>
      <c r="AC79" s="311"/>
      <c r="AD79" s="311"/>
    </row>
    <row r="80" spans="1:30" s="310" customFormat="1" x14ac:dyDescent="0.25">
      <c r="A80" s="312"/>
      <c r="B80" s="312"/>
      <c r="C80" s="312"/>
      <c r="D80" s="312"/>
      <c r="E80" s="312"/>
      <c r="F80" s="312"/>
      <c r="G80" s="312"/>
      <c r="H80" s="312"/>
      <c r="I80" s="312"/>
      <c r="J80" s="311"/>
      <c r="K80" s="311"/>
      <c r="L80" s="311"/>
      <c r="M80" s="311"/>
      <c r="N80" s="311"/>
      <c r="O80" s="311"/>
      <c r="P80" s="311"/>
      <c r="Q80" s="369">
        <f t="shared" si="3"/>
        <v>33</v>
      </c>
      <c r="R80" s="377">
        <v>464</v>
      </c>
      <c r="S80" s="377">
        <v>487</v>
      </c>
      <c r="T80" s="377">
        <v>634</v>
      </c>
      <c r="U80" s="375">
        <v>649</v>
      </c>
      <c r="V80" s="378">
        <f t="shared" si="2"/>
        <v>78</v>
      </c>
      <c r="W80" s="373"/>
      <c r="X80" s="278"/>
      <c r="Y80" s="311"/>
      <c r="Z80" s="311"/>
      <c r="AA80" s="311"/>
      <c r="AB80" s="311"/>
      <c r="AC80" s="311"/>
      <c r="AD80" s="311"/>
    </row>
    <row r="81" spans="1:30" s="310" customFormat="1" x14ac:dyDescent="0.25">
      <c r="A81" s="312"/>
      <c r="B81" s="312"/>
      <c r="C81" s="312"/>
      <c r="D81" s="312"/>
      <c r="E81" s="312"/>
      <c r="F81" s="312"/>
      <c r="G81" s="312"/>
      <c r="H81" s="312"/>
      <c r="I81" s="312"/>
      <c r="J81" s="311"/>
      <c r="K81" s="311"/>
      <c r="L81" s="311"/>
      <c r="M81" s="311"/>
      <c r="N81" s="311"/>
      <c r="O81" s="311"/>
      <c r="P81" s="311"/>
      <c r="Q81" s="369">
        <f t="shared" si="3"/>
        <v>34</v>
      </c>
      <c r="R81" s="377">
        <v>487</v>
      </c>
      <c r="S81" s="377">
        <v>511</v>
      </c>
      <c r="T81" s="377">
        <v>649</v>
      </c>
      <c r="U81" s="375">
        <v>665</v>
      </c>
      <c r="V81" s="378">
        <f t="shared" si="2"/>
        <v>79</v>
      </c>
      <c r="W81" s="373"/>
      <c r="X81" s="278"/>
      <c r="Y81" s="311"/>
      <c r="Z81" s="311"/>
      <c r="AA81" s="311"/>
      <c r="AB81" s="311"/>
      <c r="AC81" s="311"/>
      <c r="AD81" s="311"/>
    </row>
    <row r="82" spans="1:30" s="310" customFormat="1" x14ac:dyDescent="0.25">
      <c r="A82" s="312"/>
      <c r="B82" s="312"/>
      <c r="C82" s="312"/>
      <c r="D82" s="312"/>
      <c r="E82" s="312"/>
      <c r="F82" s="312"/>
      <c r="G82" s="312"/>
      <c r="H82" s="312"/>
      <c r="I82" s="312"/>
      <c r="J82" s="311"/>
      <c r="K82" s="311"/>
      <c r="L82" s="311"/>
      <c r="M82" s="311"/>
      <c r="N82" s="311"/>
      <c r="O82" s="311"/>
      <c r="P82" s="311"/>
      <c r="Q82" s="369">
        <f t="shared" si="3"/>
        <v>35</v>
      </c>
      <c r="R82" s="377">
        <v>511</v>
      </c>
      <c r="S82" s="377">
        <v>536</v>
      </c>
      <c r="T82" s="377">
        <v>665</v>
      </c>
      <c r="U82" s="375">
        <v>681</v>
      </c>
      <c r="V82" s="378">
        <f>V81+1</f>
        <v>80</v>
      </c>
      <c r="W82" s="373"/>
      <c r="X82" s="278"/>
      <c r="Y82" s="311"/>
      <c r="Z82" s="311"/>
      <c r="AA82" s="311"/>
      <c r="AB82" s="311"/>
      <c r="AC82" s="311"/>
      <c r="AD82" s="311"/>
    </row>
    <row r="83" spans="1:30" s="310" customFormat="1" x14ac:dyDescent="0.25">
      <c r="A83" s="312"/>
      <c r="B83" s="312"/>
      <c r="C83" s="312"/>
      <c r="D83" s="312"/>
      <c r="E83" s="312"/>
      <c r="F83" s="312"/>
      <c r="G83" s="312"/>
      <c r="H83" s="312"/>
      <c r="I83" s="312"/>
      <c r="J83" s="311"/>
      <c r="K83" s="311"/>
      <c r="L83" s="311"/>
      <c r="M83" s="311"/>
      <c r="N83" s="311"/>
      <c r="O83" s="311"/>
      <c r="P83" s="311"/>
      <c r="Q83" s="369">
        <f t="shared" si="3"/>
        <v>36</v>
      </c>
      <c r="R83" s="377">
        <v>536</v>
      </c>
      <c r="S83" s="377">
        <v>562</v>
      </c>
      <c r="T83" s="377">
        <v>681</v>
      </c>
      <c r="U83" s="375">
        <v>698</v>
      </c>
      <c r="V83" s="378">
        <f t="shared" ref="V83:V92" si="4">V82+1</f>
        <v>81</v>
      </c>
      <c r="W83" s="373"/>
      <c r="X83" s="278"/>
      <c r="Y83" s="311"/>
      <c r="Z83" s="311"/>
      <c r="AA83" s="311"/>
      <c r="AB83" s="311"/>
      <c r="AC83" s="311"/>
      <c r="AD83" s="311"/>
    </row>
    <row r="84" spans="1:30" s="310" customFormat="1" x14ac:dyDescent="0.25">
      <c r="A84" s="312"/>
      <c r="B84" s="312"/>
      <c r="C84" s="312"/>
      <c r="D84" s="312"/>
      <c r="E84" s="312"/>
      <c r="F84" s="312"/>
      <c r="G84" s="312"/>
      <c r="H84" s="312"/>
      <c r="I84" s="312"/>
      <c r="J84" s="311"/>
      <c r="K84" s="311"/>
      <c r="L84" s="311"/>
      <c r="M84" s="311"/>
      <c r="N84" s="311"/>
      <c r="O84" s="311"/>
      <c r="P84" s="311"/>
      <c r="Q84" s="369">
        <f t="shared" si="3"/>
        <v>37</v>
      </c>
      <c r="R84" s="377">
        <v>562</v>
      </c>
      <c r="S84" s="377">
        <v>590</v>
      </c>
      <c r="T84" s="377">
        <v>698</v>
      </c>
      <c r="U84" s="375">
        <v>715</v>
      </c>
      <c r="V84" s="378">
        <f t="shared" si="4"/>
        <v>82</v>
      </c>
      <c r="W84" s="373"/>
      <c r="X84" s="278"/>
      <c r="Y84" s="311"/>
      <c r="Z84" s="311"/>
      <c r="AA84" s="311"/>
      <c r="AB84" s="311"/>
      <c r="AC84" s="311"/>
      <c r="AD84" s="311"/>
    </row>
    <row r="85" spans="1:30" s="310" customFormat="1" x14ac:dyDescent="0.25">
      <c r="A85" s="312"/>
      <c r="B85" s="312"/>
      <c r="C85" s="312"/>
      <c r="D85" s="312"/>
      <c r="E85" s="312"/>
      <c r="F85" s="312"/>
      <c r="G85" s="312"/>
      <c r="H85" s="312"/>
      <c r="I85" s="312"/>
      <c r="J85" s="311"/>
      <c r="K85" s="311"/>
      <c r="L85" s="311"/>
      <c r="M85" s="311"/>
      <c r="N85" s="311"/>
      <c r="O85" s="311"/>
      <c r="P85" s="311"/>
      <c r="Q85" s="369">
        <f t="shared" si="3"/>
        <v>38</v>
      </c>
      <c r="R85" s="377">
        <v>590</v>
      </c>
      <c r="S85" s="377">
        <v>619</v>
      </c>
      <c r="T85" s="377">
        <v>715</v>
      </c>
      <c r="U85" s="375">
        <v>732</v>
      </c>
      <c r="V85" s="378">
        <f t="shared" si="4"/>
        <v>83</v>
      </c>
      <c r="W85" s="373"/>
      <c r="X85" s="278"/>
      <c r="Y85" s="311"/>
      <c r="Z85" s="311"/>
      <c r="AA85" s="311"/>
      <c r="AB85" s="311"/>
      <c r="AC85" s="311"/>
      <c r="AD85" s="311"/>
    </row>
    <row r="86" spans="1:30" s="310" customFormat="1" x14ac:dyDescent="0.25">
      <c r="A86" s="312"/>
      <c r="B86" s="312"/>
      <c r="C86" s="312"/>
      <c r="D86" s="312"/>
      <c r="E86" s="312"/>
      <c r="F86" s="312"/>
      <c r="G86" s="312"/>
      <c r="H86" s="312"/>
      <c r="I86" s="312"/>
      <c r="J86" s="311"/>
      <c r="K86" s="311"/>
      <c r="L86" s="311"/>
      <c r="M86" s="311"/>
      <c r="N86" s="311"/>
      <c r="O86" s="311"/>
      <c r="P86" s="311"/>
      <c r="Q86" s="369">
        <f t="shared" si="3"/>
        <v>39</v>
      </c>
      <c r="R86" s="377">
        <v>619</v>
      </c>
      <c r="S86" s="377">
        <v>649</v>
      </c>
      <c r="T86" s="377">
        <v>732</v>
      </c>
      <c r="U86" s="375">
        <v>750</v>
      </c>
      <c r="V86" s="378">
        <f t="shared" si="4"/>
        <v>84</v>
      </c>
      <c r="W86" s="373"/>
      <c r="X86" s="278"/>
      <c r="Y86" s="311"/>
      <c r="Z86" s="311"/>
      <c r="AA86" s="311"/>
      <c r="AB86" s="311"/>
      <c r="AC86" s="311"/>
      <c r="AD86" s="311"/>
    </row>
    <row r="87" spans="1:30" s="310" customFormat="1" x14ac:dyDescent="0.25">
      <c r="A87" s="312"/>
      <c r="B87" s="312"/>
      <c r="C87" s="312"/>
      <c r="D87" s="312"/>
      <c r="E87" s="312"/>
      <c r="F87" s="312"/>
      <c r="G87" s="312"/>
      <c r="H87" s="312"/>
      <c r="I87" s="312"/>
      <c r="J87" s="311"/>
      <c r="K87" s="311"/>
      <c r="L87" s="311"/>
      <c r="M87" s="311"/>
      <c r="N87" s="311"/>
      <c r="O87" s="311"/>
      <c r="P87" s="311"/>
      <c r="Q87" s="369">
        <f t="shared" si="3"/>
        <v>40</v>
      </c>
      <c r="R87" s="377">
        <v>649</v>
      </c>
      <c r="S87" s="377">
        <v>681</v>
      </c>
      <c r="T87" s="377">
        <v>750</v>
      </c>
      <c r="U87" s="375">
        <v>768</v>
      </c>
      <c r="V87" s="378">
        <f t="shared" si="4"/>
        <v>85</v>
      </c>
      <c r="W87" s="373"/>
      <c r="X87" s="278"/>
      <c r="Y87" s="311"/>
      <c r="Z87" s="311"/>
      <c r="AA87" s="311"/>
      <c r="AB87" s="311"/>
      <c r="AC87" s="311"/>
      <c r="AD87" s="311"/>
    </row>
    <row r="88" spans="1:30" s="310" customFormat="1" x14ac:dyDescent="0.25">
      <c r="A88" s="312"/>
      <c r="B88" s="312"/>
      <c r="C88" s="312"/>
      <c r="D88" s="312"/>
      <c r="E88" s="312"/>
      <c r="F88" s="312"/>
      <c r="G88" s="312"/>
      <c r="H88" s="312"/>
      <c r="I88" s="312"/>
      <c r="J88" s="311"/>
      <c r="K88" s="311"/>
      <c r="L88" s="311"/>
      <c r="M88" s="311"/>
      <c r="N88" s="311"/>
      <c r="O88" s="311"/>
      <c r="P88" s="311"/>
      <c r="Q88" s="369">
        <f t="shared" si="3"/>
        <v>41</v>
      </c>
      <c r="R88" s="377">
        <v>681</v>
      </c>
      <c r="S88" s="377">
        <v>715</v>
      </c>
      <c r="T88" s="377">
        <v>768</v>
      </c>
      <c r="U88" s="375">
        <v>787</v>
      </c>
      <c r="V88" s="378">
        <f t="shared" si="4"/>
        <v>86</v>
      </c>
      <c r="W88" s="373"/>
      <c r="X88" s="278"/>
      <c r="Y88" s="311"/>
      <c r="Z88" s="311"/>
      <c r="AA88" s="311"/>
      <c r="AB88" s="311"/>
      <c r="AC88" s="311"/>
      <c r="AD88" s="311"/>
    </row>
    <row r="89" spans="1:30" s="310" customFormat="1" x14ac:dyDescent="0.25">
      <c r="A89" s="312"/>
      <c r="B89" s="312"/>
      <c r="C89" s="312"/>
      <c r="D89" s="312"/>
      <c r="E89" s="312"/>
      <c r="F89" s="312"/>
      <c r="G89" s="312"/>
      <c r="H89" s="312"/>
      <c r="I89" s="312"/>
      <c r="J89" s="311"/>
      <c r="K89" s="311"/>
      <c r="L89" s="311"/>
      <c r="M89" s="311"/>
      <c r="N89" s="311"/>
      <c r="O89" s="311"/>
      <c r="P89" s="311"/>
      <c r="Q89" s="369">
        <f t="shared" si="3"/>
        <v>42</v>
      </c>
      <c r="R89" s="377">
        <v>715</v>
      </c>
      <c r="S89" s="377">
        <v>750</v>
      </c>
      <c r="T89" s="377">
        <v>787</v>
      </c>
      <c r="U89" s="375">
        <v>806</v>
      </c>
      <c r="V89" s="378">
        <f t="shared" si="4"/>
        <v>87</v>
      </c>
      <c r="W89" s="373"/>
      <c r="X89" s="278"/>
      <c r="Y89" s="311"/>
      <c r="Z89" s="311"/>
      <c r="AA89" s="311"/>
      <c r="AB89" s="311"/>
      <c r="AC89" s="311"/>
      <c r="AD89" s="311"/>
    </row>
    <row r="90" spans="1:30" s="310" customFormat="1" x14ac:dyDescent="0.25">
      <c r="A90" s="312"/>
      <c r="B90" s="312"/>
      <c r="C90" s="312"/>
      <c r="D90" s="312"/>
      <c r="E90" s="312"/>
      <c r="F90" s="312"/>
      <c r="G90" s="312"/>
      <c r="H90" s="312"/>
      <c r="I90" s="312"/>
      <c r="J90" s="311"/>
      <c r="K90" s="311"/>
      <c r="L90" s="311"/>
      <c r="M90" s="311"/>
      <c r="N90" s="311"/>
      <c r="O90" s="311"/>
      <c r="P90" s="311"/>
      <c r="Q90" s="369">
        <f t="shared" si="3"/>
        <v>43</v>
      </c>
      <c r="R90" s="377">
        <v>750</v>
      </c>
      <c r="S90" s="377">
        <v>787</v>
      </c>
      <c r="T90" s="377">
        <v>806</v>
      </c>
      <c r="U90" s="375">
        <v>825</v>
      </c>
      <c r="V90" s="378">
        <f t="shared" si="4"/>
        <v>88</v>
      </c>
      <c r="W90" s="373"/>
      <c r="X90" s="278"/>
      <c r="Y90" s="311"/>
      <c r="Z90" s="311"/>
      <c r="AA90" s="311"/>
      <c r="AB90" s="311"/>
      <c r="AC90" s="311"/>
      <c r="AD90" s="311"/>
    </row>
    <row r="91" spans="1:30" s="310" customFormat="1" x14ac:dyDescent="0.25">
      <c r="A91" s="312"/>
      <c r="B91" s="312"/>
      <c r="C91" s="312"/>
      <c r="D91" s="312"/>
      <c r="E91" s="312"/>
      <c r="F91" s="312"/>
      <c r="G91" s="312"/>
      <c r="H91" s="312"/>
      <c r="I91" s="312"/>
      <c r="J91" s="311"/>
      <c r="K91" s="311"/>
      <c r="L91" s="311"/>
      <c r="M91" s="311"/>
      <c r="N91" s="311"/>
      <c r="O91" s="311"/>
      <c r="P91" s="311"/>
      <c r="Q91" s="369">
        <f t="shared" si="3"/>
        <v>44</v>
      </c>
      <c r="R91" s="377">
        <v>787</v>
      </c>
      <c r="S91" s="377">
        <v>825</v>
      </c>
      <c r="T91" s="377">
        <v>825</v>
      </c>
      <c r="U91" s="375">
        <v>845</v>
      </c>
      <c r="V91" s="378">
        <f t="shared" si="4"/>
        <v>89</v>
      </c>
      <c r="W91" s="373"/>
      <c r="X91" s="278"/>
      <c r="Y91" s="311"/>
      <c r="Z91" s="311"/>
      <c r="AA91" s="311"/>
      <c r="AB91" s="311"/>
      <c r="AC91" s="311"/>
      <c r="AD91" s="311"/>
    </row>
    <row r="92" spans="1:30" s="310" customFormat="1" x14ac:dyDescent="0.25">
      <c r="A92" s="312"/>
      <c r="B92" s="312"/>
      <c r="C92" s="312"/>
      <c r="D92" s="312"/>
      <c r="E92" s="312"/>
      <c r="F92" s="312"/>
      <c r="G92" s="312"/>
      <c r="H92" s="312"/>
      <c r="I92" s="312"/>
      <c r="J92" s="311"/>
      <c r="K92" s="311"/>
      <c r="L92" s="311"/>
      <c r="M92" s="311"/>
      <c r="N92" s="311"/>
      <c r="O92" s="311"/>
      <c r="P92" s="311"/>
      <c r="Q92" s="369">
        <f t="shared" si="3"/>
        <v>45</v>
      </c>
      <c r="R92" s="377">
        <v>825</v>
      </c>
      <c r="S92" s="377">
        <v>866</v>
      </c>
      <c r="T92" s="377">
        <v>845</v>
      </c>
      <c r="U92" s="375">
        <v>866</v>
      </c>
      <c r="V92" s="378">
        <f t="shared" si="4"/>
        <v>90</v>
      </c>
      <c r="W92" s="373"/>
      <c r="X92" s="278"/>
      <c r="Y92" s="311"/>
      <c r="Z92" s="311"/>
      <c r="AA92" s="311"/>
      <c r="AB92" s="311"/>
      <c r="AC92" s="311"/>
      <c r="AD92" s="311"/>
    </row>
    <row r="93" spans="1:30" s="310" customFormat="1" x14ac:dyDescent="0.25">
      <c r="A93" s="312"/>
      <c r="B93" s="312"/>
      <c r="C93" s="312"/>
      <c r="D93" s="312"/>
      <c r="E93" s="312"/>
      <c r="F93" s="312"/>
      <c r="G93" s="312"/>
      <c r="H93" s="312"/>
      <c r="I93" s="312"/>
      <c r="J93" s="311"/>
      <c r="K93" s="311"/>
      <c r="L93" s="311"/>
      <c r="M93" s="311"/>
      <c r="N93" s="311"/>
      <c r="O93" s="311"/>
      <c r="P93" s="311"/>
      <c r="Q93" s="369">
        <f t="shared" si="3"/>
        <v>46</v>
      </c>
      <c r="R93" s="377">
        <v>866</v>
      </c>
      <c r="S93" s="377">
        <v>909</v>
      </c>
      <c r="T93" s="377">
        <v>866</v>
      </c>
      <c r="U93" s="375">
        <v>887</v>
      </c>
      <c r="V93" s="378">
        <f>V92+1</f>
        <v>91</v>
      </c>
      <c r="W93" s="373"/>
      <c r="X93" s="278"/>
      <c r="Y93" s="311"/>
      <c r="Z93" s="311"/>
      <c r="AA93" s="311"/>
      <c r="AB93" s="311"/>
      <c r="AC93" s="311"/>
      <c r="AD93" s="311"/>
    </row>
    <row r="94" spans="1:30" s="310" customFormat="1" x14ac:dyDescent="0.25">
      <c r="A94" s="312"/>
      <c r="B94" s="312"/>
      <c r="C94" s="312"/>
      <c r="D94" s="312"/>
      <c r="E94" s="312"/>
      <c r="F94" s="312"/>
      <c r="G94" s="312"/>
      <c r="H94" s="312"/>
      <c r="I94" s="312"/>
      <c r="J94" s="311"/>
      <c r="K94" s="311"/>
      <c r="L94" s="311"/>
      <c r="M94" s="311"/>
      <c r="N94" s="311"/>
      <c r="O94" s="311"/>
      <c r="P94" s="311"/>
      <c r="Q94" s="369">
        <f t="shared" si="3"/>
        <v>47</v>
      </c>
      <c r="R94" s="377">
        <v>909</v>
      </c>
      <c r="S94" s="377">
        <v>953</v>
      </c>
      <c r="T94" s="377">
        <v>887</v>
      </c>
      <c r="U94" s="375">
        <v>909</v>
      </c>
      <c r="V94" s="378">
        <f t="shared" ref="V94:V95" si="5">V93+1</f>
        <v>92</v>
      </c>
      <c r="W94" s="373"/>
      <c r="X94" s="278"/>
      <c r="Y94" s="311"/>
      <c r="Z94" s="311"/>
      <c r="AA94" s="311"/>
      <c r="AB94" s="311"/>
      <c r="AC94" s="311"/>
      <c r="AD94" s="311"/>
    </row>
    <row r="95" spans="1:30" s="310" customFormat="1" x14ac:dyDescent="0.25">
      <c r="A95" s="312"/>
      <c r="B95" s="312"/>
      <c r="C95" s="312"/>
      <c r="D95" s="312"/>
      <c r="E95" s="312"/>
      <c r="F95" s="312"/>
      <c r="G95" s="312"/>
      <c r="H95" s="312"/>
      <c r="I95" s="312"/>
      <c r="J95" s="311"/>
      <c r="K95" s="311"/>
      <c r="L95" s="311"/>
      <c r="M95" s="311"/>
      <c r="N95" s="311"/>
      <c r="O95" s="311"/>
      <c r="P95" s="311"/>
      <c r="Q95" s="369">
        <f t="shared" si="3"/>
        <v>48</v>
      </c>
      <c r="R95" s="377">
        <v>953</v>
      </c>
      <c r="S95" s="377">
        <v>1000</v>
      </c>
      <c r="T95" s="377">
        <v>909</v>
      </c>
      <c r="U95" s="375">
        <v>931</v>
      </c>
      <c r="V95" s="378">
        <f t="shared" si="5"/>
        <v>93</v>
      </c>
      <c r="W95" s="373"/>
      <c r="X95" s="278"/>
      <c r="Y95" s="311"/>
      <c r="Z95" s="311"/>
      <c r="AA95" s="311"/>
      <c r="AB95" s="311"/>
      <c r="AC95" s="311"/>
      <c r="AD95" s="311"/>
    </row>
    <row r="96" spans="1:30" s="310" customFormat="1" x14ac:dyDescent="0.25">
      <c r="A96" s="312"/>
      <c r="B96" s="312"/>
      <c r="C96" s="312"/>
      <c r="D96" s="312"/>
      <c r="E96" s="312"/>
      <c r="F96" s="312"/>
      <c r="G96" s="312"/>
      <c r="H96" s="312"/>
      <c r="I96" s="312"/>
      <c r="J96" s="311"/>
      <c r="K96" s="311"/>
      <c r="L96" s="311"/>
      <c r="M96" s="311"/>
      <c r="N96" s="311"/>
      <c r="O96" s="311"/>
      <c r="P96" s="311"/>
      <c r="Q96" s="329"/>
      <c r="R96" s="377"/>
      <c r="S96" s="377"/>
      <c r="T96" s="377">
        <v>931</v>
      </c>
      <c r="U96" s="375">
        <v>953</v>
      </c>
      <c r="V96" s="378">
        <f>V95+1</f>
        <v>94</v>
      </c>
      <c r="W96" s="373"/>
      <c r="X96" s="278"/>
      <c r="Y96" s="311"/>
      <c r="Z96" s="311"/>
      <c r="AA96" s="311"/>
      <c r="AB96" s="311"/>
      <c r="AC96" s="311"/>
      <c r="AD96" s="311"/>
    </row>
    <row r="97" spans="1:30" s="310" customFormat="1" x14ac:dyDescent="0.25">
      <c r="A97" s="312"/>
      <c r="B97" s="312"/>
      <c r="C97" s="312"/>
      <c r="D97" s="312"/>
      <c r="E97" s="312"/>
      <c r="F97" s="312"/>
      <c r="G97" s="312"/>
      <c r="H97" s="312"/>
      <c r="I97" s="312"/>
      <c r="J97" s="311"/>
      <c r="K97" s="311"/>
      <c r="L97" s="311"/>
      <c r="M97" s="311"/>
      <c r="N97" s="311"/>
      <c r="O97" s="311"/>
      <c r="P97" s="311"/>
      <c r="Q97" s="329"/>
      <c r="R97" s="377"/>
      <c r="S97" s="377"/>
      <c r="T97" s="377">
        <v>953</v>
      </c>
      <c r="U97" s="375">
        <v>976</v>
      </c>
      <c r="V97" s="378">
        <f t="shared" ref="V97" si="6">V96+1</f>
        <v>95</v>
      </c>
      <c r="W97" s="373"/>
      <c r="X97" s="278"/>
      <c r="Y97" s="311"/>
      <c r="Z97" s="311"/>
      <c r="AA97" s="311"/>
      <c r="AB97" s="311"/>
      <c r="AC97" s="311"/>
      <c r="AD97" s="311"/>
    </row>
    <row r="98" spans="1:30" s="310" customFormat="1" x14ac:dyDescent="0.25">
      <c r="A98" s="312"/>
      <c r="B98" s="312"/>
      <c r="C98" s="312"/>
      <c r="D98" s="312"/>
      <c r="E98" s="312"/>
      <c r="F98" s="312"/>
      <c r="G98" s="312"/>
      <c r="H98" s="312"/>
      <c r="I98" s="312"/>
      <c r="J98" s="311"/>
      <c r="K98" s="311"/>
      <c r="L98" s="311"/>
      <c r="M98" s="311"/>
      <c r="N98" s="311"/>
      <c r="O98" s="311"/>
      <c r="P98" s="311"/>
      <c r="Q98" s="329"/>
      <c r="R98" s="377"/>
      <c r="S98" s="377"/>
      <c r="T98" s="377">
        <v>976</v>
      </c>
      <c r="U98" s="377">
        <v>1000</v>
      </c>
      <c r="V98" s="378">
        <f>V97+1</f>
        <v>96</v>
      </c>
      <c r="W98" s="373"/>
      <c r="X98" s="278"/>
      <c r="Y98" s="311"/>
      <c r="Z98" s="311"/>
      <c r="AA98" s="311"/>
      <c r="AB98" s="311"/>
      <c r="AC98" s="311"/>
      <c r="AD98" s="311"/>
    </row>
    <row r="99" spans="1:30" s="310" customFormat="1" x14ac:dyDescent="0.25">
      <c r="A99" s="312"/>
      <c r="B99" s="312"/>
      <c r="C99" s="312"/>
      <c r="D99" s="312"/>
      <c r="E99" s="312"/>
      <c r="F99" s="312"/>
      <c r="G99" s="312"/>
      <c r="H99" s="312"/>
      <c r="I99" s="312"/>
      <c r="J99" s="311"/>
      <c r="K99" s="311"/>
      <c r="L99" s="311"/>
      <c r="M99" s="311"/>
      <c r="N99" s="311"/>
      <c r="O99" s="311"/>
      <c r="P99" s="311"/>
      <c r="Q99" s="329"/>
      <c r="R99" s="377"/>
      <c r="S99" s="377"/>
      <c r="T99" s="377"/>
      <c r="U99" s="373"/>
      <c r="V99" s="373"/>
      <c r="W99" s="373"/>
      <c r="X99" s="278"/>
      <c r="Y99" s="311"/>
      <c r="Z99" s="311"/>
      <c r="AA99" s="311"/>
      <c r="AB99" s="311"/>
      <c r="AC99" s="311"/>
      <c r="AD99" s="311"/>
    </row>
    <row r="100" spans="1:30" s="310" customFormat="1" x14ac:dyDescent="0.25">
      <c r="A100" s="312"/>
      <c r="B100" s="312"/>
      <c r="C100" s="312"/>
      <c r="D100" s="312"/>
      <c r="E100" s="312"/>
      <c r="F100" s="312"/>
      <c r="G100" s="312"/>
      <c r="H100" s="312"/>
      <c r="I100" s="312"/>
      <c r="J100" s="311"/>
      <c r="K100" s="311"/>
      <c r="L100" s="311"/>
      <c r="M100" s="311"/>
      <c r="N100" s="311"/>
      <c r="O100" s="311"/>
      <c r="P100" s="311"/>
      <c r="Q100" s="329"/>
      <c r="R100" s="377"/>
      <c r="S100" s="377"/>
      <c r="T100" s="377"/>
      <c r="U100" s="373"/>
      <c r="V100" s="373"/>
      <c r="W100" s="373"/>
      <c r="X100" s="278"/>
      <c r="Y100" s="311"/>
      <c r="Z100" s="311"/>
      <c r="AA100" s="311"/>
      <c r="AB100" s="311"/>
      <c r="AC100" s="311"/>
      <c r="AD100" s="311"/>
    </row>
    <row r="101" spans="1:30" s="310" customFormat="1" x14ac:dyDescent="0.25">
      <c r="A101" s="312"/>
      <c r="B101" s="312"/>
      <c r="C101" s="312"/>
      <c r="D101" s="312"/>
      <c r="E101" s="312"/>
      <c r="F101" s="312"/>
      <c r="G101" s="312"/>
      <c r="H101" s="312"/>
      <c r="I101" s="312"/>
      <c r="J101" s="311"/>
      <c r="K101" s="311"/>
      <c r="L101" s="311"/>
      <c r="M101" s="311"/>
      <c r="N101" s="311"/>
      <c r="O101" s="311"/>
      <c r="P101" s="311"/>
      <c r="Q101" s="329"/>
      <c r="R101" s="377"/>
      <c r="S101" s="377"/>
      <c r="T101" s="377"/>
      <c r="U101" s="373"/>
      <c r="V101" s="373"/>
      <c r="W101" s="373"/>
      <c r="X101" s="278"/>
      <c r="Y101" s="311"/>
      <c r="Z101" s="311"/>
      <c r="AA101" s="311"/>
      <c r="AB101" s="311"/>
      <c r="AC101" s="311"/>
      <c r="AD101" s="311"/>
    </row>
    <row r="102" spans="1:30" s="310" customFormat="1" x14ac:dyDescent="0.25">
      <c r="A102" s="312"/>
      <c r="B102" s="312"/>
      <c r="C102" s="312"/>
      <c r="D102" s="312"/>
      <c r="E102" s="312"/>
      <c r="F102" s="312"/>
      <c r="G102" s="312"/>
      <c r="H102" s="312"/>
      <c r="I102" s="312"/>
      <c r="J102" s="311"/>
      <c r="K102" s="311"/>
      <c r="L102" s="311"/>
      <c r="M102" s="311"/>
      <c r="N102" s="311"/>
      <c r="O102" s="311"/>
      <c r="P102" s="311"/>
      <c r="Q102" s="329"/>
      <c r="R102" s="377"/>
      <c r="S102" s="377"/>
      <c r="T102" s="377"/>
      <c r="U102" s="373"/>
      <c r="V102" s="373"/>
      <c r="W102" s="373"/>
      <c r="X102" s="278"/>
      <c r="Y102" s="311"/>
      <c r="Z102" s="311"/>
      <c r="AA102" s="311"/>
      <c r="AB102" s="311"/>
      <c r="AC102" s="311"/>
      <c r="AD102" s="311"/>
    </row>
    <row r="103" spans="1:30" s="310" customFormat="1" x14ac:dyDescent="0.25">
      <c r="A103" s="312"/>
      <c r="B103" s="312"/>
      <c r="C103" s="312"/>
      <c r="D103" s="312"/>
      <c r="E103" s="312"/>
      <c r="F103" s="312"/>
      <c r="G103" s="312"/>
      <c r="H103" s="312"/>
      <c r="I103" s="312"/>
      <c r="J103" s="311"/>
      <c r="K103" s="311"/>
      <c r="L103" s="311"/>
      <c r="M103" s="311"/>
      <c r="N103" s="311"/>
      <c r="O103" s="311"/>
      <c r="P103" s="311"/>
      <c r="Q103" s="329"/>
      <c r="R103" s="377"/>
      <c r="S103" s="377"/>
      <c r="T103" s="377"/>
      <c r="U103" s="373"/>
      <c r="V103" s="373"/>
      <c r="W103" s="373"/>
      <c r="X103" s="278"/>
      <c r="Y103" s="311"/>
      <c r="Z103" s="311"/>
      <c r="AA103" s="311"/>
      <c r="AB103" s="311"/>
      <c r="AC103" s="311"/>
      <c r="AD103" s="311"/>
    </row>
    <row r="104" spans="1:30" s="310" customFormat="1" x14ac:dyDescent="0.25">
      <c r="A104" s="312"/>
      <c r="B104" s="312"/>
      <c r="C104" s="312"/>
      <c r="D104" s="312"/>
      <c r="E104" s="312"/>
      <c r="F104" s="312"/>
      <c r="G104" s="312"/>
      <c r="H104" s="312"/>
      <c r="I104" s="312"/>
      <c r="J104" s="311"/>
      <c r="K104" s="311"/>
      <c r="L104" s="311"/>
      <c r="M104" s="311"/>
      <c r="N104" s="311"/>
      <c r="O104" s="311"/>
      <c r="P104" s="311"/>
      <c r="Q104" s="329"/>
      <c r="R104" s="377"/>
      <c r="S104" s="377"/>
      <c r="T104" s="377"/>
      <c r="U104" s="373"/>
      <c r="V104" s="373"/>
      <c r="W104" s="373"/>
      <c r="X104" s="278"/>
      <c r="Y104" s="311"/>
      <c r="Z104" s="311"/>
      <c r="AA104" s="311"/>
      <c r="AB104" s="311"/>
      <c r="AC104" s="311"/>
      <c r="AD104" s="311"/>
    </row>
    <row r="105" spans="1:30" s="310" customFormat="1" x14ac:dyDescent="0.25">
      <c r="A105" s="312"/>
      <c r="B105" s="312"/>
      <c r="C105" s="312"/>
      <c r="D105" s="312"/>
      <c r="E105" s="312"/>
      <c r="F105" s="312"/>
      <c r="G105" s="312"/>
      <c r="H105" s="312"/>
      <c r="I105" s="312"/>
      <c r="J105" s="311"/>
      <c r="K105" s="311"/>
      <c r="L105" s="311"/>
      <c r="M105" s="311"/>
      <c r="N105" s="311"/>
      <c r="O105" s="311"/>
      <c r="P105" s="311"/>
      <c r="Q105" s="329"/>
      <c r="R105" s="377"/>
      <c r="S105" s="377"/>
      <c r="T105" s="377"/>
      <c r="U105" s="373"/>
      <c r="V105" s="373"/>
      <c r="W105" s="373"/>
      <c r="X105" s="278"/>
      <c r="Y105" s="311"/>
      <c r="Z105" s="311"/>
      <c r="AA105" s="311"/>
      <c r="AB105" s="311"/>
      <c r="AC105" s="311"/>
      <c r="AD105" s="311"/>
    </row>
    <row r="106" spans="1:30" s="310" customFormat="1" x14ac:dyDescent="0.25">
      <c r="A106" s="312"/>
      <c r="B106" s="312"/>
      <c r="C106" s="312"/>
      <c r="D106" s="312"/>
      <c r="E106" s="312"/>
      <c r="F106" s="312"/>
      <c r="G106" s="312"/>
      <c r="H106" s="312"/>
      <c r="I106" s="312"/>
      <c r="J106" s="311"/>
      <c r="K106" s="311"/>
      <c r="L106" s="311"/>
      <c r="M106" s="311"/>
      <c r="N106" s="311"/>
      <c r="O106" s="311"/>
      <c r="P106" s="311"/>
      <c r="Q106" s="329"/>
      <c r="R106" s="377"/>
      <c r="S106" s="377"/>
      <c r="T106" s="377"/>
      <c r="U106" s="373"/>
      <c r="V106" s="373"/>
      <c r="W106" s="373"/>
      <c r="X106" s="278"/>
      <c r="Y106" s="311"/>
      <c r="Z106" s="311"/>
      <c r="AA106" s="311"/>
      <c r="AB106" s="311"/>
      <c r="AC106" s="311"/>
      <c r="AD106" s="311"/>
    </row>
    <row r="107" spans="1:30" s="310" customFormat="1" x14ac:dyDescent="0.25">
      <c r="A107" s="312"/>
      <c r="B107" s="312"/>
      <c r="C107" s="312"/>
      <c r="D107" s="312"/>
      <c r="E107" s="312"/>
      <c r="F107" s="312"/>
      <c r="G107" s="312"/>
      <c r="H107" s="312"/>
      <c r="I107" s="312"/>
      <c r="J107" s="311"/>
      <c r="K107" s="311"/>
      <c r="L107" s="311"/>
      <c r="M107" s="311"/>
      <c r="N107" s="311"/>
      <c r="O107" s="311"/>
      <c r="P107" s="311"/>
      <c r="Q107" s="329"/>
      <c r="R107" s="377"/>
      <c r="S107" s="377"/>
      <c r="T107" s="377"/>
      <c r="U107" s="373"/>
      <c r="V107" s="373"/>
      <c r="W107" s="373"/>
      <c r="X107" s="278"/>
      <c r="Y107" s="311"/>
      <c r="Z107" s="311"/>
      <c r="AA107" s="311"/>
      <c r="AB107" s="311"/>
      <c r="AC107" s="311"/>
      <c r="AD107" s="311"/>
    </row>
    <row r="108" spans="1:30" s="310" customFormat="1" x14ac:dyDescent="0.25">
      <c r="A108" s="312"/>
      <c r="B108" s="312"/>
      <c r="C108" s="312"/>
      <c r="D108" s="312"/>
      <c r="E108" s="312"/>
      <c r="F108" s="312"/>
      <c r="G108" s="312"/>
      <c r="H108" s="312"/>
      <c r="I108" s="312"/>
      <c r="J108" s="311"/>
      <c r="K108" s="311"/>
      <c r="L108" s="311"/>
      <c r="M108" s="311"/>
      <c r="N108" s="311"/>
      <c r="O108" s="311"/>
      <c r="P108" s="311"/>
      <c r="Q108" s="329"/>
      <c r="R108" s="377"/>
      <c r="S108" s="377"/>
      <c r="T108" s="377"/>
      <c r="U108" s="373"/>
      <c r="V108" s="373"/>
      <c r="W108" s="373"/>
      <c r="X108" s="278"/>
      <c r="Y108" s="311"/>
      <c r="Z108" s="311"/>
      <c r="AA108" s="311"/>
      <c r="AB108" s="311"/>
      <c r="AC108" s="311"/>
      <c r="AD108" s="311"/>
    </row>
    <row r="109" spans="1:30" s="310" customFormat="1" x14ac:dyDescent="0.25">
      <c r="A109" s="312"/>
      <c r="B109" s="312"/>
      <c r="C109" s="312"/>
      <c r="D109" s="312"/>
      <c r="E109" s="312"/>
      <c r="F109" s="312"/>
      <c r="G109" s="312"/>
      <c r="H109" s="312"/>
      <c r="I109" s="312"/>
      <c r="J109" s="311"/>
      <c r="K109" s="311"/>
      <c r="L109" s="311"/>
      <c r="M109" s="311"/>
      <c r="N109" s="311"/>
      <c r="O109" s="311"/>
      <c r="P109" s="311"/>
      <c r="Q109" s="329"/>
      <c r="R109" s="377"/>
      <c r="S109" s="377"/>
      <c r="T109" s="377"/>
      <c r="U109" s="373"/>
      <c r="V109" s="373"/>
      <c r="W109" s="373"/>
      <c r="X109" s="278"/>
      <c r="Y109" s="311"/>
      <c r="Z109" s="311"/>
      <c r="AA109" s="311"/>
      <c r="AB109" s="311"/>
      <c r="AC109" s="311"/>
      <c r="AD109" s="311"/>
    </row>
    <row r="110" spans="1:30" s="310" customFormat="1" x14ac:dyDescent="0.25">
      <c r="A110" s="312"/>
      <c r="B110" s="312"/>
      <c r="C110" s="312"/>
      <c r="D110" s="312"/>
      <c r="E110" s="312"/>
      <c r="F110" s="312"/>
      <c r="G110" s="312"/>
      <c r="H110" s="312"/>
      <c r="I110" s="312"/>
      <c r="J110" s="311"/>
      <c r="K110" s="311"/>
      <c r="L110" s="311"/>
      <c r="M110" s="311"/>
      <c r="N110" s="311"/>
      <c r="O110" s="311"/>
      <c r="P110" s="311"/>
      <c r="Q110" s="329"/>
      <c r="R110" s="377"/>
      <c r="S110" s="377"/>
      <c r="T110" s="377"/>
      <c r="U110" s="373"/>
      <c r="V110" s="373"/>
      <c r="W110" s="373"/>
      <c r="X110" s="278"/>
      <c r="Y110" s="311"/>
      <c r="Z110" s="311"/>
      <c r="AA110" s="311"/>
      <c r="AB110" s="311"/>
      <c r="AC110" s="311"/>
      <c r="AD110" s="311"/>
    </row>
    <row r="111" spans="1:30" s="310" customFormat="1" x14ac:dyDescent="0.25">
      <c r="A111" s="312"/>
      <c r="B111" s="312"/>
      <c r="C111" s="312"/>
      <c r="D111" s="312"/>
      <c r="E111" s="312"/>
      <c r="F111" s="312"/>
      <c r="G111" s="312"/>
      <c r="H111" s="312"/>
      <c r="I111" s="312"/>
      <c r="J111" s="311"/>
      <c r="K111" s="311"/>
      <c r="L111" s="311"/>
      <c r="M111" s="311"/>
      <c r="N111" s="311"/>
      <c r="O111" s="311"/>
      <c r="P111" s="311"/>
      <c r="Q111" s="329"/>
      <c r="R111" s="377"/>
      <c r="S111" s="377"/>
      <c r="T111" s="377"/>
      <c r="U111" s="373"/>
      <c r="V111" s="373"/>
      <c r="W111" s="373"/>
      <c r="X111" s="278"/>
      <c r="Y111" s="311"/>
      <c r="Z111" s="311"/>
      <c r="AA111" s="311"/>
      <c r="AB111" s="311"/>
      <c r="AC111" s="311"/>
      <c r="AD111" s="311"/>
    </row>
    <row r="112" spans="1:30" s="310" customFormat="1" x14ac:dyDescent="0.25">
      <c r="A112" s="312"/>
      <c r="B112" s="312"/>
      <c r="C112" s="312"/>
      <c r="D112" s="312"/>
      <c r="E112" s="312"/>
      <c r="F112" s="312"/>
      <c r="G112" s="312"/>
      <c r="H112" s="312"/>
      <c r="I112" s="312"/>
      <c r="J112" s="311"/>
      <c r="K112" s="311"/>
      <c r="L112" s="311"/>
      <c r="M112" s="311"/>
      <c r="N112" s="311"/>
      <c r="O112" s="311"/>
      <c r="P112" s="311"/>
      <c r="Q112" s="329"/>
      <c r="R112" s="377"/>
      <c r="S112" s="377"/>
      <c r="T112" s="377"/>
      <c r="U112" s="373"/>
      <c r="V112" s="373"/>
      <c r="W112" s="373"/>
      <c r="X112" s="278"/>
      <c r="Y112" s="311"/>
      <c r="Z112" s="311"/>
      <c r="AA112" s="311"/>
      <c r="AB112" s="311"/>
      <c r="AC112" s="311"/>
      <c r="AD112" s="311"/>
    </row>
    <row r="113" spans="1:30" s="310" customFormat="1" x14ac:dyDescent="0.25">
      <c r="A113" s="312"/>
      <c r="B113" s="312"/>
      <c r="C113" s="312"/>
      <c r="D113" s="312"/>
      <c r="E113" s="312"/>
      <c r="F113" s="312"/>
      <c r="G113" s="312"/>
      <c r="H113" s="312"/>
      <c r="I113" s="312"/>
      <c r="J113" s="311"/>
      <c r="K113" s="311"/>
      <c r="L113" s="311"/>
      <c r="M113" s="311"/>
      <c r="N113" s="311"/>
      <c r="O113" s="311"/>
      <c r="P113" s="311"/>
      <c r="Q113" s="329"/>
      <c r="R113" s="377"/>
      <c r="S113" s="377"/>
      <c r="T113" s="377"/>
      <c r="U113" s="373"/>
      <c r="V113" s="373"/>
      <c r="W113" s="373"/>
      <c r="X113" s="278"/>
      <c r="Y113" s="311"/>
      <c r="Z113" s="311"/>
      <c r="AA113" s="311"/>
      <c r="AB113" s="311"/>
      <c r="AC113" s="311"/>
      <c r="AD113" s="311"/>
    </row>
    <row r="114" spans="1:30" s="310" customFormat="1" x14ac:dyDescent="0.25">
      <c r="A114" s="312"/>
      <c r="B114" s="312"/>
      <c r="C114" s="312"/>
      <c r="D114" s="312"/>
      <c r="E114" s="312"/>
      <c r="F114" s="312"/>
      <c r="G114" s="312"/>
      <c r="H114" s="312"/>
      <c r="I114" s="312"/>
      <c r="J114" s="311"/>
      <c r="K114" s="311"/>
      <c r="L114" s="311"/>
      <c r="M114" s="311"/>
      <c r="N114" s="311"/>
      <c r="O114" s="311"/>
      <c r="P114" s="311"/>
      <c r="Q114" s="329"/>
      <c r="R114" s="377"/>
      <c r="S114" s="377"/>
      <c r="T114" s="377"/>
      <c r="U114" s="373"/>
      <c r="V114" s="373"/>
      <c r="W114" s="373"/>
      <c r="X114" s="278"/>
      <c r="Y114" s="311"/>
      <c r="Z114" s="311"/>
      <c r="AA114" s="311"/>
      <c r="AB114" s="311"/>
      <c r="AC114" s="311"/>
      <c r="AD114" s="311"/>
    </row>
    <row r="115" spans="1:30" s="310" customFormat="1" x14ac:dyDescent="0.25">
      <c r="A115" s="312"/>
      <c r="B115" s="312"/>
      <c r="C115" s="312"/>
      <c r="D115" s="312"/>
      <c r="E115" s="312"/>
      <c r="F115" s="312"/>
      <c r="G115" s="312"/>
      <c r="H115" s="312"/>
      <c r="I115" s="312"/>
      <c r="J115" s="311"/>
      <c r="K115" s="311"/>
      <c r="L115" s="311"/>
      <c r="M115" s="311"/>
      <c r="N115" s="311"/>
      <c r="O115" s="311"/>
      <c r="P115" s="311"/>
      <c r="Q115" s="329"/>
      <c r="R115" s="377"/>
      <c r="S115" s="377"/>
      <c r="T115" s="377"/>
      <c r="U115" s="373"/>
      <c r="V115" s="373"/>
      <c r="W115" s="373"/>
      <c r="X115" s="278"/>
      <c r="Y115" s="311"/>
      <c r="Z115" s="311"/>
      <c r="AA115" s="311"/>
      <c r="AB115" s="311"/>
      <c r="AC115" s="311"/>
      <c r="AD115" s="311"/>
    </row>
    <row r="116" spans="1:30" s="310" customFormat="1" x14ac:dyDescent="0.25">
      <c r="A116" s="312"/>
      <c r="B116" s="312"/>
      <c r="C116" s="312"/>
      <c r="D116" s="312"/>
      <c r="E116" s="312"/>
      <c r="F116" s="312"/>
      <c r="G116" s="312"/>
      <c r="H116" s="312"/>
      <c r="I116" s="312"/>
      <c r="J116" s="311"/>
      <c r="K116" s="311"/>
      <c r="L116" s="311"/>
      <c r="M116" s="311"/>
      <c r="N116" s="311"/>
      <c r="O116" s="311"/>
      <c r="P116" s="311"/>
      <c r="Q116" s="329"/>
      <c r="R116" s="377"/>
      <c r="S116" s="377"/>
      <c r="T116" s="377"/>
      <c r="U116" s="373"/>
      <c r="V116" s="373"/>
      <c r="W116" s="373"/>
      <c r="X116" s="278"/>
      <c r="Y116" s="311"/>
      <c r="Z116" s="311"/>
      <c r="AA116" s="311"/>
      <c r="AB116" s="311"/>
      <c r="AC116" s="311"/>
      <c r="AD116" s="311"/>
    </row>
    <row r="117" spans="1:30" s="310" customFormat="1" x14ac:dyDescent="0.25">
      <c r="A117" s="312"/>
      <c r="B117" s="312"/>
      <c r="C117" s="312"/>
      <c r="D117" s="312"/>
      <c r="E117" s="312"/>
      <c r="F117" s="312"/>
      <c r="G117" s="312"/>
      <c r="H117" s="312"/>
      <c r="I117" s="312"/>
      <c r="J117" s="311"/>
      <c r="K117" s="311"/>
      <c r="L117" s="311"/>
      <c r="M117" s="311"/>
      <c r="N117" s="311"/>
      <c r="O117" s="311"/>
      <c r="P117" s="311"/>
      <c r="Q117" s="329"/>
      <c r="R117" s="377"/>
      <c r="S117" s="377"/>
      <c r="T117" s="377"/>
      <c r="U117" s="373"/>
      <c r="V117" s="373"/>
      <c r="W117" s="373"/>
      <c r="X117" s="278"/>
      <c r="Y117" s="311"/>
      <c r="Z117" s="311"/>
      <c r="AA117" s="311"/>
      <c r="AB117" s="311"/>
      <c r="AC117" s="311"/>
      <c r="AD117" s="311"/>
    </row>
    <row r="118" spans="1:30" s="310" customFormat="1" x14ac:dyDescent="0.25">
      <c r="A118" s="312"/>
      <c r="B118" s="312"/>
      <c r="C118" s="312"/>
      <c r="D118" s="312"/>
      <c r="E118" s="312"/>
      <c r="F118" s="312"/>
      <c r="G118" s="312"/>
      <c r="H118" s="312"/>
      <c r="I118" s="312"/>
      <c r="J118" s="311"/>
      <c r="K118" s="311"/>
      <c r="L118" s="311"/>
      <c r="M118" s="311"/>
      <c r="N118" s="311"/>
      <c r="O118" s="311"/>
      <c r="P118" s="311"/>
      <c r="Q118" s="329"/>
      <c r="R118" s="377"/>
      <c r="S118" s="377"/>
      <c r="T118" s="377"/>
      <c r="U118" s="373"/>
      <c r="V118" s="373"/>
      <c r="W118" s="373"/>
      <c r="X118" s="278"/>
      <c r="Y118" s="311"/>
      <c r="Z118" s="311"/>
      <c r="AA118" s="311"/>
      <c r="AB118" s="311"/>
      <c r="AC118" s="311"/>
      <c r="AD118" s="311"/>
    </row>
    <row r="119" spans="1:30" s="310" customFormat="1" x14ac:dyDescent="0.25">
      <c r="A119" s="312"/>
      <c r="B119" s="312"/>
      <c r="C119" s="312"/>
      <c r="D119" s="312"/>
      <c r="E119" s="312"/>
      <c r="F119" s="312"/>
      <c r="G119" s="312"/>
      <c r="H119" s="312"/>
      <c r="I119" s="312"/>
      <c r="J119" s="311"/>
      <c r="K119" s="311"/>
      <c r="L119" s="311"/>
      <c r="M119" s="311"/>
      <c r="N119" s="311"/>
      <c r="O119" s="311"/>
      <c r="P119" s="311"/>
      <c r="Q119" s="329"/>
      <c r="R119" s="377"/>
      <c r="S119" s="377"/>
      <c r="T119" s="377"/>
      <c r="U119" s="373"/>
      <c r="V119" s="373"/>
      <c r="W119" s="373"/>
      <c r="X119" s="278"/>
      <c r="Y119" s="311"/>
      <c r="Z119" s="311"/>
      <c r="AA119" s="311"/>
      <c r="AB119" s="311"/>
      <c r="AC119" s="311"/>
      <c r="AD119" s="311"/>
    </row>
    <row r="120" spans="1:30" s="310" customFormat="1" x14ac:dyDescent="0.25">
      <c r="A120" s="312"/>
      <c r="B120" s="312"/>
      <c r="C120" s="312"/>
      <c r="D120" s="312"/>
      <c r="E120" s="312"/>
      <c r="F120" s="312"/>
      <c r="G120" s="312"/>
      <c r="H120" s="312"/>
      <c r="I120" s="312"/>
      <c r="J120" s="311"/>
      <c r="K120" s="311"/>
      <c r="L120" s="311"/>
      <c r="M120" s="311"/>
      <c r="N120" s="311"/>
      <c r="O120" s="311"/>
      <c r="P120" s="311"/>
      <c r="Q120" s="329"/>
      <c r="R120" s="377"/>
      <c r="S120" s="377"/>
      <c r="T120" s="377"/>
      <c r="U120" s="373"/>
      <c r="V120" s="373"/>
      <c r="W120" s="373"/>
      <c r="X120" s="278"/>
      <c r="Y120" s="311"/>
      <c r="Z120" s="311"/>
      <c r="AA120" s="311"/>
      <c r="AB120" s="311"/>
      <c r="AC120" s="311"/>
      <c r="AD120" s="311"/>
    </row>
    <row r="121" spans="1:30" s="310" customFormat="1" x14ac:dyDescent="0.25">
      <c r="A121" s="312"/>
      <c r="B121" s="312"/>
      <c r="C121" s="312"/>
      <c r="D121" s="312"/>
      <c r="E121" s="312"/>
      <c r="F121" s="312"/>
      <c r="G121" s="312"/>
      <c r="H121" s="312"/>
      <c r="I121" s="312"/>
      <c r="J121" s="311"/>
      <c r="K121" s="311"/>
      <c r="L121" s="311"/>
      <c r="M121" s="311"/>
      <c r="N121" s="311"/>
      <c r="O121" s="311"/>
      <c r="P121" s="311"/>
      <c r="Q121" s="329"/>
      <c r="R121" s="377"/>
      <c r="S121" s="377"/>
      <c r="T121" s="377"/>
      <c r="U121" s="373"/>
      <c r="V121" s="373"/>
      <c r="W121" s="373"/>
      <c r="X121" s="278"/>
      <c r="Y121" s="311"/>
      <c r="Z121" s="311"/>
      <c r="AA121" s="311"/>
      <c r="AB121" s="311"/>
      <c r="AC121" s="311"/>
      <c r="AD121" s="311"/>
    </row>
    <row r="122" spans="1:30" s="310" customFormat="1" x14ac:dyDescent="0.25">
      <c r="A122" s="312"/>
      <c r="B122" s="312"/>
      <c r="C122" s="312"/>
      <c r="D122" s="312"/>
      <c r="E122" s="312"/>
      <c r="F122" s="312"/>
      <c r="G122" s="312"/>
      <c r="H122" s="312"/>
      <c r="I122" s="312"/>
      <c r="J122" s="311"/>
      <c r="K122" s="311"/>
      <c r="L122" s="311"/>
      <c r="M122" s="311"/>
      <c r="N122" s="311"/>
      <c r="O122" s="311"/>
      <c r="P122" s="311"/>
      <c r="Q122" s="329"/>
      <c r="R122" s="377"/>
      <c r="S122" s="377"/>
      <c r="T122" s="377"/>
      <c r="U122" s="373"/>
      <c r="V122" s="373"/>
      <c r="W122" s="373"/>
      <c r="X122" s="278"/>
      <c r="Y122" s="311"/>
      <c r="Z122" s="311"/>
      <c r="AA122" s="311"/>
      <c r="AB122" s="311"/>
      <c r="AC122" s="311"/>
      <c r="AD122" s="311"/>
    </row>
    <row r="123" spans="1:30" s="310" customFormat="1" x14ac:dyDescent="0.25">
      <c r="A123" s="312"/>
      <c r="B123" s="312"/>
      <c r="C123" s="312"/>
      <c r="D123" s="312"/>
      <c r="E123" s="312"/>
      <c r="F123" s="312"/>
      <c r="G123" s="312"/>
      <c r="H123" s="312"/>
      <c r="I123" s="312"/>
      <c r="J123" s="311"/>
      <c r="K123" s="311"/>
      <c r="L123" s="311"/>
      <c r="M123" s="311"/>
      <c r="N123" s="311"/>
      <c r="O123" s="311"/>
      <c r="P123" s="311"/>
      <c r="Q123" s="329"/>
      <c r="R123" s="377"/>
      <c r="S123" s="377"/>
      <c r="T123" s="377"/>
      <c r="U123" s="373"/>
      <c r="V123" s="373"/>
      <c r="W123" s="373"/>
      <c r="X123" s="278"/>
      <c r="Y123" s="311"/>
      <c r="Z123" s="311"/>
      <c r="AA123" s="311"/>
      <c r="AB123" s="311"/>
      <c r="AC123" s="311"/>
      <c r="AD123" s="311"/>
    </row>
    <row r="124" spans="1:30" s="310" customFormat="1" x14ac:dyDescent="0.25">
      <c r="A124" s="312"/>
      <c r="B124" s="312"/>
      <c r="C124" s="312"/>
      <c r="D124" s="312"/>
      <c r="E124" s="312"/>
      <c r="F124" s="312"/>
      <c r="G124" s="312"/>
      <c r="H124" s="312"/>
      <c r="I124" s="312"/>
      <c r="J124" s="311"/>
      <c r="K124" s="311"/>
      <c r="L124" s="311"/>
      <c r="M124" s="311"/>
      <c r="N124" s="311"/>
      <c r="O124" s="311"/>
      <c r="P124" s="311"/>
      <c r="Q124" s="329"/>
      <c r="R124" s="377"/>
      <c r="S124" s="377"/>
      <c r="T124" s="377"/>
      <c r="U124" s="373"/>
      <c r="V124" s="373"/>
      <c r="W124" s="373"/>
      <c r="X124" s="278"/>
      <c r="Y124" s="311"/>
      <c r="Z124" s="311"/>
      <c r="AA124" s="311"/>
      <c r="AB124" s="311"/>
      <c r="AC124" s="311"/>
      <c r="AD124" s="311"/>
    </row>
    <row r="125" spans="1:30" s="310" customFormat="1" x14ac:dyDescent="0.25">
      <c r="A125" s="312"/>
      <c r="B125" s="312"/>
      <c r="C125" s="312"/>
      <c r="D125" s="312"/>
      <c r="E125" s="312"/>
      <c r="F125" s="312"/>
      <c r="G125" s="312"/>
      <c r="H125" s="312"/>
      <c r="I125" s="312"/>
      <c r="J125" s="311"/>
      <c r="K125" s="311"/>
      <c r="L125" s="311"/>
      <c r="M125" s="311"/>
      <c r="N125" s="311"/>
      <c r="O125" s="311"/>
      <c r="P125" s="311"/>
      <c r="Q125" s="329"/>
      <c r="R125" s="377"/>
      <c r="S125" s="377"/>
      <c r="T125" s="377"/>
      <c r="U125" s="373"/>
      <c r="V125" s="373"/>
      <c r="W125" s="373"/>
      <c r="X125" s="278"/>
      <c r="Y125" s="311"/>
      <c r="Z125" s="311"/>
      <c r="AA125" s="311"/>
      <c r="AB125" s="311"/>
      <c r="AC125" s="311"/>
      <c r="AD125" s="311"/>
    </row>
    <row r="126" spans="1:30" s="310" customFormat="1" x14ac:dyDescent="0.25">
      <c r="A126" s="312"/>
      <c r="B126" s="312"/>
      <c r="C126" s="312"/>
      <c r="D126" s="312"/>
      <c r="E126" s="312"/>
      <c r="F126" s="312"/>
      <c r="G126" s="312"/>
      <c r="H126" s="312"/>
      <c r="I126" s="312"/>
      <c r="J126" s="311"/>
      <c r="K126" s="311"/>
      <c r="L126" s="311"/>
      <c r="M126" s="311"/>
      <c r="N126" s="311"/>
      <c r="O126" s="311"/>
      <c r="P126" s="311"/>
      <c r="Q126" s="329"/>
      <c r="R126" s="377"/>
      <c r="S126" s="377"/>
      <c r="T126" s="377"/>
      <c r="U126" s="373"/>
      <c r="V126" s="373"/>
      <c r="W126" s="373"/>
      <c r="X126" s="278"/>
      <c r="Y126" s="311"/>
      <c r="Z126" s="311"/>
      <c r="AA126" s="311"/>
      <c r="AB126" s="311"/>
      <c r="AC126" s="311"/>
      <c r="AD126" s="311"/>
    </row>
    <row r="127" spans="1:30" s="310" customFormat="1" x14ac:dyDescent="0.25">
      <c r="A127" s="312"/>
      <c r="B127" s="312"/>
      <c r="C127" s="312"/>
      <c r="D127" s="312"/>
      <c r="E127" s="312"/>
      <c r="F127" s="312"/>
      <c r="G127" s="312"/>
      <c r="H127" s="312"/>
      <c r="I127" s="312"/>
      <c r="J127" s="311"/>
      <c r="K127" s="311"/>
      <c r="L127" s="311"/>
      <c r="M127" s="311"/>
      <c r="N127" s="311"/>
      <c r="O127" s="311"/>
      <c r="P127" s="311"/>
      <c r="Q127" s="329"/>
      <c r="R127" s="377"/>
      <c r="S127" s="377"/>
      <c r="T127" s="377"/>
      <c r="U127" s="373"/>
      <c r="V127" s="373"/>
      <c r="W127" s="373"/>
      <c r="X127" s="278"/>
      <c r="Y127" s="311"/>
      <c r="Z127" s="311"/>
      <c r="AA127" s="311"/>
      <c r="AB127" s="311"/>
      <c r="AC127" s="311"/>
      <c r="AD127" s="311"/>
    </row>
    <row r="128" spans="1:30" s="310" customFormat="1" x14ac:dyDescent="0.25">
      <c r="A128" s="312"/>
      <c r="B128" s="312"/>
      <c r="C128" s="312"/>
      <c r="D128" s="312"/>
      <c r="E128" s="312"/>
      <c r="F128" s="312"/>
      <c r="G128" s="312"/>
      <c r="H128" s="312"/>
      <c r="I128" s="312"/>
      <c r="J128" s="311"/>
      <c r="K128" s="311"/>
      <c r="L128" s="311"/>
      <c r="M128" s="311"/>
      <c r="N128" s="311"/>
      <c r="O128" s="311"/>
      <c r="P128" s="311"/>
      <c r="Q128" s="329"/>
      <c r="R128" s="377"/>
      <c r="S128" s="377"/>
      <c r="T128" s="377"/>
      <c r="U128" s="373"/>
      <c r="V128" s="373"/>
      <c r="W128" s="373"/>
      <c r="X128" s="278"/>
      <c r="Y128" s="311"/>
      <c r="Z128" s="311"/>
      <c r="AA128" s="311"/>
      <c r="AB128" s="311"/>
      <c r="AC128" s="311"/>
      <c r="AD128" s="311"/>
    </row>
    <row r="129" spans="1:30" s="310" customFormat="1" x14ac:dyDescent="0.25">
      <c r="A129" s="312"/>
      <c r="B129" s="312"/>
      <c r="C129" s="312"/>
      <c r="D129" s="312"/>
      <c r="E129" s="312"/>
      <c r="F129" s="312"/>
      <c r="G129" s="312"/>
      <c r="H129" s="312"/>
      <c r="I129" s="312"/>
      <c r="J129" s="311"/>
      <c r="K129" s="311"/>
      <c r="L129" s="311"/>
      <c r="M129" s="311"/>
      <c r="N129" s="311"/>
      <c r="O129" s="311"/>
      <c r="P129" s="311"/>
      <c r="Q129" s="329"/>
      <c r="R129" s="377"/>
      <c r="S129" s="377"/>
      <c r="T129" s="377"/>
      <c r="U129" s="373"/>
      <c r="V129" s="373"/>
      <c r="W129" s="373"/>
      <c r="X129" s="278"/>
      <c r="Y129" s="311"/>
      <c r="Z129" s="311"/>
      <c r="AA129" s="311"/>
      <c r="AB129" s="311"/>
      <c r="AC129" s="311"/>
      <c r="AD129" s="311"/>
    </row>
    <row r="130" spans="1:30" s="310" customFormat="1" x14ac:dyDescent="0.25">
      <c r="A130" s="312"/>
      <c r="B130" s="312"/>
      <c r="C130" s="312"/>
      <c r="D130" s="312"/>
      <c r="E130" s="312"/>
      <c r="F130" s="312"/>
      <c r="G130" s="312"/>
      <c r="H130" s="312"/>
      <c r="I130" s="312"/>
      <c r="J130" s="311"/>
      <c r="K130" s="311"/>
      <c r="L130" s="311"/>
      <c r="M130" s="311"/>
      <c r="N130" s="311"/>
      <c r="O130" s="311"/>
      <c r="P130" s="311"/>
      <c r="Q130" s="329"/>
      <c r="R130" s="377"/>
      <c r="S130" s="377"/>
      <c r="T130" s="377"/>
      <c r="U130" s="373"/>
      <c r="V130" s="373"/>
      <c r="W130" s="373"/>
      <c r="X130" s="278"/>
      <c r="Y130" s="311"/>
      <c r="Z130" s="311"/>
      <c r="AA130" s="311"/>
      <c r="AB130" s="311"/>
      <c r="AC130" s="311"/>
      <c r="AD130" s="311"/>
    </row>
    <row r="131" spans="1:30" s="310" customFormat="1" x14ac:dyDescent="0.25">
      <c r="A131" s="312"/>
      <c r="B131" s="312"/>
      <c r="C131" s="312"/>
      <c r="D131" s="312"/>
      <c r="E131" s="312"/>
      <c r="F131" s="312"/>
      <c r="G131" s="312"/>
      <c r="H131" s="312"/>
      <c r="I131" s="312"/>
      <c r="J131" s="311"/>
      <c r="K131" s="311"/>
      <c r="L131" s="311"/>
      <c r="M131" s="311"/>
      <c r="N131" s="311"/>
      <c r="O131" s="311"/>
      <c r="P131" s="311"/>
      <c r="Q131" s="329"/>
      <c r="R131" s="377"/>
      <c r="S131" s="377"/>
      <c r="T131" s="377"/>
      <c r="U131" s="373"/>
      <c r="V131" s="373"/>
      <c r="W131" s="373"/>
      <c r="X131" s="278"/>
      <c r="Y131" s="311"/>
      <c r="Z131" s="311"/>
      <c r="AA131" s="311"/>
      <c r="AB131" s="311"/>
      <c r="AC131" s="311"/>
      <c r="AD131" s="311"/>
    </row>
    <row r="132" spans="1:30" s="310" customFormat="1" x14ac:dyDescent="0.25">
      <c r="A132" s="312"/>
      <c r="B132" s="312"/>
      <c r="C132" s="312"/>
      <c r="D132" s="312"/>
      <c r="E132" s="312"/>
      <c r="F132" s="312"/>
      <c r="G132" s="312"/>
      <c r="H132" s="312"/>
      <c r="I132" s="312"/>
      <c r="J132" s="311"/>
      <c r="K132" s="311"/>
      <c r="L132" s="311"/>
      <c r="M132" s="311"/>
      <c r="N132" s="311"/>
      <c r="O132" s="311"/>
      <c r="P132" s="311"/>
      <c r="Q132" s="329"/>
      <c r="R132" s="377"/>
      <c r="S132" s="377"/>
      <c r="T132" s="377"/>
      <c r="U132" s="373"/>
      <c r="V132" s="373"/>
      <c r="W132" s="373"/>
      <c r="X132" s="278"/>
      <c r="Y132" s="311"/>
      <c r="Z132" s="311"/>
      <c r="AA132" s="311"/>
      <c r="AB132" s="311"/>
      <c r="AC132" s="311"/>
      <c r="AD132" s="311"/>
    </row>
    <row r="133" spans="1:30" s="310" customFormat="1" x14ac:dyDescent="0.25">
      <c r="A133" s="312"/>
      <c r="B133" s="312"/>
      <c r="C133" s="312"/>
      <c r="D133" s="312"/>
      <c r="E133" s="312"/>
      <c r="F133" s="312"/>
      <c r="G133" s="312"/>
      <c r="H133" s="312"/>
      <c r="I133" s="312"/>
      <c r="J133" s="311"/>
      <c r="K133" s="311"/>
      <c r="L133" s="311"/>
      <c r="M133" s="311"/>
      <c r="N133" s="311"/>
      <c r="O133" s="311"/>
      <c r="P133" s="311"/>
      <c r="Q133" s="329"/>
      <c r="R133" s="377"/>
      <c r="S133" s="377"/>
      <c r="T133" s="377"/>
      <c r="U133" s="373"/>
      <c r="V133" s="373"/>
      <c r="W133" s="373"/>
      <c r="X133" s="278"/>
      <c r="Y133" s="311"/>
      <c r="Z133" s="311"/>
      <c r="AA133" s="311"/>
      <c r="AB133" s="311"/>
      <c r="AC133" s="311"/>
      <c r="AD133" s="311"/>
    </row>
    <row r="134" spans="1:30" s="310" customFormat="1" x14ac:dyDescent="0.25">
      <c r="A134" s="312"/>
      <c r="B134" s="312"/>
      <c r="C134" s="312"/>
      <c r="D134" s="312"/>
      <c r="E134" s="312"/>
      <c r="F134" s="312"/>
      <c r="G134" s="312"/>
      <c r="H134" s="312"/>
      <c r="I134" s="312"/>
      <c r="J134" s="311"/>
      <c r="K134" s="311"/>
      <c r="L134" s="311"/>
      <c r="M134" s="311"/>
      <c r="N134" s="311"/>
      <c r="O134" s="311"/>
      <c r="P134" s="311"/>
      <c r="Q134" s="329"/>
      <c r="R134" s="377"/>
      <c r="S134" s="377"/>
      <c r="T134" s="377"/>
      <c r="U134" s="373"/>
      <c r="V134" s="373"/>
      <c r="W134" s="373"/>
      <c r="X134" s="278"/>
      <c r="Y134" s="311"/>
      <c r="Z134" s="311"/>
      <c r="AA134" s="311"/>
      <c r="AB134" s="311"/>
      <c r="AC134" s="311"/>
      <c r="AD134" s="311"/>
    </row>
    <row r="135" spans="1:30" s="310" customFormat="1" x14ac:dyDescent="0.25">
      <c r="A135" s="312"/>
      <c r="B135" s="312"/>
      <c r="C135" s="312"/>
      <c r="D135" s="312"/>
      <c r="E135" s="312"/>
      <c r="F135" s="312"/>
      <c r="G135" s="312"/>
      <c r="H135" s="312"/>
      <c r="I135" s="312"/>
      <c r="J135" s="311"/>
      <c r="K135" s="311"/>
      <c r="L135" s="311"/>
      <c r="M135" s="311"/>
      <c r="N135" s="311"/>
      <c r="O135" s="311"/>
      <c r="P135" s="311"/>
      <c r="Q135" s="329"/>
      <c r="R135" s="377"/>
      <c r="S135" s="377"/>
      <c r="T135" s="377"/>
      <c r="U135" s="373"/>
      <c r="V135" s="373"/>
      <c r="W135" s="373"/>
      <c r="X135" s="278"/>
      <c r="Y135" s="311"/>
      <c r="Z135" s="311"/>
      <c r="AA135" s="311"/>
      <c r="AB135" s="311"/>
      <c r="AC135" s="311"/>
      <c r="AD135" s="311"/>
    </row>
    <row r="136" spans="1:30" s="310" customFormat="1" x14ac:dyDescent="0.25">
      <c r="A136" s="312"/>
      <c r="B136" s="312"/>
      <c r="C136" s="312"/>
      <c r="D136" s="312"/>
      <c r="E136" s="312"/>
      <c r="F136" s="312"/>
      <c r="G136" s="312"/>
      <c r="H136" s="312"/>
      <c r="I136" s="312"/>
      <c r="J136" s="311"/>
      <c r="K136" s="311"/>
      <c r="L136" s="311"/>
      <c r="M136" s="311"/>
      <c r="N136" s="311"/>
      <c r="O136" s="311"/>
      <c r="P136" s="311"/>
      <c r="Q136" s="329"/>
      <c r="R136" s="377"/>
      <c r="S136" s="377"/>
      <c r="T136" s="377"/>
      <c r="U136" s="373"/>
      <c r="V136" s="373"/>
      <c r="W136" s="373"/>
      <c r="X136" s="278"/>
      <c r="Y136" s="311"/>
      <c r="Z136" s="311"/>
      <c r="AA136" s="311"/>
      <c r="AB136" s="311"/>
      <c r="AC136" s="311"/>
      <c r="AD136" s="311"/>
    </row>
    <row r="137" spans="1:30" s="310" customFormat="1" x14ac:dyDescent="0.25">
      <c r="A137" s="312"/>
      <c r="B137" s="312"/>
      <c r="C137" s="312"/>
      <c r="D137" s="312"/>
      <c r="E137" s="312"/>
      <c r="F137" s="312"/>
      <c r="G137" s="312"/>
      <c r="H137" s="312"/>
      <c r="I137" s="312"/>
      <c r="J137" s="311"/>
      <c r="K137" s="311"/>
      <c r="L137" s="311"/>
      <c r="M137" s="311"/>
      <c r="N137" s="311"/>
      <c r="O137" s="311"/>
      <c r="P137" s="311"/>
      <c r="Q137" s="329"/>
      <c r="R137" s="377"/>
      <c r="S137" s="377"/>
      <c r="T137" s="377"/>
      <c r="U137" s="373"/>
      <c r="V137" s="373"/>
      <c r="W137" s="373"/>
      <c r="X137" s="278"/>
      <c r="Y137" s="311"/>
      <c r="Z137" s="311"/>
      <c r="AA137" s="311"/>
      <c r="AB137" s="311"/>
      <c r="AC137" s="311"/>
      <c r="AD137" s="311"/>
    </row>
    <row r="138" spans="1:30" s="310" customFormat="1" x14ac:dyDescent="0.25">
      <c r="A138" s="312"/>
      <c r="B138" s="312"/>
      <c r="C138" s="312"/>
      <c r="D138" s="312"/>
      <c r="E138" s="312"/>
      <c r="F138" s="312"/>
      <c r="G138" s="312"/>
      <c r="H138" s="312"/>
      <c r="I138" s="312"/>
      <c r="J138" s="311"/>
      <c r="K138" s="311"/>
      <c r="L138" s="311"/>
      <c r="M138" s="311"/>
      <c r="N138" s="311"/>
      <c r="O138" s="311"/>
      <c r="P138" s="311"/>
      <c r="Q138" s="329"/>
      <c r="R138" s="377"/>
      <c r="S138" s="377"/>
      <c r="T138" s="377"/>
      <c r="U138" s="373"/>
      <c r="V138" s="373"/>
      <c r="W138" s="373"/>
      <c r="X138" s="278"/>
      <c r="Y138" s="311"/>
      <c r="Z138" s="311"/>
      <c r="AA138" s="311"/>
      <c r="AB138" s="311"/>
      <c r="AC138" s="311"/>
      <c r="AD138" s="311"/>
    </row>
    <row r="139" spans="1:30" s="310" customFormat="1" x14ac:dyDescent="0.25">
      <c r="A139" s="312"/>
      <c r="B139" s="312"/>
      <c r="C139" s="312"/>
      <c r="D139" s="312"/>
      <c r="E139" s="312"/>
      <c r="F139" s="312"/>
      <c r="G139" s="312"/>
      <c r="H139" s="312"/>
      <c r="I139" s="312"/>
      <c r="J139" s="311"/>
      <c r="K139" s="311"/>
      <c r="L139" s="311"/>
      <c r="M139" s="311"/>
      <c r="N139" s="311"/>
      <c r="O139" s="311"/>
      <c r="P139" s="311"/>
      <c r="Q139" s="329"/>
      <c r="R139" s="377"/>
      <c r="S139" s="377"/>
      <c r="T139" s="377"/>
      <c r="U139" s="373"/>
      <c r="V139" s="373"/>
      <c r="W139" s="373"/>
      <c r="X139" s="278"/>
      <c r="Y139" s="311"/>
      <c r="Z139" s="311"/>
      <c r="AA139" s="311"/>
      <c r="AB139" s="311"/>
      <c r="AC139" s="311"/>
      <c r="AD139" s="311"/>
    </row>
    <row r="140" spans="1:30" s="310" customFormat="1" x14ac:dyDescent="0.25">
      <c r="A140" s="312"/>
      <c r="B140" s="312"/>
      <c r="C140" s="312"/>
      <c r="D140" s="312"/>
      <c r="E140" s="312"/>
      <c r="F140" s="312"/>
      <c r="G140" s="312"/>
      <c r="H140" s="312"/>
      <c r="I140" s="312"/>
      <c r="J140" s="311"/>
      <c r="K140" s="311"/>
      <c r="L140" s="311"/>
      <c r="M140" s="311"/>
      <c r="N140" s="311"/>
      <c r="O140" s="311"/>
      <c r="P140" s="311"/>
      <c r="Q140" s="329"/>
      <c r="R140" s="377"/>
      <c r="S140" s="377"/>
      <c r="T140" s="377"/>
      <c r="U140" s="373"/>
      <c r="V140" s="373"/>
      <c r="W140" s="373"/>
      <c r="X140" s="278"/>
      <c r="Y140" s="311"/>
      <c r="Z140" s="311"/>
      <c r="AA140" s="311"/>
      <c r="AB140" s="311"/>
      <c r="AC140" s="311"/>
      <c r="AD140" s="311"/>
    </row>
    <row r="141" spans="1:30" s="310" customFormat="1" x14ac:dyDescent="0.25">
      <c r="A141" s="312"/>
      <c r="B141" s="312"/>
      <c r="C141" s="312"/>
      <c r="D141" s="312"/>
      <c r="E141" s="312"/>
      <c r="F141" s="312"/>
      <c r="G141" s="312"/>
      <c r="H141" s="312"/>
      <c r="I141" s="312"/>
      <c r="J141" s="311"/>
      <c r="K141" s="311"/>
      <c r="L141" s="311"/>
      <c r="M141" s="311"/>
      <c r="N141" s="311"/>
      <c r="O141" s="311"/>
      <c r="P141" s="311"/>
      <c r="Q141" s="329"/>
      <c r="R141" s="377"/>
      <c r="S141" s="377"/>
      <c r="T141" s="377"/>
      <c r="U141" s="373"/>
      <c r="V141" s="373"/>
      <c r="W141" s="373"/>
      <c r="X141" s="278"/>
      <c r="Y141" s="311"/>
      <c r="Z141" s="311"/>
      <c r="AA141" s="311"/>
      <c r="AB141" s="311"/>
      <c r="AC141" s="311"/>
      <c r="AD141" s="311"/>
    </row>
    <row r="142" spans="1:30" s="310" customFormat="1" x14ac:dyDescent="0.25">
      <c r="A142" s="312"/>
      <c r="B142" s="312"/>
      <c r="C142" s="312"/>
      <c r="D142" s="312"/>
      <c r="E142" s="312"/>
      <c r="F142" s="312"/>
      <c r="G142" s="312"/>
      <c r="H142" s="312"/>
      <c r="I142" s="312"/>
      <c r="J142" s="311"/>
      <c r="K142" s="311"/>
      <c r="L142" s="311"/>
      <c r="M142" s="311"/>
      <c r="N142" s="311"/>
      <c r="O142" s="311"/>
      <c r="P142" s="311"/>
      <c r="Q142" s="329"/>
      <c r="R142" s="377"/>
      <c r="S142" s="377"/>
      <c r="T142" s="377"/>
      <c r="U142" s="373"/>
      <c r="V142" s="373"/>
      <c r="W142" s="373"/>
      <c r="X142" s="278"/>
      <c r="Y142" s="311"/>
      <c r="Z142" s="311"/>
      <c r="AA142" s="311"/>
      <c r="AB142" s="311"/>
      <c r="AC142" s="311"/>
      <c r="AD142" s="311"/>
    </row>
    <row r="143" spans="1:30" s="310" customFormat="1" x14ac:dyDescent="0.25">
      <c r="A143" s="312"/>
      <c r="B143" s="312"/>
      <c r="C143" s="312"/>
      <c r="D143" s="312"/>
      <c r="E143" s="312"/>
      <c r="F143" s="312"/>
      <c r="G143" s="312"/>
      <c r="H143" s="312"/>
      <c r="I143" s="312"/>
      <c r="J143" s="311"/>
      <c r="K143" s="311"/>
      <c r="L143" s="311"/>
      <c r="M143" s="311"/>
      <c r="N143" s="311"/>
      <c r="O143" s="311"/>
      <c r="P143" s="311"/>
      <c r="Q143" s="329"/>
      <c r="R143" s="377"/>
      <c r="S143" s="377"/>
      <c r="T143" s="377"/>
      <c r="U143" s="373"/>
      <c r="V143" s="373"/>
      <c r="W143" s="373"/>
      <c r="X143" s="278"/>
      <c r="Y143" s="311"/>
      <c r="Z143" s="311"/>
      <c r="AA143" s="311"/>
      <c r="AB143" s="311"/>
      <c r="AC143" s="311"/>
      <c r="AD143" s="311"/>
    </row>
    <row r="144" spans="1:30" s="310" customFormat="1" x14ac:dyDescent="0.25">
      <c r="A144" s="312"/>
      <c r="B144" s="312"/>
      <c r="C144" s="312"/>
      <c r="D144" s="312"/>
      <c r="E144" s="312"/>
      <c r="F144" s="312"/>
      <c r="G144" s="312"/>
      <c r="H144" s="312"/>
      <c r="I144" s="312"/>
      <c r="J144" s="311"/>
      <c r="K144" s="311"/>
      <c r="L144" s="311"/>
      <c r="M144" s="311"/>
      <c r="N144" s="311"/>
      <c r="O144" s="311"/>
      <c r="P144" s="311"/>
      <c r="Q144" s="329"/>
      <c r="R144" s="377"/>
      <c r="S144" s="377"/>
      <c r="T144" s="377"/>
      <c r="U144" s="373"/>
      <c r="V144" s="373"/>
      <c r="W144" s="373"/>
      <c r="X144" s="278"/>
      <c r="Y144" s="311"/>
      <c r="Z144" s="311"/>
      <c r="AA144" s="311"/>
      <c r="AB144" s="311"/>
      <c r="AC144" s="311"/>
      <c r="AD144" s="311"/>
    </row>
    <row r="145" spans="1:30" s="310" customFormat="1" x14ac:dyDescent="0.25">
      <c r="A145" s="312"/>
      <c r="B145" s="312"/>
      <c r="C145" s="312"/>
      <c r="D145" s="312"/>
      <c r="E145" s="312"/>
      <c r="F145" s="312"/>
      <c r="G145" s="312"/>
      <c r="H145" s="312"/>
      <c r="I145" s="312"/>
      <c r="J145" s="311"/>
      <c r="K145" s="311"/>
      <c r="L145" s="311"/>
      <c r="M145" s="311"/>
      <c r="N145" s="311"/>
      <c r="O145" s="311"/>
      <c r="P145" s="311"/>
      <c r="Q145" s="329"/>
      <c r="R145" s="377"/>
      <c r="S145" s="377"/>
      <c r="T145" s="377"/>
      <c r="U145" s="373"/>
      <c r="V145" s="373"/>
      <c r="W145" s="373"/>
      <c r="X145" s="278"/>
      <c r="Y145" s="311"/>
      <c r="Z145" s="311"/>
      <c r="AA145" s="311"/>
      <c r="AB145" s="311"/>
      <c r="AC145" s="311"/>
      <c r="AD145" s="311"/>
    </row>
    <row r="146" spans="1:30" s="310" customFormat="1" x14ac:dyDescent="0.25">
      <c r="A146" s="312"/>
      <c r="B146" s="312"/>
      <c r="C146" s="312"/>
      <c r="D146" s="312"/>
      <c r="E146" s="312"/>
      <c r="F146" s="312"/>
      <c r="G146" s="312"/>
      <c r="H146" s="312"/>
      <c r="I146" s="312"/>
      <c r="J146" s="311"/>
      <c r="K146" s="311"/>
      <c r="L146" s="311"/>
      <c r="M146" s="311"/>
      <c r="N146" s="311"/>
      <c r="O146" s="311"/>
      <c r="P146" s="311"/>
      <c r="Q146" s="329"/>
      <c r="R146" s="377"/>
      <c r="S146" s="377"/>
      <c r="T146" s="377"/>
      <c r="U146" s="373"/>
      <c r="V146" s="373"/>
      <c r="W146" s="373"/>
      <c r="X146" s="278"/>
      <c r="Y146" s="311"/>
      <c r="Z146" s="311"/>
      <c r="AA146" s="311"/>
      <c r="AB146" s="311"/>
      <c r="AC146" s="311"/>
      <c r="AD146" s="311"/>
    </row>
    <row r="147" spans="1:30" s="310" customFormat="1" x14ac:dyDescent="0.25">
      <c r="A147" s="312"/>
      <c r="B147" s="312"/>
      <c r="C147" s="312"/>
      <c r="D147" s="312"/>
      <c r="E147" s="312"/>
      <c r="F147" s="312"/>
      <c r="G147" s="312"/>
      <c r="H147" s="312"/>
      <c r="I147" s="312"/>
      <c r="J147" s="311"/>
      <c r="K147" s="311"/>
      <c r="L147" s="311"/>
      <c r="M147" s="311"/>
      <c r="N147" s="311"/>
      <c r="O147" s="311"/>
      <c r="P147" s="311"/>
      <c r="Q147" s="329"/>
      <c r="R147" s="377"/>
      <c r="S147" s="377"/>
      <c r="T147" s="377"/>
      <c r="U147" s="373"/>
      <c r="V147" s="373"/>
      <c r="W147" s="373"/>
      <c r="X147" s="278"/>
      <c r="Y147" s="311"/>
      <c r="Z147" s="311"/>
      <c r="AA147" s="311"/>
      <c r="AB147" s="311"/>
      <c r="AC147" s="311"/>
      <c r="AD147" s="311"/>
    </row>
    <row r="148" spans="1:30" s="310" customFormat="1" x14ac:dyDescent="0.25">
      <c r="A148" s="312"/>
      <c r="B148" s="312"/>
      <c r="C148" s="312"/>
      <c r="D148" s="312"/>
      <c r="E148" s="312"/>
      <c r="F148" s="312"/>
      <c r="G148" s="312"/>
      <c r="H148" s="312"/>
      <c r="I148" s="312"/>
      <c r="J148" s="311"/>
      <c r="K148" s="311"/>
      <c r="L148" s="311"/>
      <c r="M148" s="311"/>
      <c r="N148" s="311"/>
      <c r="O148" s="311"/>
      <c r="P148" s="311"/>
      <c r="Q148" s="329"/>
      <c r="R148" s="377"/>
      <c r="S148" s="377"/>
      <c r="T148" s="377"/>
      <c r="U148" s="373"/>
      <c r="V148" s="373"/>
      <c r="W148" s="373"/>
      <c r="X148" s="278"/>
      <c r="Y148" s="311"/>
      <c r="Z148" s="311"/>
      <c r="AA148" s="311"/>
      <c r="AB148" s="311"/>
      <c r="AC148" s="311"/>
      <c r="AD148" s="311"/>
    </row>
    <row r="149" spans="1:30" s="310" customFormat="1" x14ac:dyDescent="0.25">
      <c r="A149" s="312"/>
      <c r="B149" s="312"/>
      <c r="C149" s="312"/>
      <c r="D149" s="312"/>
      <c r="E149" s="312"/>
      <c r="F149" s="312"/>
      <c r="G149" s="312"/>
      <c r="H149" s="312"/>
      <c r="I149" s="312"/>
      <c r="J149" s="311"/>
      <c r="K149" s="311"/>
      <c r="L149" s="311"/>
      <c r="M149" s="311"/>
      <c r="N149" s="311"/>
      <c r="O149" s="311"/>
      <c r="P149" s="311"/>
      <c r="Q149" s="329"/>
      <c r="R149" s="377"/>
      <c r="S149" s="377"/>
      <c r="T149" s="377"/>
      <c r="U149" s="373"/>
      <c r="V149" s="373"/>
      <c r="W149" s="373"/>
      <c r="X149" s="278"/>
      <c r="Y149" s="311"/>
      <c r="Z149" s="311"/>
      <c r="AA149" s="311"/>
      <c r="AB149" s="311"/>
      <c r="AC149" s="311"/>
      <c r="AD149" s="311"/>
    </row>
    <row r="150" spans="1:30" s="310" customFormat="1" x14ac:dyDescent="0.25">
      <c r="A150" s="312"/>
      <c r="B150" s="312"/>
      <c r="C150" s="312"/>
      <c r="D150" s="312"/>
      <c r="E150" s="312"/>
      <c r="F150" s="312"/>
      <c r="G150" s="312"/>
      <c r="H150" s="312"/>
      <c r="I150" s="312"/>
      <c r="J150" s="311"/>
      <c r="K150" s="311"/>
      <c r="L150" s="311"/>
      <c r="M150" s="311"/>
      <c r="N150" s="311"/>
      <c r="O150" s="311"/>
      <c r="P150" s="311"/>
      <c r="Q150" s="329"/>
      <c r="R150" s="377"/>
      <c r="S150" s="377"/>
      <c r="T150" s="377"/>
      <c r="U150" s="373"/>
      <c r="V150" s="373"/>
      <c r="W150" s="373"/>
      <c r="X150" s="278"/>
      <c r="Y150" s="311"/>
      <c r="Z150" s="311"/>
      <c r="AA150" s="311"/>
      <c r="AB150" s="311"/>
      <c r="AC150" s="311"/>
      <c r="AD150" s="311"/>
    </row>
    <row r="151" spans="1:30" s="310" customFormat="1" x14ac:dyDescent="0.25">
      <c r="A151" s="312"/>
      <c r="B151" s="312"/>
      <c r="C151" s="312"/>
      <c r="D151" s="312"/>
      <c r="E151" s="312"/>
      <c r="F151" s="312"/>
      <c r="G151" s="312"/>
      <c r="H151" s="312"/>
      <c r="I151" s="312"/>
      <c r="J151" s="311"/>
      <c r="K151" s="311"/>
      <c r="L151" s="311"/>
      <c r="M151" s="311"/>
      <c r="N151" s="311"/>
      <c r="O151" s="311"/>
      <c r="P151" s="311"/>
      <c r="Q151" s="329"/>
      <c r="R151" s="377"/>
      <c r="S151" s="377"/>
      <c r="T151" s="377"/>
      <c r="U151" s="373"/>
      <c r="V151" s="373"/>
      <c r="W151" s="373"/>
      <c r="X151" s="278"/>
      <c r="Y151" s="311"/>
      <c r="Z151" s="311"/>
      <c r="AA151" s="311"/>
      <c r="AB151" s="311"/>
      <c r="AC151" s="311"/>
      <c r="AD151" s="311"/>
    </row>
    <row r="152" spans="1:30" s="310" customFormat="1" x14ac:dyDescent="0.25">
      <c r="A152" s="312"/>
      <c r="B152" s="312"/>
      <c r="C152" s="312"/>
      <c r="D152" s="312"/>
      <c r="E152" s="312"/>
      <c r="F152" s="312"/>
      <c r="G152" s="312"/>
      <c r="H152" s="312"/>
      <c r="I152" s="312"/>
      <c r="J152" s="311"/>
      <c r="K152" s="311"/>
      <c r="L152" s="311"/>
      <c r="M152" s="311"/>
      <c r="N152" s="311"/>
      <c r="O152" s="311"/>
      <c r="P152" s="311"/>
      <c r="Q152" s="329"/>
      <c r="R152" s="377"/>
      <c r="S152" s="377"/>
      <c r="T152" s="377"/>
      <c r="U152" s="373"/>
      <c r="V152" s="373"/>
      <c r="W152" s="373"/>
      <c r="X152" s="278"/>
      <c r="Y152" s="311"/>
      <c r="Z152" s="311"/>
      <c r="AA152" s="311"/>
      <c r="AB152" s="311"/>
      <c r="AC152" s="311"/>
      <c r="AD152" s="311"/>
    </row>
    <row r="153" spans="1:30" s="310" customFormat="1" x14ac:dyDescent="0.25">
      <c r="A153" s="312"/>
      <c r="B153" s="312"/>
      <c r="C153" s="312"/>
      <c r="D153" s="312"/>
      <c r="E153" s="312"/>
      <c r="F153" s="312"/>
      <c r="G153" s="312"/>
      <c r="H153" s="312"/>
      <c r="I153" s="312"/>
      <c r="J153" s="311"/>
      <c r="K153" s="311"/>
      <c r="L153" s="311"/>
      <c r="M153" s="311"/>
      <c r="N153" s="311"/>
      <c r="O153" s="311"/>
      <c r="P153" s="311"/>
      <c r="Q153" s="329"/>
      <c r="R153" s="377"/>
      <c r="S153" s="377"/>
      <c r="T153" s="377"/>
      <c r="U153" s="373"/>
      <c r="V153" s="373"/>
      <c r="W153" s="373"/>
      <c r="X153" s="278"/>
      <c r="Y153" s="311"/>
      <c r="Z153" s="311"/>
      <c r="AA153" s="311"/>
      <c r="AB153" s="311"/>
      <c r="AC153" s="311"/>
      <c r="AD153" s="311"/>
    </row>
    <row r="154" spans="1:30" s="310" customFormat="1" x14ac:dyDescent="0.25">
      <c r="A154" s="312"/>
      <c r="B154" s="312"/>
      <c r="C154" s="312"/>
      <c r="D154" s="312"/>
      <c r="E154" s="312"/>
      <c r="F154" s="312"/>
      <c r="G154" s="312"/>
      <c r="H154" s="312"/>
      <c r="I154" s="312"/>
      <c r="J154" s="311"/>
      <c r="K154" s="311"/>
      <c r="L154" s="311"/>
      <c r="M154" s="311"/>
      <c r="N154" s="311"/>
      <c r="O154" s="311"/>
      <c r="P154" s="311"/>
      <c r="Q154" s="329"/>
      <c r="R154" s="377"/>
      <c r="S154" s="377"/>
      <c r="T154" s="377"/>
      <c r="U154" s="373"/>
      <c r="V154" s="373"/>
      <c r="W154" s="373"/>
      <c r="X154" s="278"/>
      <c r="Y154" s="311"/>
      <c r="Z154" s="311"/>
      <c r="AA154" s="311"/>
      <c r="AB154" s="311"/>
      <c r="AC154" s="311"/>
      <c r="AD154" s="311"/>
    </row>
    <row r="155" spans="1:30" s="310" customFormat="1" x14ac:dyDescent="0.25">
      <c r="A155" s="312"/>
      <c r="B155" s="312"/>
      <c r="C155" s="312"/>
      <c r="D155" s="312"/>
      <c r="E155" s="312"/>
      <c r="F155" s="312"/>
      <c r="G155" s="312"/>
      <c r="H155" s="312"/>
      <c r="I155" s="312"/>
      <c r="J155" s="311"/>
      <c r="K155" s="311"/>
      <c r="L155" s="311"/>
      <c r="M155" s="311"/>
      <c r="N155" s="311"/>
      <c r="O155" s="311"/>
      <c r="P155" s="311"/>
      <c r="Q155" s="329"/>
      <c r="R155" s="377"/>
      <c r="S155" s="377"/>
      <c r="T155" s="377"/>
      <c r="U155" s="373"/>
      <c r="V155" s="373"/>
      <c r="W155" s="373"/>
      <c r="X155" s="278"/>
      <c r="Y155" s="311"/>
      <c r="Z155" s="311"/>
      <c r="AA155" s="311"/>
      <c r="AB155" s="311"/>
      <c r="AC155" s="311"/>
      <c r="AD155" s="311"/>
    </row>
    <row r="156" spans="1:30" s="310" customFormat="1" x14ac:dyDescent="0.25">
      <c r="A156" s="312"/>
      <c r="B156" s="312"/>
      <c r="C156" s="312"/>
      <c r="D156" s="312"/>
      <c r="E156" s="312"/>
      <c r="F156" s="312"/>
      <c r="G156" s="312"/>
      <c r="H156" s="312"/>
      <c r="I156" s="312"/>
      <c r="J156" s="311"/>
      <c r="K156" s="311"/>
      <c r="L156" s="311"/>
      <c r="M156" s="311"/>
      <c r="N156" s="311"/>
      <c r="O156" s="311"/>
      <c r="P156" s="311"/>
      <c r="Q156" s="329"/>
      <c r="R156" s="377"/>
      <c r="S156" s="377"/>
      <c r="T156" s="377"/>
      <c r="U156" s="373"/>
      <c r="V156" s="373"/>
      <c r="W156" s="373"/>
      <c r="X156" s="278"/>
      <c r="Y156" s="311"/>
      <c r="Z156" s="311"/>
      <c r="AA156" s="311"/>
      <c r="AB156" s="311"/>
      <c r="AC156" s="311"/>
      <c r="AD156" s="311"/>
    </row>
    <row r="157" spans="1:30" s="310" customFormat="1" x14ac:dyDescent="0.25">
      <c r="A157" s="312"/>
      <c r="B157" s="312"/>
      <c r="C157" s="312"/>
      <c r="D157" s="312"/>
      <c r="E157" s="312"/>
      <c r="F157" s="312"/>
      <c r="G157" s="312"/>
      <c r="H157" s="312"/>
      <c r="I157" s="312"/>
      <c r="J157" s="311"/>
      <c r="K157" s="311"/>
      <c r="L157" s="311"/>
      <c r="M157" s="311"/>
      <c r="N157" s="311"/>
      <c r="O157" s="311"/>
      <c r="P157" s="311"/>
      <c r="Q157" s="329"/>
      <c r="R157" s="377"/>
      <c r="S157" s="377"/>
      <c r="T157" s="377"/>
      <c r="U157" s="373"/>
      <c r="V157" s="373"/>
      <c r="W157" s="373"/>
      <c r="X157" s="278"/>
      <c r="Y157" s="311"/>
      <c r="Z157" s="311"/>
      <c r="AA157" s="311"/>
      <c r="AB157" s="311"/>
      <c r="AC157" s="311"/>
      <c r="AD157" s="311"/>
    </row>
    <row r="158" spans="1:30" s="310" customFormat="1" x14ac:dyDescent="0.25">
      <c r="A158" s="312"/>
      <c r="B158" s="312"/>
      <c r="C158" s="312"/>
      <c r="D158" s="312"/>
      <c r="E158" s="312"/>
      <c r="F158" s="312"/>
      <c r="G158" s="312"/>
      <c r="H158" s="312"/>
      <c r="I158" s="312"/>
      <c r="J158" s="311"/>
      <c r="K158" s="311"/>
      <c r="L158" s="311"/>
      <c r="M158" s="311"/>
      <c r="N158" s="311"/>
      <c r="O158" s="311"/>
      <c r="P158" s="311"/>
      <c r="Q158" s="329"/>
      <c r="R158" s="377"/>
      <c r="S158" s="377"/>
      <c r="T158" s="377"/>
      <c r="U158" s="373"/>
      <c r="V158" s="373"/>
      <c r="W158" s="373"/>
      <c r="X158" s="278"/>
      <c r="Y158" s="311"/>
      <c r="Z158" s="311"/>
      <c r="AA158" s="311"/>
      <c r="AB158" s="311"/>
      <c r="AC158" s="311"/>
      <c r="AD158" s="311"/>
    </row>
    <row r="159" spans="1:30" s="310" customFormat="1" x14ac:dyDescent="0.25">
      <c r="A159" s="312"/>
      <c r="B159" s="312"/>
      <c r="C159" s="312"/>
      <c r="D159" s="312"/>
      <c r="E159" s="312"/>
      <c r="F159" s="312"/>
      <c r="G159" s="312"/>
      <c r="H159" s="312"/>
      <c r="I159" s="312"/>
      <c r="J159" s="311"/>
      <c r="K159" s="311"/>
      <c r="L159" s="311"/>
      <c r="M159" s="311"/>
      <c r="N159" s="311"/>
      <c r="O159" s="311"/>
      <c r="P159" s="311"/>
      <c r="Q159" s="329"/>
      <c r="R159" s="377"/>
      <c r="S159" s="377"/>
      <c r="T159" s="377"/>
      <c r="U159" s="373"/>
      <c r="V159" s="373"/>
      <c r="W159" s="373"/>
      <c r="X159" s="278"/>
      <c r="Y159" s="311"/>
      <c r="Z159" s="311"/>
      <c r="AA159" s="311"/>
      <c r="AB159" s="311"/>
      <c r="AC159" s="311"/>
      <c r="AD159" s="311"/>
    </row>
    <row r="160" spans="1:30" s="310" customFormat="1" x14ac:dyDescent="0.25">
      <c r="A160" s="312"/>
      <c r="B160" s="312"/>
      <c r="C160" s="312"/>
      <c r="D160" s="312"/>
      <c r="E160" s="312"/>
      <c r="F160" s="312"/>
      <c r="G160" s="312"/>
      <c r="H160" s="312"/>
      <c r="I160" s="312"/>
      <c r="J160" s="311"/>
      <c r="K160" s="311"/>
      <c r="L160" s="311"/>
      <c r="M160" s="311"/>
      <c r="N160" s="311"/>
      <c r="O160" s="311"/>
      <c r="P160" s="311"/>
      <c r="Q160" s="329"/>
      <c r="R160" s="377"/>
      <c r="S160" s="377"/>
      <c r="T160" s="377"/>
      <c r="U160" s="373"/>
      <c r="V160" s="373"/>
      <c r="W160" s="373"/>
      <c r="X160" s="278"/>
      <c r="Y160" s="311"/>
      <c r="Z160" s="311"/>
      <c r="AA160" s="311"/>
      <c r="AB160" s="311"/>
      <c r="AC160" s="311"/>
      <c r="AD160" s="311"/>
    </row>
    <row r="161" spans="1:30" s="310" customFormat="1" x14ac:dyDescent="0.25">
      <c r="A161" s="312"/>
      <c r="B161" s="312"/>
      <c r="C161" s="312"/>
      <c r="D161" s="312"/>
      <c r="E161" s="312"/>
      <c r="F161" s="312"/>
      <c r="G161" s="312"/>
      <c r="H161" s="312"/>
      <c r="I161" s="312"/>
      <c r="J161" s="311"/>
      <c r="K161" s="311"/>
      <c r="L161" s="311"/>
      <c r="M161" s="311"/>
      <c r="N161" s="311"/>
      <c r="O161" s="311"/>
      <c r="P161" s="311"/>
      <c r="Q161" s="329"/>
      <c r="R161" s="377"/>
      <c r="S161" s="377"/>
      <c r="T161" s="377"/>
      <c r="U161" s="373"/>
      <c r="V161" s="373"/>
      <c r="W161" s="373"/>
      <c r="X161" s="278"/>
      <c r="Y161" s="311"/>
      <c r="Z161" s="311"/>
      <c r="AA161" s="311"/>
      <c r="AB161" s="311"/>
      <c r="AC161" s="311"/>
      <c r="AD161" s="311"/>
    </row>
    <row r="162" spans="1:30" s="310" customFormat="1" x14ac:dyDescent="0.25">
      <c r="A162" s="312"/>
      <c r="B162" s="312"/>
      <c r="C162" s="312"/>
      <c r="D162" s="312"/>
      <c r="E162" s="312"/>
      <c r="F162" s="312"/>
      <c r="G162" s="312"/>
      <c r="H162" s="312"/>
      <c r="I162" s="312"/>
      <c r="J162" s="311"/>
      <c r="K162" s="311"/>
      <c r="L162" s="311"/>
      <c r="M162" s="311"/>
      <c r="N162" s="311"/>
      <c r="O162" s="311"/>
      <c r="P162" s="311"/>
      <c r="Q162" s="329"/>
      <c r="R162" s="377"/>
      <c r="S162" s="377"/>
      <c r="T162" s="377"/>
      <c r="U162" s="373"/>
      <c r="V162" s="373"/>
      <c r="W162" s="373"/>
      <c r="X162" s="278"/>
      <c r="Y162" s="311"/>
      <c r="Z162" s="311"/>
      <c r="AA162" s="311"/>
      <c r="AB162" s="311"/>
      <c r="AC162" s="311"/>
      <c r="AD162" s="311"/>
    </row>
    <row r="163" spans="1:30" s="310" customFormat="1" x14ac:dyDescent="0.25">
      <c r="A163" s="312"/>
      <c r="B163" s="312"/>
      <c r="C163" s="312"/>
      <c r="D163" s="312"/>
      <c r="E163" s="312"/>
      <c r="F163" s="312"/>
      <c r="G163" s="312"/>
      <c r="H163" s="312"/>
      <c r="I163" s="312"/>
      <c r="J163" s="311"/>
      <c r="K163" s="311"/>
      <c r="L163" s="311"/>
      <c r="M163" s="311"/>
      <c r="N163" s="311"/>
      <c r="O163" s="311"/>
      <c r="P163" s="311"/>
      <c r="Q163" s="329"/>
      <c r="R163" s="377"/>
      <c r="S163" s="377"/>
      <c r="T163" s="377"/>
      <c r="U163" s="373"/>
      <c r="V163" s="373"/>
      <c r="W163" s="373"/>
      <c r="X163" s="278"/>
      <c r="Y163" s="311"/>
      <c r="Z163" s="311"/>
      <c r="AA163" s="311"/>
      <c r="AB163" s="311"/>
      <c r="AC163" s="311"/>
      <c r="AD163" s="311"/>
    </row>
    <row r="164" spans="1:30" s="310" customFormat="1" x14ac:dyDescent="0.25">
      <c r="A164" s="312"/>
      <c r="B164" s="312"/>
      <c r="C164" s="312"/>
      <c r="D164" s="312"/>
      <c r="E164" s="312"/>
      <c r="F164" s="312"/>
      <c r="G164" s="312"/>
      <c r="H164" s="312"/>
      <c r="I164" s="312"/>
      <c r="J164" s="311"/>
      <c r="K164" s="311"/>
      <c r="L164" s="311"/>
      <c r="M164" s="311"/>
      <c r="N164" s="311"/>
      <c r="O164" s="311"/>
      <c r="P164" s="311"/>
      <c r="Q164" s="329"/>
      <c r="R164" s="377"/>
      <c r="S164" s="377"/>
      <c r="T164" s="377"/>
      <c r="U164" s="373"/>
      <c r="V164" s="373"/>
      <c r="W164" s="373"/>
      <c r="X164" s="278"/>
      <c r="Y164" s="311"/>
      <c r="Z164" s="311"/>
      <c r="AA164" s="311"/>
      <c r="AB164" s="311"/>
      <c r="AC164" s="311"/>
      <c r="AD164" s="311"/>
    </row>
    <row r="165" spans="1:30" s="310" customFormat="1" x14ac:dyDescent="0.25">
      <c r="A165" s="312"/>
      <c r="B165" s="312"/>
      <c r="C165" s="312"/>
      <c r="D165" s="312"/>
      <c r="E165" s="312"/>
      <c r="F165" s="312"/>
      <c r="G165" s="312"/>
      <c r="H165" s="312"/>
      <c r="I165" s="312"/>
      <c r="J165" s="311"/>
      <c r="K165" s="311"/>
      <c r="L165" s="311"/>
      <c r="M165" s="311"/>
      <c r="N165" s="311"/>
      <c r="O165" s="311"/>
      <c r="P165" s="311"/>
      <c r="Q165" s="329"/>
      <c r="R165" s="377"/>
      <c r="S165" s="377"/>
      <c r="T165" s="377"/>
      <c r="U165" s="373"/>
      <c r="V165" s="373"/>
      <c r="W165" s="373"/>
      <c r="X165" s="278"/>
      <c r="Y165" s="311"/>
      <c r="Z165" s="311"/>
      <c r="AA165" s="311"/>
      <c r="AB165" s="311"/>
      <c r="AC165" s="311"/>
      <c r="AD165" s="311"/>
    </row>
    <row r="166" spans="1:30" s="310" customFormat="1" x14ac:dyDescent="0.25">
      <c r="A166" s="312"/>
      <c r="B166" s="312"/>
      <c r="C166" s="312"/>
      <c r="D166" s="312"/>
      <c r="E166" s="312"/>
      <c r="F166" s="312"/>
      <c r="G166" s="312"/>
      <c r="H166" s="312"/>
      <c r="I166" s="312"/>
      <c r="J166" s="311"/>
      <c r="K166" s="311"/>
      <c r="L166" s="311"/>
      <c r="M166" s="311"/>
      <c r="N166" s="311"/>
      <c r="O166" s="311"/>
      <c r="P166" s="311"/>
      <c r="Q166" s="329"/>
      <c r="R166" s="377"/>
      <c r="S166" s="377"/>
      <c r="T166" s="377"/>
      <c r="U166" s="373"/>
      <c r="V166" s="373"/>
      <c r="W166" s="373"/>
      <c r="X166" s="278"/>
      <c r="Y166" s="311"/>
      <c r="Z166" s="311"/>
      <c r="AA166" s="311"/>
      <c r="AB166" s="311"/>
      <c r="AC166" s="311"/>
      <c r="AD166" s="311"/>
    </row>
    <row r="167" spans="1:30" s="310" customFormat="1" x14ac:dyDescent="0.25">
      <c r="A167" s="312"/>
      <c r="B167" s="312"/>
      <c r="C167" s="312"/>
      <c r="D167" s="312"/>
      <c r="E167" s="312"/>
      <c r="F167" s="312"/>
      <c r="G167" s="312"/>
      <c r="H167" s="312"/>
      <c r="I167" s="312"/>
      <c r="J167" s="311"/>
      <c r="K167" s="311"/>
      <c r="L167" s="311"/>
      <c r="M167" s="311"/>
      <c r="N167" s="311"/>
      <c r="O167" s="311"/>
      <c r="P167" s="311"/>
      <c r="Q167" s="329"/>
      <c r="R167" s="377"/>
      <c r="S167" s="377"/>
      <c r="T167" s="377"/>
      <c r="U167" s="373"/>
      <c r="V167" s="373"/>
      <c r="W167" s="373"/>
      <c r="X167" s="278"/>
      <c r="Y167" s="311"/>
      <c r="Z167" s="311"/>
      <c r="AA167" s="311"/>
      <c r="AB167" s="311"/>
      <c r="AC167" s="311"/>
      <c r="AD167" s="311"/>
    </row>
    <row r="168" spans="1:30" s="310" customFormat="1" x14ac:dyDescent="0.25">
      <c r="A168" s="312"/>
      <c r="B168" s="312"/>
      <c r="C168" s="312"/>
      <c r="D168" s="312"/>
      <c r="E168" s="312"/>
      <c r="F168" s="312"/>
      <c r="G168" s="312"/>
      <c r="H168" s="312"/>
      <c r="I168" s="312"/>
      <c r="J168" s="311"/>
      <c r="K168" s="311"/>
      <c r="L168" s="311"/>
      <c r="M168" s="311"/>
      <c r="N168" s="311"/>
      <c r="O168" s="311"/>
      <c r="P168" s="311"/>
      <c r="Q168" s="329"/>
      <c r="R168" s="377"/>
      <c r="S168" s="377"/>
      <c r="T168" s="377"/>
      <c r="U168" s="373"/>
      <c r="V168" s="373"/>
      <c r="W168" s="373"/>
      <c r="X168" s="278"/>
      <c r="Y168" s="311"/>
      <c r="Z168" s="311"/>
      <c r="AA168" s="311"/>
      <c r="AB168" s="311"/>
      <c r="AC168" s="311"/>
      <c r="AD168" s="311"/>
    </row>
    <row r="169" spans="1:30" s="310" customFormat="1" x14ac:dyDescent="0.25">
      <c r="A169" s="312"/>
      <c r="B169" s="312"/>
      <c r="C169" s="312"/>
      <c r="D169" s="312"/>
      <c r="E169" s="312"/>
      <c r="F169" s="312"/>
      <c r="G169" s="312"/>
      <c r="H169" s="312"/>
      <c r="I169" s="312"/>
      <c r="J169" s="311"/>
      <c r="K169" s="311"/>
      <c r="L169" s="311"/>
      <c r="M169" s="311"/>
      <c r="N169" s="311"/>
      <c r="O169" s="311"/>
      <c r="P169" s="311"/>
      <c r="Q169" s="329"/>
      <c r="R169" s="377"/>
      <c r="S169" s="377"/>
      <c r="T169" s="377"/>
      <c r="U169" s="373"/>
      <c r="V169" s="373"/>
      <c r="W169" s="373"/>
      <c r="X169" s="278"/>
      <c r="Y169" s="311"/>
      <c r="Z169" s="311"/>
      <c r="AA169" s="311"/>
      <c r="AB169" s="311"/>
      <c r="AC169" s="311"/>
      <c r="AD169" s="311"/>
    </row>
    <row r="170" spans="1:30" s="310" customFormat="1" x14ac:dyDescent="0.25">
      <c r="A170" s="312"/>
      <c r="B170" s="312"/>
      <c r="C170" s="312"/>
      <c r="D170" s="312"/>
      <c r="E170" s="312"/>
      <c r="F170" s="312"/>
      <c r="G170" s="312"/>
      <c r="H170" s="312"/>
      <c r="I170" s="312"/>
      <c r="J170" s="311"/>
      <c r="K170" s="311"/>
      <c r="L170" s="311"/>
      <c r="M170" s="311"/>
      <c r="N170" s="311"/>
      <c r="O170" s="311"/>
      <c r="P170" s="311"/>
      <c r="Q170" s="329"/>
      <c r="R170" s="377"/>
      <c r="S170" s="377"/>
      <c r="T170" s="377"/>
      <c r="U170" s="373"/>
      <c r="V170" s="373"/>
      <c r="W170" s="373"/>
      <c r="X170" s="278"/>
      <c r="Y170" s="311"/>
      <c r="Z170" s="311"/>
      <c r="AA170" s="311"/>
      <c r="AB170" s="311"/>
      <c r="AC170" s="311"/>
      <c r="AD170" s="311"/>
    </row>
    <row r="171" spans="1:30" s="310" customFormat="1" x14ac:dyDescent="0.25">
      <c r="A171" s="312"/>
      <c r="B171" s="312"/>
      <c r="C171" s="312"/>
      <c r="D171" s="312"/>
      <c r="E171" s="312"/>
      <c r="F171" s="312"/>
      <c r="G171" s="312"/>
      <c r="H171" s="312"/>
      <c r="I171" s="312"/>
      <c r="J171" s="311"/>
      <c r="K171" s="311"/>
      <c r="L171" s="311"/>
      <c r="M171" s="311"/>
      <c r="N171" s="311"/>
      <c r="O171" s="311"/>
      <c r="P171" s="311"/>
      <c r="Q171" s="329"/>
      <c r="R171" s="377"/>
      <c r="S171" s="377"/>
      <c r="T171" s="377"/>
      <c r="U171" s="373"/>
      <c r="V171" s="373"/>
      <c r="W171" s="373"/>
      <c r="X171" s="278"/>
      <c r="Y171" s="311"/>
      <c r="Z171" s="311"/>
      <c r="AA171" s="311"/>
      <c r="AB171" s="311"/>
      <c r="AC171" s="311"/>
      <c r="AD171" s="311"/>
    </row>
    <row r="172" spans="1:30" s="310" customFormat="1" x14ac:dyDescent="0.25">
      <c r="A172" s="312"/>
      <c r="B172" s="312"/>
      <c r="C172" s="312"/>
      <c r="D172" s="312"/>
      <c r="E172" s="312"/>
      <c r="F172" s="312"/>
      <c r="G172" s="312"/>
      <c r="H172" s="312"/>
      <c r="I172" s="312"/>
      <c r="J172" s="311"/>
      <c r="K172" s="311"/>
      <c r="L172" s="311"/>
      <c r="M172" s="311"/>
      <c r="N172" s="311"/>
      <c r="O172" s="311"/>
      <c r="P172" s="311"/>
      <c r="Q172" s="329"/>
      <c r="R172" s="377"/>
      <c r="S172" s="377"/>
      <c r="T172" s="377"/>
      <c r="U172" s="373"/>
      <c r="V172" s="373"/>
      <c r="W172" s="373"/>
      <c r="X172" s="278"/>
      <c r="Y172" s="311"/>
      <c r="Z172" s="311"/>
      <c r="AA172" s="311"/>
      <c r="AB172" s="311"/>
      <c r="AC172" s="311"/>
      <c r="AD172" s="311"/>
    </row>
    <row r="173" spans="1:30" s="310" customFormat="1" x14ac:dyDescent="0.25">
      <c r="A173" s="312"/>
      <c r="B173" s="312"/>
      <c r="C173" s="312"/>
      <c r="D173" s="312"/>
      <c r="E173" s="312"/>
      <c r="F173" s="312"/>
      <c r="G173" s="312"/>
      <c r="H173" s="312"/>
      <c r="I173" s="312"/>
      <c r="J173" s="311"/>
      <c r="K173" s="311"/>
      <c r="L173" s="311"/>
      <c r="M173" s="311"/>
      <c r="N173" s="311"/>
      <c r="O173" s="311"/>
      <c r="P173" s="311"/>
      <c r="Q173" s="329"/>
      <c r="R173" s="377"/>
      <c r="S173" s="377"/>
      <c r="T173" s="377"/>
      <c r="U173" s="373"/>
      <c r="V173" s="373"/>
      <c r="W173" s="373"/>
      <c r="X173" s="278"/>
      <c r="Y173" s="311"/>
      <c r="Z173" s="311"/>
      <c r="AA173" s="311"/>
      <c r="AB173" s="311"/>
      <c r="AC173" s="311"/>
      <c r="AD173" s="311"/>
    </row>
    <row r="174" spans="1:30" s="310" customFormat="1" x14ac:dyDescent="0.25">
      <c r="A174" s="312"/>
      <c r="B174" s="312"/>
      <c r="C174" s="312"/>
      <c r="D174" s="312"/>
      <c r="E174" s="312"/>
      <c r="F174" s="312"/>
      <c r="G174" s="312"/>
      <c r="H174" s="312"/>
      <c r="I174" s="312"/>
      <c r="J174" s="311"/>
      <c r="K174" s="311"/>
      <c r="L174" s="311"/>
      <c r="M174" s="311"/>
      <c r="N174" s="311"/>
      <c r="O174" s="311"/>
      <c r="P174" s="311"/>
      <c r="Q174" s="329"/>
      <c r="R174" s="377"/>
      <c r="S174" s="377"/>
      <c r="T174" s="377"/>
      <c r="U174" s="373"/>
      <c r="V174" s="373"/>
      <c r="W174" s="373"/>
      <c r="X174" s="278"/>
      <c r="Y174" s="311"/>
      <c r="Z174" s="311"/>
      <c r="AA174" s="311"/>
      <c r="AB174" s="311"/>
      <c r="AC174" s="311"/>
      <c r="AD174" s="311"/>
    </row>
    <row r="175" spans="1:30" s="310" customFormat="1" x14ac:dyDescent="0.25">
      <c r="A175" s="312"/>
      <c r="B175" s="312"/>
      <c r="C175" s="312"/>
      <c r="D175" s="312"/>
      <c r="E175" s="312"/>
      <c r="F175" s="312"/>
      <c r="G175" s="312"/>
      <c r="H175" s="312"/>
      <c r="I175" s="312"/>
      <c r="J175" s="311"/>
      <c r="K175" s="311"/>
      <c r="L175" s="311"/>
      <c r="M175" s="311"/>
      <c r="N175" s="311"/>
      <c r="O175" s="311"/>
      <c r="P175" s="311"/>
      <c r="Q175" s="329"/>
      <c r="R175" s="377"/>
      <c r="S175" s="377"/>
      <c r="T175" s="377"/>
      <c r="U175" s="373"/>
      <c r="V175" s="373"/>
      <c r="W175" s="373"/>
      <c r="X175" s="278"/>
      <c r="Y175" s="311"/>
      <c r="Z175" s="311"/>
      <c r="AA175" s="311"/>
      <c r="AB175" s="311"/>
      <c r="AC175" s="311"/>
      <c r="AD175" s="311"/>
    </row>
    <row r="176" spans="1:30" s="310" customFormat="1" x14ac:dyDescent="0.25">
      <c r="A176" s="312"/>
      <c r="B176" s="312"/>
      <c r="C176" s="312"/>
      <c r="D176" s="312"/>
      <c r="E176" s="312"/>
      <c r="F176" s="312"/>
      <c r="G176" s="312"/>
      <c r="H176" s="312"/>
      <c r="I176" s="312"/>
      <c r="J176" s="311"/>
      <c r="K176" s="311"/>
      <c r="L176" s="311"/>
      <c r="M176" s="311"/>
      <c r="N176" s="311"/>
      <c r="O176" s="311"/>
      <c r="P176" s="311"/>
      <c r="Q176" s="329"/>
      <c r="R176" s="377"/>
      <c r="S176" s="377"/>
      <c r="T176" s="377"/>
      <c r="U176" s="373"/>
      <c r="V176" s="373"/>
      <c r="W176" s="373"/>
      <c r="X176" s="278"/>
      <c r="Y176" s="311"/>
      <c r="Z176" s="311"/>
      <c r="AA176" s="311"/>
      <c r="AB176" s="311"/>
      <c r="AC176" s="311"/>
      <c r="AD176" s="311"/>
    </row>
    <row r="177" spans="1:30" s="310" customFormat="1" x14ac:dyDescent="0.25">
      <c r="A177" s="312"/>
      <c r="B177" s="312"/>
      <c r="C177" s="312"/>
      <c r="D177" s="312"/>
      <c r="E177" s="312"/>
      <c r="F177" s="312"/>
      <c r="G177" s="312"/>
      <c r="H177" s="312"/>
      <c r="I177" s="312"/>
      <c r="J177" s="311"/>
      <c r="K177" s="311"/>
      <c r="L177" s="311"/>
      <c r="M177" s="311"/>
      <c r="N177" s="311"/>
      <c r="O177" s="311"/>
      <c r="P177" s="311"/>
      <c r="Q177" s="329"/>
      <c r="R177" s="377"/>
      <c r="S177" s="377"/>
      <c r="T177" s="377"/>
      <c r="U177" s="373"/>
      <c r="V177" s="373"/>
      <c r="W177" s="373"/>
      <c r="X177" s="278"/>
      <c r="Y177" s="311"/>
      <c r="Z177" s="311"/>
      <c r="AA177" s="311"/>
      <c r="AB177" s="311"/>
      <c r="AC177" s="311"/>
      <c r="AD177" s="311"/>
    </row>
    <row r="178" spans="1:30" s="310" customFormat="1" x14ac:dyDescent="0.25">
      <c r="A178" s="312"/>
      <c r="B178" s="312"/>
      <c r="C178" s="312"/>
      <c r="D178" s="312"/>
      <c r="E178" s="312"/>
      <c r="F178" s="312"/>
      <c r="G178" s="312"/>
      <c r="H178" s="312"/>
      <c r="I178" s="312"/>
      <c r="J178" s="311"/>
      <c r="K178" s="311"/>
      <c r="L178" s="311"/>
      <c r="M178" s="311"/>
      <c r="N178" s="311"/>
      <c r="O178" s="311"/>
      <c r="P178" s="311"/>
      <c r="Q178" s="329"/>
      <c r="R178" s="377"/>
      <c r="S178" s="377"/>
      <c r="T178" s="377"/>
      <c r="U178" s="373"/>
      <c r="V178" s="373"/>
      <c r="W178" s="373"/>
      <c r="X178" s="278"/>
      <c r="Y178" s="311"/>
      <c r="Z178" s="311"/>
      <c r="AA178" s="311"/>
      <c r="AB178" s="311"/>
      <c r="AC178" s="311"/>
      <c r="AD178" s="311"/>
    </row>
    <row r="179" spans="1:30" s="310" customFormat="1" x14ac:dyDescent="0.25">
      <c r="A179" s="312"/>
      <c r="B179" s="312"/>
      <c r="C179" s="312"/>
      <c r="D179" s="312"/>
      <c r="E179" s="312"/>
      <c r="F179" s="312"/>
      <c r="G179" s="312"/>
      <c r="H179" s="312"/>
      <c r="I179" s="312"/>
      <c r="J179" s="311"/>
      <c r="K179" s="311"/>
      <c r="L179" s="311"/>
      <c r="M179" s="311"/>
      <c r="N179" s="311"/>
      <c r="O179" s="311"/>
      <c r="P179" s="311"/>
      <c r="Q179" s="329"/>
      <c r="R179" s="377"/>
      <c r="S179" s="377"/>
      <c r="T179" s="377"/>
      <c r="U179" s="373"/>
      <c r="V179" s="373"/>
      <c r="W179" s="373"/>
      <c r="X179" s="278"/>
      <c r="Y179" s="311"/>
      <c r="Z179" s="311"/>
      <c r="AA179" s="311"/>
      <c r="AB179" s="311"/>
      <c r="AC179" s="311"/>
      <c r="AD179" s="311"/>
    </row>
    <row r="180" spans="1:30" s="310" customFormat="1" x14ac:dyDescent="0.25">
      <c r="A180" s="312"/>
      <c r="B180" s="312"/>
      <c r="C180" s="312"/>
      <c r="D180" s="312"/>
      <c r="E180" s="312"/>
      <c r="F180" s="312"/>
      <c r="G180" s="312"/>
      <c r="H180" s="312"/>
      <c r="I180" s="312"/>
      <c r="J180" s="311"/>
      <c r="K180" s="311"/>
      <c r="L180" s="311"/>
      <c r="M180" s="311"/>
      <c r="N180" s="311"/>
      <c r="O180" s="311"/>
      <c r="P180" s="311"/>
      <c r="Q180" s="329"/>
      <c r="R180" s="377"/>
      <c r="S180" s="377"/>
      <c r="T180" s="377"/>
      <c r="U180" s="373"/>
      <c r="V180" s="373"/>
      <c r="W180" s="373"/>
      <c r="X180" s="278"/>
      <c r="Y180" s="311"/>
      <c r="Z180" s="311"/>
      <c r="AA180" s="311"/>
      <c r="AB180" s="311"/>
      <c r="AC180" s="311"/>
      <c r="AD180" s="311"/>
    </row>
    <row r="181" spans="1:30" s="310" customFormat="1" x14ac:dyDescent="0.25">
      <c r="A181" s="312"/>
      <c r="B181" s="312"/>
      <c r="C181" s="312"/>
      <c r="D181" s="312"/>
      <c r="E181" s="312"/>
      <c r="F181" s="312"/>
      <c r="G181" s="312"/>
      <c r="H181" s="312"/>
      <c r="I181" s="312"/>
      <c r="J181" s="311"/>
      <c r="K181" s="311"/>
      <c r="L181" s="311"/>
      <c r="M181" s="311"/>
      <c r="N181" s="311"/>
      <c r="O181" s="311"/>
      <c r="P181" s="311"/>
      <c r="Q181" s="329"/>
      <c r="R181" s="377"/>
      <c r="S181" s="377"/>
      <c r="T181" s="377"/>
      <c r="U181" s="373"/>
      <c r="V181" s="373"/>
      <c r="W181" s="373"/>
      <c r="X181" s="278"/>
      <c r="Y181" s="311"/>
      <c r="Z181" s="311"/>
      <c r="AA181" s="311"/>
      <c r="AB181" s="311"/>
      <c r="AC181" s="311"/>
      <c r="AD181" s="311"/>
    </row>
    <row r="182" spans="1:30" s="310" customFormat="1" x14ac:dyDescent="0.25">
      <c r="A182" s="312"/>
      <c r="B182" s="312"/>
      <c r="C182" s="312"/>
      <c r="D182" s="312"/>
      <c r="E182" s="312"/>
      <c r="F182" s="312"/>
      <c r="G182" s="312"/>
      <c r="H182" s="312"/>
      <c r="I182" s="312"/>
      <c r="J182" s="311"/>
      <c r="K182" s="311"/>
      <c r="L182" s="311"/>
      <c r="M182" s="311"/>
      <c r="N182" s="311"/>
      <c r="O182" s="311"/>
      <c r="P182" s="311"/>
      <c r="Q182" s="329"/>
      <c r="R182" s="377"/>
      <c r="S182" s="377"/>
      <c r="T182" s="377"/>
      <c r="U182" s="373"/>
      <c r="V182" s="373"/>
      <c r="W182" s="373"/>
      <c r="X182" s="278"/>
      <c r="Y182" s="311"/>
      <c r="Z182" s="311"/>
      <c r="AA182" s="311"/>
      <c r="AB182" s="311"/>
      <c r="AC182" s="311"/>
      <c r="AD182" s="311"/>
    </row>
    <row r="183" spans="1:30" s="310" customFormat="1" x14ac:dyDescent="0.25">
      <c r="A183" s="312"/>
      <c r="B183" s="312"/>
      <c r="C183" s="312"/>
      <c r="D183" s="312"/>
      <c r="E183" s="312"/>
      <c r="F183" s="312"/>
      <c r="G183" s="312"/>
      <c r="H183" s="312"/>
      <c r="I183" s="312"/>
      <c r="J183" s="311"/>
      <c r="K183" s="311"/>
      <c r="L183" s="311"/>
      <c r="M183" s="311"/>
      <c r="N183" s="311"/>
      <c r="O183" s="311"/>
      <c r="P183" s="311"/>
      <c r="Q183" s="329"/>
      <c r="R183" s="377"/>
      <c r="S183" s="377"/>
      <c r="T183" s="377"/>
      <c r="U183" s="373"/>
      <c r="V183" s="373"/>
      <c r="W183" s="373"/>
      <c r="X183" s="278"/>
      <c r="Y183" s="311"/>
      <c r="Z183" s="311"/>
      <c r="AA183" s="311"/>
      <c r="AB183" s="311"/>
      <c r="AC183" s="311"/>
      <c r="AD183" s="311"/>
    </row>
    <row r="184" spans="1:30" s="310" customFormat="1" x14ac:dyDescent="0.25">
      <c r="A184" s="312"/>
      <c r="B184" s="312"/>
      <c r="C184" s="312"/>
      <c r="D184" s="312"/>
      <c r="E184" s="312"/>
      <c r="F184" s="312"/>
      <c r="G184" s="312"/>
      <c r="H184" s="312"/>
      <c r="I184" s="312"/>
      <c r="J184" s="311"/>
      <c r="K184" s="311"/>
      <c r="L184" s="311"/>
      <c r="M184" s="311"/>
      <c r="N184" s="311"/>
      <c r="O184" s="311"/>
      <c r="P184" s="311"/>
      <c r="Q184" s="329"/>
      <c r="R184" s="377"/>
      <c r="S184" s="377"/>
      <c r="T184" s="377"/>
      <c r="U184" s="373"/>
      <c r="V184" s="373"/>
      <c r="W184" s="373"/>
      <c r="X184" s="278"/>
      <c r="Y184" s="311"/>
      <c r="Z184" s="311"/>
      <c r="AA184" s="311"/>
      <c r="AB184" s="311"/>
      <c r="AC184" s="311"/>
      <c r="AD184" s="311"/>
    </row>
    <row r="185" spans="1:30" s="310" customFormat="1" x14ac:dyDescent="0.25">
      <c r="A185" s="312"/>
      <c r="B185" s="312"/>
      <c r="C185" s="312"/>
      <c r="D185" s="312"/>
      <c r="E185" s="312"/>
      <c r="F185" s="312"/>
      <c r="G185" s="312"/>
      <c r="H185" s="312"/>
      <c r="I185" s="312"/>
      <c r="J185" s="311"/>
      <c r="K185" s="311"/>
      <c r="L185" s="311"/>
      <c r="M185" s="311"/>
      <c r="N185" s="311"/>
      <c r="O185" s="311"/>
      <c r="P185" s="311"/>
      <c r="Q185" s="329"/>
      <c r="R185" s="377"/>
      <c r="S185" s="377"/>
      <c r="T185" s="377"/>
      <c r="U185" s="373"/>
      <c r="V185" s="373"/>
      <c r="W185" s="373"/>
      <c r="X185" s="278"/>
      <c r="Y185" s="311"/>
      <c r="Z185" s="311"/>
      <c r="AA185" s="311"/>
      <c r="AB185" s="311"/>
      <c r="AC185" s="311"/>
      <c r="AD185" s="311"/>
    </row>
    <row r="186" spans="1:30" s="310" customFormat="1" x14ac:dyDescent="0.25">
      <c r="A186" s="312"/>
      <c r="B186" s="312"/>
      <c r="C186" s="312"/>
      <c r="D186" s="312"/>
      <c r="E186" s="312"/>
      <c r="F186" s="312"/>
      <c r="G186" s="312"/>
      <c r="H186" s="312"/>
      <c r="I186" s="312"/>
      <c r="J186" s="311"/>
      <c r="K186" s="311"/>
      <c r="L186" s="311"/>
      <c r="M186" s="311"/>
      <c r="N186" s="311"/>
      <c r="O186" s="311"/>
      <c r="P186" s="311"/>
      <c r="Q186" s="329"/>
      <c r="R186" s="377"/>
      <c r="S186" s="377"/>
      <c r="T186" s="377"/>
      <c r="U186" s="373"/>
      <c r="V186" s="373"/>
      <c r="W186" s="373"/>
      <c r="X186" s="278"/>
      <c r="Y186" s="311"/>
      <c r="Z186" s="311"/>
      <c r="AA186" s="311"/>
      <c r="AB186" s="311"/>
      <c r="AC186" s="311"/>
      <c r="AD186" s="311"/>
    </row>
    <row r="187" spans="1:30" s="310" customFormat="1" x14ac:dyDescent="0.25">
      <c r="A187" s="312"/>
      <c r="B187" s="312"/>
      <c r="C187" s="312"/>
      <c r="D187" s="312"/>
      <c r="E187" s="312"/>
      <c r="F187" s="312"/>
      <c r="G187" s="312"/>
      <c r="H187" s="312"/>
      <c r="I187" s="312"/>
      <c r="J187" s="311"/>
      <c r="K187" s="311"/>
      <c r="L187" s="311"/>
      <c r="M187" s="311"/>
      <c r="N187" s="311"/>
      <c r="O187" s="311"/>
      <c r="P187" s="311"/>
      <c r="Q187" s="329"/>
      <c r="R187" s="377"/>
      <c r="S187" s="377"/>
      <c r="T187" s="377"/>
      <c r="U187" s="373"/>
      <c r="V187" s="373"/>
      <c r="W187" s="373"/>
      <c r="X187" s="278"/>
      <c r="Y187" s="311"/>
      <c r="Z187" s="311"/>
      <c r="AA187" s="311"/>
      <c r="AB187" s="311"/>
      <c r="AC187" s="311"/>
      <c r="AD187" s="311"/>
    </row>
    <row r="188" spans="1:30" s="310" customFormat="1" x14ac:dyDescent="0.25">
      <c r="A188" s="312"/>
      <c r="B188" s="312"/>
      <c r="C188" s="312"/>
      <c r="D188" s="312"/>
      <c r="E188" s="312"/>
      <c r="F188" s="312"/>
      <c r="G188" s="312"/>
      <c r="H188" s="312"/>
      <c r="I188" s="312"/>
      <c r="J188" s="311"/>
      <c r="K188" s="311"/>
      <c r="L188" s="311"/>
      <c r="M188" s="311"/>
      <c r="N188" s="311"/>
      <c r="O188" s="311"/>
      <c r="P188" s="311"/>
      <c r="Q188" s="329"/>
      <c r="R188" s="377"/>
      <c r="S188" s="377"/>
      <c r="T188" s="377"/>
      <c r="U188" s="373"/>
      <c r="V188" s="373"/>
      <c r="W188" s="373"/>
      <c r="X188" s="278"/>
      <c r="Y188" s="311"/>
      <c r="Z188" s="311"/>
      <c r="AA188" s="311"/>
      <c r="AB188" s="311"/>
      <c r="AC188" s="311"/>
      <c r="AD188" s="311"/>
    </row>
    <row r="189" spans="1:30" s="310" customFormat="1" x14ac:dyDescent="0.25">
      <c r="A189" s="312"/>
      <c r="B189" s="312"/>
      <c r="C189" s="312"/>
      <c r="D189" s="312"/>
      <c r="E189" s="312"/>
      <c r="F189" s="312"/>
      <c r="G189" s="312"/>
      <c r="H189" s="312"/>
      <c r="I189" s="312"/>
      <c r="J189" s="311"/>
      <c r="K189" s="311"/>
      <c r="L189" s="311"/>
      <c r="M189" s="311"/>
      <c r="N189" s="311"/>
      <c r="O189" s="311"/>
      <c r="P189" s="311"/>
      <c r="Q189" s="329"/>
      <c r="R189" s="377"/>
      <c r="S189" s="377"/>
      <c r="T189" s="377"/>
      <c r="U189" s="373"/>
      <c r="V189" s="373"/>
      <c r="W189" s="373"/>
      <c r="X189" s="278"/>
      <c r="Y189" s="311"/>
      <c r="Z189" s="311"/>
      <c r="AA189" s="311"/>
      <c r="AB189" s="311"/>
      <c r="AC189" s="311"/>
      <c r="AD189" s="311"/>
    </row>
    <row r="190" spans="1:30" s="310" customFormat="1" x14ac:dyDescent="0.25">
      <c r="A190" s="312"/>
      <c r="B190" s="312"/>
      <c r="C190" s="312"/>
      <c r="D190" s="312"/>
      <c r="E190" s="312"/>
      <c r="F190" s="312"/>
      <c r="G190" s="312"/>
      <c r="H190" s="312"/>
      <c r="I190" s="312"/>
      <c r="J190" s="311"/>
      <c r="K190" s="311"/>
      <c r="L190" s="311"/>
      <c r="M190" s="311"/>
      <c r="N190" s="311"/>
      <c r="O190" s="311"/>
      <c r="P190" s="311"/>
      <c r="Q190" s="329"/>
      <c r="R190" s="377"/>
      <c r="S190" s="377"/>
      <c r="T190" s="377"/>
      <c r="U190" s="373"/>
      <c r="V190" s="373"/>
      <c r="W190" s="373"/>
      <c r="X190" s="278"/>
      <c r="Y190" s="311"/>
      <c r="Z190" s="311"/>
      <c r="AA190" s="311"/>
      <c r="AB190" s="311"/>
      <c r="AC190" s="311"/>
      <c r="AD190" s="311"/>
    </row>
    <row r="191" spans="1:30" s="310" customFormat="1" x14ac:dyDescent="0.25">
      <c r="A191" s="312"/>
      <c r="B191" s="312"/>
      <c r="C191" s="312"/>
      <c r="D191" s="312"/>
      <c r="E191" s="312"/>
      <c r="F191" s="312"/>
      <c r="G191" s="312"/>
      <c r="H191" s="312"/>
      <c r="I191" s="312"/>
      <c r="J191" s="311"/>
      <c r="K191" s="311"/>
      <c r="L191" s="311"/>
      <c r="M191" s="311"/>
      <c r="N191" s="311"/>
      <c r="O191" s="311"/>
      <c r="P191" s="311"/>
      <c r="Q191" s="329"/>
      <c r="R191" s="377"/>
      <c r="S191" s="377"/>
      <c r="T191" s="377"/>
      <c r="U191" s="373"/>
      <c r="V191" s="373"/>
      <c r="W191" s="373"/>
      <c r="X191" s="278"/>
      <c r="Y191" s="311"/>
      <c r="Z191" s="311"/>
      <c r="AA191" s="311"/>
      <c r="AB191" s="311"/>
      <c r="AC191" s="311"/>
      <c r="AD191" s="311"/>
    </row>
    <row r="192" spans="1:30" s="310" customFormat="1" x14ac:dyDescent="0.25">
      <c r="A192" s="312"/>
      <c r="B192" s="312"/>
      <c r="C192" s="312"/>
      <c r="D192" s="312"/>
      <c r="E192" s="312"/>
      <c r="F192" s="312"/>
      <c r="G192" s="312"/>
      <c r="H192" s="312"/>
      <c r="I192" s="312"/>
      <c r="J192" s="311"/>
      <c r="K192" s="311"/>
      <c r="L192" s="311"/>
      <c r="M192" s="311"/>
      <c r="N192" s="311"/>
      <c r="O192" s="311"/>
      <c r="P192" s="311"/>
      <c r="Q192" s="329"/>
      <c r="R192" s="377"/>
      <c r="S192" s="377"/>
      <c r="T192" s="377"/>
      <c r="U192" s="373"/>
      <c r="V192" s="373"/>
      <c r="W192" s="373"/>
      <c r="X192" s="278"/>
      <c r="Y192" s="311"/>
      <c r="Z192" s="311"/>
      <c r="AA192" s="311"/>
      <c r="AB192" s="311"/>
      <c r="AC192" s="311"/>
      <c r="AD192" s="311"/>
    </row>
    <row r="193" spans="1:30" s="310" customFormat="1" x14ac:dyDescent="0.25">
      <c r="A193" s="312"/>
      <c r="B193" s="312"/>
      <c r="C193" s="312"/>
      <c r="D193" s="312"/>
      <c r="E193" s="312"/>
      <c r="F193" s="312"/>
      <c r="G193" s="312"/>
      <c r="H193" s="312"/>
      <c r="I193" s="312"/>
      <c r="J193" s="311"/>
      <c r="K193" s="311"/>
      <c r="L193" s="311"/>
      <c r="M193" s="311"/>
      <c r="N193" s="311"/>
      <c r="O193" s="311"/>
      <c r="P193" s="311"/>
      <c r="Q193" s="329"/>
      <c r="R193" s="377"/>
      <c r="S193" s="377"/>
      <c r="T193" s="377"/>
      <c r="U193" s="373"/>
      <c r="V193" s="373"/>
      <c r="W193" s="373"/>
      <c r="X193" s="278"/>
      <c r="Y193" s="311"/>
      <c r="Z193" s="311"/>
      <c r="AA193" s="311"/>
      <c r="AB193" s="311"/>
      <c r="AC193" s="311"/>
      <c r="AD193" s="311"/>
    </row>
    <row r="194" spans="1:30" s="310" customFormat="1" x14ac:dyDescent="0.25">
      <c r="A194" s="312"/>
      <c r="B194" s="312"/>
      <c r="C194" s="312"/>
      <c r="D194" s="312"/>
      <c r="E194" s="312"/>
      <c r="F194" s="312"/>
      <c r="G194" s="312"/>
      <c r="H194" s="312"/>
      <c r="I194" s="312"/>
      <c r="J194" s="311"/>
      <c r="K194" s="311"/>
      <c r="L194" s="311"/>
      <c r="M194" s="311"/>
      <c r="N194" s="311"/>
      <c r="O194" s="311"/>
      <c r="P194" s="311"/>
      <c r="Q194" s="329"/>
      <c r="R194" s="377"/>
      <c r="S194" s="377"/>
      <c r="T194" s="377"/>
      <c r="U194" s="373"/>
      <c r="V194" s="373"/>
      <c r="W194" s="373"/>
      <c r="X194" s="278"/>
      <c r="Y194" s="311"/>
      <c r="Z194" s="311"/>
      <c r="AA194" s="311"/>
      <c r="AB194" s="311"/>
      <c r="AC194" s="311"/>
      <c r="AD194" s="311"/>
    </row>
    <row r="195" spans="1:30" s="310" customFormat="1" x14ac:dyDescent="0.25">
      <c r="A195" s="312"/>
      <c r="B195" s="312"/>
      <c r="C195" s="312"/>
      <c r="D195" s="312"/>
      <c r="E195" s="312"/>
      <c r="F195" s="312"/>
      <c r="G195" s="312"/>
      <c r="H195" s="312"/>
      <c r="I195" s="312"/>
      <c r="J195" s="311"/>
      <c r="K195" s="311"/>
      <c r="L195" s="311"/>
      <c r="M195" s="311"/>
      <c r="N195" s="311"/>
      <c r="O195" s="311"/>
      <c r="P195" s="311"/>
      <c r="Q195" s="329"/>
      <c r="R195" s="377"/>
      <c r="S195" s="377"/>
      <c r="T195" s="377"/>
      <c r="U195" s="373"/>
      <c r="V195" s="373"/>
      <c r="W195" s="373"/>
      <c r="X195" s="278"/>
      <c r="Y195" s="311"/>
      <c r="Z195" s="311"/>
      <c r="AA195" s="311"/>
      <c r="AB195" s="311"/>
      <c r="AC195" s="311"/>
      <c r="AD195" s="311"/>
    </row>
    <row r="196" spans="1:30" s="310" customFormat="1" x14ac:dyDescent="0.25">
      <c r="A196" s="312"/>
      <c r="B196" s="312"/>
      <c r="C196" s="312"/>
      <c r="D196" s="312"/>
      <c r="E196" s="312"/>
      <c r="F196" s="312"/>
      <c r="G196" s="312"/>
      <c r="H196" s="312"/>
      <c r="I196" s="312"/>
      <c r="J196" s="311"/>
      <c r="K196" s="311"/>
      <c r="L196" s="311"/>
      <c r="M196" s="311"/>
      <c r="N196" s="311"/>
      <c r="O196" s="311"/>
      <c r="P196" s="311"/>
      <c r="Q196" s="329"/>
      <c r="R196" s="377"/>
      <c r="S196" s="377"/>
      <c r="T196" s="377"/>
      <c r="U196" s="373"/>
      <c r="V196" s="373"/>
      <c r="W196" s="373"/>
      <c r="X196" s="278"/>
      <c r="Y196" s="311"/>
      <c r="Z196" s="311"/>
      <c r="AA196" s="311"/>
      <c r="AB196" s="311"/>
      <c r="AC196" s="311"/>
      <c r="AD196" s="311"/>
    </row>
    <row r="197" spans="1:30" s="310" customFormat="1" x14ac:dyDescent="0.25">
      <c r="A197" s="312"/>
      <c r="B197" s="312"/>
      <c r="C197" s="312"/>
      <c r="D197" s="312"/>
      <c r="E197" s="312"/>
      <c r="F197" s="312"/>
      <c r="G197" s="312"/>
      <c r="H197" s="312"/>
      <c r="I197" s="312"/>
      <c r="J197" s="311"/>
      <c r="K197" s="311"/>
      <c r="L197" s="311"/>
      <c r="M197" s="311"/>
      <c r="N197" s="311"/>
      <c r="O197" s="311"/>
      <c r="P197" s="311"/>
      <c r="Q197" s="329"/>
      <c r="R197" s="377"/>
      <c r="S197" s="377"/>
      <c r="T197" s="377"/>
      <c r="U197" s="373"/>
      <c r="V197" s="373"/>
      <c r="W197" s="373"/>
      <c r="X197" s="278"/>
      <c r="Y197" s="311"/>
      <c r="Z197" s="311"/>
      <c r="AA197" s="311"/>
      <c r="AB197" s="311"/>
      <c r="AC197" s="311"/>
      <c r="AD197" s="311"/>
    </row>
    <row r="198" spans="1:30" s="310" customFormat="1" x14ac:dyDescent="0.25">
      <c r="A198" s="312"/>
      <c r="B198" s="312"/>
      <c r="C198" s="312"/>
      <c r="D198" s="312"/>
      <c r="E198" s="312"/>
      <c r="F198" s="312"/>
      <c r="G198" s="312"/>
      <c r="H198" s="312"/>
      <c r="I198" s="312"/>
      <c r="J198" s="311"/>
      <c r="K198" s="311"/>
      <c r="L198" s="311"/>
      <c r="M198" s="311"/>
      <c r="N198" s="311"/>
      <c r="O198" s="311"/>
      <c r="P198" s="311"/>
      <c r="Q198" s="329"/>
      <c r="R198" s="377"/>
      <c r="S198" s="377"/>
      <c r="T198" s="377"/>
      <c r="U198" s="373"/>
      <c r="V198" s="373"/>
      <c r="W198" s="373"/>
      <c r="X198" s="278"/>
      <c r="Y198" s="311"/>
      <c r="Z198" s="311"/>
      <c r="AA198" s="311"/>
      <c r="AB198" s="311"/>
      <c r="AC198" s="311"/>
      <c r="AD198" s="311"/>
    </row>
    <row r="199" spans="1:30" s="310" customFormat="1" x14ac:dyDescent="0.25">
      <c r="A199" s="312"/>
      <c r="B199" s="312"/>
      <c r="C199" s="312"/>
      <c r="D199" s="312"/>
      <c r="E199" s="312"/>
      <c r="F199" s="312"/>
      <c r="G199" s="312"/>
      <c r="H199" s="312"/>
      <c r="I199" s="312"/>
      <c r="J199" s="311"/>
      <c r="K199" s="311"/>
      <c r="L199" s="311"/>
      <c r="M199" s="311"/>
      <c r="N199" s="311"/>
      <c r="O199" s="311"/>
      <c r="P199" s="311"/>
      <c r="Q199" s="329"/>
      <c r="R199" s="377"/>
      <c r="S199" s="377"/>
      <c r="T199" s="377"/>
      <c r="U199" s="373"/>
      <c r="V199" s="373"/>
      <c r="W199" s="373"/>
      <c r="X199" s="278"/>
      <c r="Y199" s="311"/>
      <c r="Z199" s="311"/>
      <c r="AA199" s="311"/>
      <c r="AB199" s="311"/>
      <c r="AC199" s="311"/>
      <c r="AD199" s="311"/>
    </row>
    <row r="200" spans="1:30" s="310" customFormat="1" x14ac:dyDescent="0.25">
      <c r="A200" s="312"/>
      <c r="B200" s="312"/>
      <c r="C200" s="312"/>
      <c r="D200" s="312"/>
      <c r="E200" s="312"/>
      <c r="F200" s="312"/>
      <c r="G200" s="312"/>
      <c r="H200" s="312"/>
      <c r="I200" s="312"/>
      <c r="J200" s="311"/>
      <c r="K200" s="311"/>
      <c r="L200" s="311"/>
      <c r="M200" s="311"/>
      <c r="N200" s="311"/>
      <c r="O200" s="311"/>
      <c r="P200" s="311"/>
      <c r="Q200" s="329"/>
      <c r="R200" s="377"/>
      <c r="S200" s="377"/>
      <c r="T200" s="377"/>
      <c r="U200" s="373"/>
      <c r="V200" s="373"/>
      <c r="W200" s="373"/>
      <c r="X200" s="278"/>
      <c r="Y200" s="311"/>
      <c r="Z200" s="311"/>
      <c r="AA200" s="311"/>
      <c r="AB200" s="311"/>
      <c r="AC200" s="311"/>
      <c r="AD200" s="311"/>
    </row>
    <row r="201" spans="1:30" s="310" customFormat="1" x14ac:dyDescent="0.25">
      <c r="A201" s="312"/>
      <c r="B201" s="312"/>
      <c r="C201" s="312"/>
      <c r="D201" s="312"/>
      <c r="E201" s="312"/>
      <c r="F201" s="312"/>
      <c r="G201" s="312"/>
      <c r="H201" s="312"/>
      <c r="I201" s="312"/>
      <c r="J201" s="311"/>
      <c r="K201" s="311"/>
      <c r="L201" s="311"/>
      <c r="M201" s="311"/>
      <c r="N201" s="311"/>
      <c r="O201" s="311"/>
      <c r="P201" s="311"/>
      <c r="Q201" s="329"/>
      <c r="R201" s="377"/>
      <c r="S201" s="377"/>
      <c r="T201" s="377"/>
      <c r="U201" s="373"/>
      <c r="V201" s="373"/>
      <c r="W201" s="373"/>
      <c r="X201" s="278"/>
      <c r="Y201" s="311"/>
      <c r="Z201" s="311"/>
      <c r="AA201" s="311"/>
      <c r="AB201" s="311"/>
      <c r="AC201" s="311"/>
      <c r="AD201" s="311"/>
    </row>
    <row r="202" spans="1:30" s="310" customFormat="1" x14ac:dyDescent="0.25">
      <c r="A202" s="312"/>
      <c r="B202" s="312"/>
      <c r="C202" s="312"/>
      <c r="D202" s="312"/>
      <c r="E202" s="312"/>
      <c r="F202" s="312"/>
      <c r="G202" s="312"/>
      <c r="H202" s="312"/>
      <c r="I202" s="312"/>
      <c r="J202" s="311"/>
      <c r="K202" s="311"/>
      <c r="L202" s="311"/>
      <c r="M202" s="311"/>
      <c r="N202" s="311"/>
      <c r="O202" s="311"/>
      <c r="P202" s="311"/>
      <c r="Q202" s="329"/>
      <c r="R202" s="377"/>
      <c r="S202" s="377"/>
      <c r="T202" s="377"/>
      <c r="U202" s="373"/>
      <c r="V202" s="373"/>
      <c r="W202" s="373"/>
      <c r="X202" s="278"/>
      <c r="Y202" s="311"/>
      <c r="Z202" s="311"/>
      <c r="AA202" s="311"/>
      <c r="AB202" s="311"/>
      <c r="AC202" s="311"/>
      <c r="AD202" s="311"/>
    </row>
    <row r="203" spans="1:30" s="310" customFormat="1" x14ac:dyDescent="0.25">
      <c r="A203" s="312"/>
      <c r="B203" s="312"/>
      <c r="C203" s="312"/>
      <c r="D203" s="312"/>
      <c r="E203" s="312"/>
      <c r="F203" s="312"/>
      <c r="G203" s="312"/>
      <c r="H203" s="312"/>
      <c r="I203" s="312"/>
      <c r="J203" s="311"/>
      <c r="K203" s="311"/>
      <c r="L203" s="311"/>
      <c r="M203" s="311"/>
      <c r="N203" s="311"/>
      <c r="O203" s="311"/>
      <c r="P203" s="311"/>
      <c r="Q203" s="329"/>
      <c r="R203" s="377"/>
      <c r="S203" s="377"/>
      <c r="T203" s="377"/>
      <c r="U203" s="373"/>
      <c r="V203" s="373"/>
      <c r="W203" s="373"/>
      <c r="X203" s="278"/>
      <c r="Y203" s="311"/>
      <c r="Z203" s="311"/>
      <c r="AA203" s="311"/>
      <c r="AB203" s="311"/>
      <c r="AC203" s="311"/>
      <c r="AD203" s="311"/>
    </row>
    <row r="204" spans="1:30" s="310" customFormat="1" x14ac:dyDescent="0.25">
      <c r="A204" s="312"/>
      <c r="B204" s="312"/>
      <c r="C204" s="312"/>
      <c r="D204" s="312"/>
      <c r="E204" s="312"/>
      <c r="F204" s="312"/>
      <c r="G204" s="312"/>
      <c r="H204" s="312"/>
      <c r="I204" s="312"/>
      <c r="J204" s="311"/>
      <c r="K204" s="311"/>
      <c r="L204" s="311"/>
      <c r="M204" s="311"/>
      <c r="N204" s="311"/>
      <c r="O204" s="311"/>
      <c r="P204" s="311"/>
      <c r="Q204" s="329"/>
      <c r="R204" s="377"/>
      <c r="S204" s="377"/>
      <c r="T204" s="377"/>
      <c r="U204" s="373"/>
      <c r="V204" s="373"/>
      <c r="W204" s="373"/>
      <c r="X204" s="278"/>
      <c r="Y204" s="311"/>
      <c r="Z204" s="311"/>
      <c r="AA204" s="311"/>
      <c r="AB204" s="311"/>
      <c r="AC204" s="311"/>
      <c r="AD204" s="311"/>
    </row>
    <row r="205" spans="1:30" s="310" customFormat="1" x14ac:dyDescent="0.25">
      <c r="A205" s="312"/>
      <c r="B205" s="312"/>
      <c r="C205" s="312"/>
      <c r="D205" s="312"/>
      <c r="E205" s="312"/>
      <c r="F205" s="312"/>
      <c r="G205" s="312"/>
      <c r="H205" s="312"/>
      <c r="I205" s="312"/>
      <c r="J205" s="311"/>
      <c r="K205" s="311"/>
      <c r="L205" s="311"/>
      <c r="M205" s="311"/>
      <c r="N205" s="311"/>
      <c r="O205" s="311"/>
      <c r="P205" s="311"/>
      <c r="Q205" s="329"/>
      <c r="R205" s="377"/>
      <c r="S205" s="377"/>
      <c r="T205" s="377"/>
      <c r="U205" s="373"/>
      <c r="V205" s="373"/>
      <c r="W205" s="373"/>
      <c r="X205" s="278"/>
      <c r="Y205" s="311"/>
      <c r="Z205" s="311"/>
      <c r="AA205" s="311"/>
      <c r="AB205" s="311"/>
      <c r="AC205" s="311"/>
      <c r="AD205" s="311"/>
    </row>
    <row r="206" spans="1:30" s="310" customFormat="1" x14ac:dyDescent="0.25">
      <c r="A206" s="312"/>
      <c r="B206" s="312"/>
      <c r="C206" s="312"/>
      <c r="D206" s="312"/>
      <c r="E206" s="312"/>
      <c r="F206" s="312"/>
      <c r="G206" s="312"/>
      <c r="H206" s="312"/>
      <c r="I206" s="312"/>
      <c r="J206" s="311"/>
      <c r="K206" s="311"/>
      <c r="L206" s="311"/>
      <c r="M206" s="311"/>
      <c r="N206" s="311"/>
      <c r="O206" s="311"/>
      <c r="P206" s="311"/>
      <c r="Q206" s="329"/>
      <c r="R206" s="377"/>
      <c r="S206" s="377"/>
      <c r="T206" s="377"/>
      <c r="U206" s="373"/>
      <c r="V206" s="373"/>
      <c r="W206" s="373"/>
      <c r="X206" s="278"/>
      <c r="Y206" s="311"/>
      <c r="Z206" s="311"/>
      <c r="AA206" s="311"/>
      <c r="AB206" s="311"/>
      <c r="AC206" s="311"/>
      <c r="AD206" s="311"/>
    </row>
    <row r="207" spans="1:30" s="310" customFormat="1" x14ac:dyDescent="0.25">
      <c r="A207" s="312"/>
      <c r="B207" s="312"/>
      <c r="C207" s="312"/>
      <c r="D207" s="312"/>
      <c r="E207" s="312"/>
      <c r="F207" s="312"/>
      <c r="G207" s="312"/>
      <c r="H207" s="312"/>
      <c r="I207" s="312"/>
      <c r="J207" s="311"/>
      <c r="K207" s="311"/>
      <c r="L207" s="311"/>
      <c r="M207" s="311"/>
      <c r="N207" s="311"/>
      <c r="O207" s="311"/>
      <c r="P207" s="311"/>
      <c r="Q207" s="329"/>
      <c r="R207" s="377"/>
      <c r="S207" s="377"/>
      <c r="T207" s="377"/>
      <c r="U207" s="373"/>
      <c r="V207" s="373"/>
      <c r="W207" s="373"/>
      <c r="X207" s="278"/>
      <c r="Y207" s="311"/>
      <c r="Z207" s="311"/>
      <c r="AA207" s="311"/>
      <c r="AB207" s="311"/>
      <c r="AC207" s="311"/>
      <c r="AD207" s="311"/>
    </row>
    <row r="208" spans="1:30" s="310" customFormat="1" x14ac:dyDescent="0.25">
      <c r="A208" s="312"/>
      <c r="B208" s="312"/>
      <c r="C208" s="312"/>
      <c r="D208" s="312"/>
      <c r="E208" s="312"/>
      <c r="F208" s="312"/>
      <c r="G208" s="312"/>
      <c r="H208" s="312"/>
      <c r="I208" s="312"/>
      <c r="J208" s="311"/>
      <c r="K208" s="311"/>
      <c r="L208" s="311"/>
      <c r="M208" s="311"/>
      <c r="N208" s="311"/>
      <c r="O208" s="311"/>
      <c r="P208" s="311"/>
      <c r="Q208" s="329"/>
      <c r="R208" s="377"/>
      <c r="S208" s="377"/>
      <c r="T208" s="377"/>
      <c r="U208" s="373"/>
      <c r="V208" s="373"/>
      <c r="W208" s="373"/>
      <c r="X208" s="278"/>
      <c r="Y208" s="311"/>
      <c r="Z208" s="311"/>
      <c r="AA208" s="311"/>
      <c r="AB208" s="311"/>
      <c r="AC208" s="311"/>
      <c r="AD208" s="311"/>
    </row>
    <row r="209" spans="1:30" s="310" customFormat="1" x14ac:dyDescent="0.25">
      <c r="A209" s="312"/>
      <c r="B209" s="312"/>
      <c r="C209" s="312"/>
      <c r="D209" s="312"/>
      <c r="E209" s="312"/>
      <c r="F209" s="312"/>
      <c r="G209" s="312"/>
      <c r="H209" s="312"/>
      <c r="I209" s="312"/>
      <c r="J209" s="311"/>
      <c r="K209" s="311"/>
      <c r="L209" s="311"/>
      <c r="M209" s="311"/>
      <c r="N209" s="311"/>
      <c r="O209" s="311"/>
      <c r="P209" s="311"/>
      <c r="Q209" s="329"/>
      <c r="R209" s="377"/>
      <c r="S209" s="377"/>
      <c r="T209" s="377"/>
      <c r="U209" s="373"/>
      <c r="V209" s="373"/>
      <c r="W209" s="373"/>
      <c r="X209" s="278"/>
      <c r="Y209" s="311"/>
      <c r="Z209" s="311"/>
      <c r="AA209" s="311"/>
      <c r="AB209" s="311"/>
      <c r="AC209" s="311"/>
      <c r="AD209" s="311"/>
    </row>
    <row r="210" spans="1:30" s="310" customFormat="1" x14ac:dyDescent="0.25">
      <c r="A210" s="312"/>
      <c r="B210" s="312"/>
      <c r="C210" s="312"/>
      <c r="D210" s="312"/>
      <c r="E210" s="312"/>
      <c r="F210" s="312"/>
      <c r="G210" s="312"/>
      <c r="H210" s="312"/>
      <c r="I210" s="312"/>
      <c r="J210" s="311"/>
      <c r="K210" s="311"/>
      <c r="L210" s="311"/>
      <c r="M210" s="311"/>
      <c r="N210" s="311"/>
      <c r="O210" s="311"/>
      <c r="P210" s="311"/>
      <c r="Q210" s="329"/>
      <c r="R210" s="377"/>
      <c r="S210" s="377"/>
      <c r="T210" s="377"/>
      <c r="U210" s="373"/>
      <c r="V210" s="373"/>
      <c r="W210" s="373"/>
      <c r="X210" s="278"/>
      <c r="Y210" s="311"/>
      <c r="Z210" s="311"/>
      <c r="AA210" s="311"/>
      <c r="AB210" s="311"/>
      <c r="AC210" s="311"/>
      <c r="AD210" s="311"/>
    </row>
    <row r="211" spans="1:30" s="310" customFormat="1" x14ac:dyDescent="0.25">
      <c r="A211" s="312"/>
      <c r="B211" s="312"/>
      <c r="C211" s="312"/>
      <c r="D211" s="312"/>
      <c r="E211" s="312"/>
      <c r="F211" s="312"/>
      <c r="G211" s="312"/>
      <c r="H211" s="312"/>
      <c r="I211" s="312"/>
      <c r="J211" s="311"/>
      <c r="K211" s="311"/>
      <c r="L211" s="311"/>
      <c r="M211" s="311"/>
      <c r="N211" s="311"/>
      <c r="O211" s="311"/>
      <c r="P211" s="311"/>
      <c r="Q211" s="329"/>
      <c r="R211" s="377"/>
      <c r="S211" s="377"/>
      <c r="T211" s="377"/>
      <c r="U211" s="373"/>
      <c r="V211" s="373"/>
      <c r="W211" s="373"/>
      <c r="X211" s="278"/>
      <c r="Y211" s="311"/>
      <c r="Z211" s="311"/>
      <c r="AA211" s="311"/>
      <c r="AB211" s="311"/>
      <c r="AC211" s="311"/>
      <c r="AD211" s="311"/>
    </row>
    <row r="212" spans="1:30" s="310" customFormat="1" x14ac:dyDescent="0.25">
      <c r="A212" s="312"/>
      <c r="B212" s="312"/>
      <c r="C212" s="312"/>
      <c r="D212" s="312"/>
      <c r="E212" s="312"/>
      <c r="F212" s="312"/>
      <c r="G212" s="312"/>
      <c r="H212" s="312"/>
      <c r="I212" s="312"/>
      <c r="J212" s="311"/>
      <c r="K212" s="311"/>
      <c r="L212" s="311"/>
      <c r="M212" s="311"/>
      <c r="N212" s="311"/>
      <c r="O212" s="311"/>
      <c r="P212" s="311"/>
      <c r="Q212" s="329"/>
      <c r="R212" s="377"/>
      <c r="S212" s="377"/>
      <c r="T212" s="377"/>
      <c r="U212" s="373"/>
      <c r="V212" s="373"/>
      <c r="W212" s="373"/>
      <c r="X212" s="278"/>
      <c r="Y212" s="311"/>
      <c r="Z212" s="311"/>
      <c r="AA212" s="311"/>
      <c r="AB212" s="311"/>
      <c r="AC212" s="311"/>
      <c r="AD212" s="311"/>
    </row>
    <row r="213" spans="1:30" s="310" customFormat="1" x14ac:dyDescent="0.25">
      <c r="A213" s="312"/>
      <c r="B213" s="312"/>
      <c r="C213" s="312"/>
      <c r="D213" s="312"/>
      <c r="E213" s="312"/>
      <c r="F213" s="312"/>
      <c r="G213" s="312"/>
      <c r="H213" s="312"/>
      <c r="I213" s="312"/>
      <c r="J213" s="311"/>
      <c r="K213" s="311"/>
      <c r="L213" s="311"/>
      <c r="M213" s="311"/>
      <c r="N213" s="311"/>
      <c r="O213" s="311"/>
      <c r="P213" s="311"/>
      <c r="Q213" s="329"/>
      <c r="R213" s="377"/>
      <c r="S213" s="377"/>
      <c r="T213" s="377"/>
      <c r="U213" s="373"/>
      <c r="V213" s="373"/>
      <c r="W213" s="373"/>
      <c r="X213" s="278"/>
      <c r="Y213" s="311"/>
      <c r="Z213" s="311"/>
      <c r="AA213" s="311"/>
      <c r="AB213" s="311"/>
      <c r="AC213" s="311"/>
      <c r="AD213" s="311"/>
    </row>
    <row r="214" spans="1:30" s="310" customFormat="1" x14ac:dyDescent="0.25">
      <c r="A214" s="312"/>
      <c r="B214" s="312"/>
      <c r="C214" s="312"/>
      <c r="D214" s="312"/>
      <c r="E214" s="312"/>
      <c r="F214" s="312"/>
      <c r="G214" s="312"/>
      <c r="H214" s="312"/>
      <c r="I214" s="312"/>
      <c r="J214" s="311"/>
      <c r="K214" s="311"/>
      <c r="L214" s="311"/>
      <c r="M214" s="311"/>
      <c r="N214" s="311"/>
      <c r="O214" s="311"/>
      <c r="P214" s="311"/>
      <c r="Q214" s="329"/>
      <c r="R214" s="377"/>
      <c r="S214" s="377"/>
      <c r="T214" s="377"/>
      <c r="U214" s="373"/>
      <c r="V214" s="373"/>
      <c r="W214" s="373"/>
      <c r="X214" s="278"/>
      <c r="Y214" s="311"/>
      <c r="Z214" s="311"/>
      <c r="AA214" s="311"/>
      <c r="AB214" s="311"/>
      <c r="AC214" s="311"/>
      <c r="AD214" s="311"/>
    </row>
    <row r="215" spans="1:30" s="310" customFormat="1" x14ac:dyDescent="0.25">
      <c r="A215" s="312"/>
      <c r="B215" s="312"/>
      <c r="C215" s="312"/>
      <c r="D215" s="312"/>
      <c r="E215" s="312"/>
      <c r="F215" s="312"/>
      <c r="G215" s="312"/>
      <c r="H215" s="312"/>
      <c r="I215" s="312"/>
      <c r="J215" s="311"/>
      <c r="K215" s="311"/>
      <c r="L215" s="311"/>
      <c r="M215" s="311"/>
      <c r="N215" s="311"/>
      <c r="O215" s="311"/>
      <c r="P215" s="311"/>
      <c r="Q215" s="329"/>
      <c r="R215" s="377"/>
      <c r="S215" s="377"/>
      <c r="T215" s="377"/>
      <c r="U215" s="373"/>
      <c r="V215" s="373"/>
      <c r="W215" s="373"/>
      <c r="X215" s="278"/>
      <c r="Y215" s="311"/>
      <c r="Z215" s="311"/>
      <c r="AA215" s="311"/>
      <c r="AB215" s="311"/>
      <c r="AC215" s="311"/>
      <c r="AD215" s="311"/>
    </row>
    <row r="216" spans="1:30" s="310" customFormat="1" x14ac:dyDescent="0.25">
      <c r="A216" s="312"/>
      <c r="B216" s="312"/>
      <c r="C216" s="312"/>
      <c r="D216" s="312"/>
      <c r="E216" s="312"/>
      <c r="F216" s="312"/>
      <c r="G216" s="312"/>
      <c r="H216" s="312"/>
      <c r="I216" s="312"/>
      <c r="J216" s="311"/>
      <c r="K216" s="311"/>
      <c r="L216" s="311"/>
      <c r="M216" s="311"/>
      <c r="N216" s="311"/>
      <c r="O216" s="311"/>
      <c r="P216" s="311"/>
      <c r="Q216" s="329"/>
      <c r="R216" s="377"/>
      <c r="S216" s="377"/>
      <c r="T216" s="377"/>
      <c r="U216" s="373"/>
      <c r="V216" s="373"/>
      <c r="W216" s="373"/>
      <c r="X216" s="278"/>
      <c r="Y216" s="311"/>
      <c r="Z216" s="311"/>
      <c r="AA216" s="311"/>
      <c r="AB216" s="311"/>
      <c r="AC216" s="311"/>
      <c r="AD216" s="311"/>
    </row>
    <row r="217" spans="1:30" s="310" customFormat="1" x14ac:dyDescent="0.25">
      <c r="A217" s="312"/>
      <c r="B217" s="312"/>
      <c r="C217" s="312"/>
      <c r="D217" s="312"/>
      <c r="E217" s="312"/>
      <c r="F217" s="312"/>
      <c r="G217" s="312"/>
      <c r="H217" s="312"/>
      <c r="I217" s="312"/>
      <c r="J217" s="311"/>
      <c r="K217" s="311"/>
      <c r="L217" s="311"/>
      <c r="M217" s="311"/>
      <c r="N217" s="311"/>
      <c r="O217" s="311"/>
      <c r="P217" s="311"/>
      <c r="Q217" s="329"/>
      <c r="R217" s="377"/>
      <c r="S217" s="377"/>
      <c r="T217" s="377"/>
      <c r="U217" s="373"/>
      <c r="V217" s="373"/>
      <c r="W217" s="373"/>
      <c r="X217" s="278"/>
      <c r="Y217" s="311"/>
      <c r="Z217" s="311"/>
      <c r="AA217" s="311"/>
      <c r="AB217" s="311"/>
      <c r="AC217" s="311"/>
      <c r="AD217" s="311"/>
    </row>
    <row r="218" spans="1:30" s="310" customFormat="1" x14ac:dyDescent="0.25">
      <c r="A218" s="312"/>
      <c r="B218" s="312"/>
      <c r="C218" s="312"/>
      <c r="D218" s="312"/>
      <c r="E218" s="312"/>
      <c r="F218" s="312"/>
      <c r="G218" s="312"/>
      <c r="H218" s="312"/>
      <c r="I218" s="312"/>
      <c r="J218" s="311"/>
      <c r="K218" s="311"/>
      <c r="L218" s="311"/>
      <c r="M218" s="311"/>
      <c r="N218" s="311"/>
      <c r="O218" s="311"/>
      <c r="P218" s="311"/>
      <c r="Q218" s="329"/>
      <c r="R218" s="377"/>
      <c r="S218" s="377"/>
      <c r="T218" s="377"/>
      <c r="U218" s="373"/>
      <c r="V218" s="373"/>
      <c r="W218" s="373"/>
      <c r="X218" s="278"/>
      <c r="Y218" s="311"/>
      <c r="Z218" s="311"/>
      <c r="AA218" s="311"/>
      <c r="AB218" s="311"/>
      <c r="AC218" s="311"/>
      <c r="AD218" s="311"/>
    </row>
    <row r="219" spans="1:30" s="310" customFormat="1" x14ac:dyDescent="0.25">
      <c r="A219" s="312"/>
      <c r="B219" s="312"/>
      <c r="C219" s="312"/>
      <c r="D219" s="312"/>
      <c r="E219" s="312"/>
      <c r="F219" s="312"/>
      <c r="G219" s="312"/>
      <c r="H219" s="312"/>
      <c r="I219" s="312"/>
      <c r="J219" s="311"/>
      <c r="K219" s="311"/>
      <c r="L219" s="311"/>
      <c r="M219" s="311"/>
      <c r="N219" s="311"/>
      <c r="O219" s="311"/>
      <c r="P219" s="311"/>
      <c r="Q219" s="329"/>
      <c r="R219" s="377"/>
      <c r="S219" s="377"/>
      <c r="T219" s="377"/>
      <c r="U219" s="373"/>
      <c r="V219" s="373"/>
      <c r="W219" s="373"/>
      <c r="X219" s="278"/>
      <c r="Y219" s="311"/>
      <c r="Z219" s="311"/>
      <c r="AA219" s="311"/>
      <c r="AB219" s="311"/>
      <c r="AC219" s="311"/>
      <c r="AD219" s="311"/>
    </row>
    <row r="220" spans="1:30" s="310" customFormat="1" x14ac:dyDescent="0.25">
      <c r="A220" s="312"/>
      <c r="B220" s="312"/>
      <c r="C220" s="312"/>
      <c r="D220" s="312"/>
      <c r="E220" s="312"/>
      <c r="F220" s="312"/>
      <c r="G220" s="312"/>
      <c r="H220" s="312"/>
      <c r="I220" s="312"/>
      <c r="J220" s="311"/>
      <c r="K220" s="311"/>
      <c r="L220" s="311"/>
      <c r="M220" s="311"/>
      <c r="N220" s="311"/>
      <c r="O220" s="311"/>
      <c r="P220" s="311"/>
      <c r="Q220" s="329"/>
      <c r="R220" s="377"/>
      <c r="S220" s="377"/>
      <c r="T220" s="377"/>
      <c r="U220" s="373"/>
      <c r="V220" s="373"/>
      <c r="W220" s="373"/>
      <c r="X220" s="278"/>
      <c r="Y220" s="311"/>
      <c r="Z220" s="311"/>
      <c r="AA220" s="311"/>
      <c r="AB220" s="311"/>
      <c r="AC220" s="311"/>
      <c r="AD220" s="311"/>
    </row>
    <row r="221" spans="1:30" s="310" customFormat="1" x14ac:dyDescent="0.25">
      <c r="A221" s="312"/>
      <c r="B221" s="312"/>
      <c r="C221" s="312"/>
      <c r="D221" s="312"/>
      <c r="E221" s="312"/>
      <c r="F221" s="312"/>
      <c r="G221" s="312"/>
      <c r="H221" s="312"/>
      <c r="I221" s="312"/>
      <c r="J221" s="311"/>
      <c r="K221" s="311"/>
      <c r="L221" s="311"/>
      <c r="M221" s="311"/>
      <c r="N221" s="311"/>
      <c r="O221" s="311"/>
      <c r="P221" s="311"/>
      <c r="Q221" s="329"/>
      <c r="R221" s="377"/>
      <c r="S221" s="377"/>
      <c r="T221" s="377"/>
      <c r="U221" s="373"/>
      <c r="V221" s="373"/>
      <c r="W221" s="373"/>
      <c r="X221" s="278"/>
      <c r="Y221" s="311"/>
      <c r="Z221" s="311"/>
      <c r="AA221" s="311"/>
      <c r="AB221" s="311"/>
      <c r="AC221" s="311"/>
      <c r="AD221" s="311"/>
    </row>
    <row r="222" spans="1:30" s="310" customFormat="1" x14ac:dyDescent="0.25">
      <c r="A222" s="312"/>
      <c r="B222" s="312"/>
      <c r="C222" s="312"/>
      <c r="D222" s="312"/>
      <c r="E222" s="312"/>
      <c r="F222" s="312"/>
      <c r="G222" s="312"/>
      <c r="H222" s="312"/>
      <c r="I222" s="312"/>
      <c r="J222" s="311"/>
      <c r="K222" s="311"/>
      <c r="L222" s="311"/>
      <c r="M222" s="311"/>
      <c r="N222" s="311"/>
      <c r="O222" s="311"/>
      <c r="P222" s="311"/>
      <c r="Q222" s="329"/>
      <c r="R222" s="377"/>
      <c r="S222" s="377"/>
      <c r="T222" s="377"/>
      <c r="U222" s="373"/>
      <c r="V222" s="373"/>
      <c r="W222" s="373"/>
      <c r="X222" s="278"/>
      <c r="Y222" s="311"/>
      <c r="Z222" s="311"/>
      <c r="AA222" s="311"/>
      <c r="AB222" s="311"/>
      <c r="AC222" s="311"/>
      <c r="AD222" s="311"/>
    </row>
    <row r="223" spans="1:30" s="310" customFormat="1" x14ac:dyDescent="0.25">
      <c r="A223" s="312"/>
      <c r="B223" s="312"/>
      <c r="C223" s="312"/>
      <c r="D223" s="312"/>
      <c r="E223" s="312"/>
      <c r="F223" s="312"/>
      <c r="G223" s="312"/>
      <c r="H223" s="312"/>
      <c r="I223" s="312"/>
      <c r="J223" s="311"/>
      <c r="K223" s="311"/>
      <c r="L223" s="311"/>
      <c r="M223" s="311"/>
      <c r="N223" s="311"/>
      <c r="O223" s="311"/>
      <c r="P223" s="311"/>
      <c r="Q223" s="329"/>
      <c r="R223" s="377"/>
      <c r="S223" s="377"/>
      <c r="T223" s="377"/>
      <c r="U223" s="373"/>
      <c r="V223" s="373"/>
      <c r="W223" s="373"/>
      <c r="X223" s="278"/>
      <c r="Y223" s="311"/>
      <c r="Z223" s="311"/>
      <c r="AA223" s="311"/>
      <c r="AB223" s="311"/>
      <c r="AC223" s="311"/>
      <c r="AD223" s="311"/>
    </row>
    <row r="224" spans="1:30" s="310" customFormat="1" x14ac:dyDescent="0.25">
      <c r="A224" s="312"/>
      <c r="B224" s="312"/>
      <c r="C224" s="312"/>
      <c r="D224" s="312"/>
      <c r="E224" s="312"/>
      <c r="F224" s="312"/>
      <c r="G224" s="312"/>
      <c r="H224" s="312"/>
      <c r="I224" s="312"/>
      <c r="J224" s="311"/>
      <c r="K224" s="311"/>
      <c r="L224" s="311"/>
      <c r="M224" s="311"/>
      <c r="N224" s="311"/>
      <c r="O224" s="311"/>
      <c r="P224" s="311"/>
      <c r="Q224" s="329"/>
      <c r="R224" s="377"/>
      <c r="S224" s="377"/>
      <c r="T224" s="377"/>
      <c r="U224" s="373"/>
      <c r="V224" s="373"/>
      <c r="W224" s="373"/>
      <c r="X224" s="278"/>
      <c r="Y224" s="311"/>
      <c r="Z224" s="311"/>
      <c r="AA224" s="311"/>
      <c r="AB224" s="311"/>
      <c r="AC224" s="311"/>
      <c r="AD224" s="311"/>
    </row>
    <row r="225" spans="1:30" s="310" customFormat="1" x14ac:dyDescent="0.25">
      <c r="A225" s="312"/>
      <c r="B225" s="312"/>
      <c r="C225" s="312"/>
      <c r="D225" s="312"/>
      <c r="E225" s="312"/>
      <c r="F225" s="312"/>
      <c r="G225" s="312"/>
      <c r="H225" s="312"/>
      <c r="I225" s="312"/>
      <c r="J225" s="311"/>
      <c r="K225" s="311"/>
      <c r="L225" s="311"/>
      <c r="M225" s="311"/>
      <c r="N225" s="311"/>
      <c r="O225" s="311"/>
      <c r="P225" s="311"/>
      <c r="Q225" s="329"/>
      <c r="R225" s="377"/>
      <c r="S225" s="377"/>
      <c r="T225" s="377"/>
      <c r="U225" s="373"/>
      <c r="V225" s="373"/>
      <c r="W225" s="373"/>
      <c r="X225" s="278"/>
      <c r="Y225" s="311"/>
      <c r="Z225" s="311"/>
      <c r="AA225" s="311"/>
      <c r="AB225" s="311"/>
      <c r="AC225" s="311"/>
      <c r="AD225" s="311"/>
    </row>
    <row r="226" spans="1:30" s="310" customFormat="1" x14ac:dyDescent="0.25">
      <c r="A226" s="312"/>
      <c r="B226" s="312"/>
      <c r="C226" s="312"/>
      <c r="D226" s="312"/>
      <c r="E226" s="312"/>
      <c r="F226" s="312"/>
      <c r="G226" s="312"/>
      <c r="H226" s="312"/>
      <c r="I226" s="312"/>
      <c r="J226" s="311"/>
      <c r="K226" s="311"/>
      <c r="L226" s="311"/>
      <c r="M226" s="311"/>
      <c r="N226" s="311"/>
      <c r="O226" s="311"/>
      <c r="P226" s="311"/>
      <c r="Q226" s="329"/>
      <c r="R226" s="377"/>
      <c r="S226" s="377"/>
      <c r="T226" s="377"/>
      <c r="U226" s="373"/>
      <c r="V226" s="373"/>
      <c r="W226" s="373"/>
      <c r="X226" s="278"/>
      <c r="Y226" s="311"/>
      <c r="Z226" s="311"/>
      <c r="AA226" s="311"/>
      <c r="AB226" s="311"/>
      <c r="AC226" s="311"/>
      <c r="AD226" s="311"/>
    </row>
    <row r="227" spans="1:30" s="310" customFormat="1" x14ac:dyDescent="0.25">
      <c r="A227" s="312"/>
      <c r="B227" s="312"/>
      <c r="C227" s="312"/>
      <c r="D227" s="312"/>
      <c r="E227" s="312"/>
      <c r="F227" s="312"/>
      <c r="G227" s="312"/>
      <c r="H227" s="312"/>
      <c r="I227" s="312"/>
      <c r="J227" s="311"/>
      <c r="K227" s="311"/>
      <c r="L227" s="311"/>
      <c r="M227" s="311"/>
      <c r="N227" s="311"/>
      <c r="O227" s="311"/>
      <c r="P227" s="311"/>
      <c r="Q227" s="329"/>
      <c r="R227" s="377"/>
      <c r="S227" s="377"/>
      <c r="T227" s="377"/>
      <c r="U227" s="373"/>
      <c r="V227" s="373"/>
      <c r="W227" s="373"/>
      <c r="X227" s="278"/>
      <c r="Y227" s="311"/>
      <c r="Z227" s="311"/>
      <c r="AA227" s="311"/>
      <c r="AB227" s="311"/>
      <c r="AC227" s="311"/>
      <c r="AD227" s="311"/>
    </row>
    <row r="228" spans="1:30" s="310" customFormat="1" x14ac:dyDescent="0.25">
      <c r="A228" s="312"/>
      <c r="B228" s="312"/>
      <c r="C228" s="312"/>
      <c r="D228" s="312"/>
      <c r="E228" s="312"/>
      <c r="F228" s="312"/>
      <c r="G228" s="312"/>
      <c r="H228" s="312"/>
      <c r="I228" s="312"/>
      <c r="J228" s="311"/>
      <c r="K228" s="311"/>
      <c r="L228" s="311"/>
      <c r="M228" s="311"/>
      <c r="N228" s="311"/>
      <c r="O228" s="311"/>
      <c r="P228" s="311"/>
      <c r="Q228" s="329"/>
      <c r="R228" s="377"/>
      <c r="S228" s="377"/>
      <c r="T228" s="377"/>
      <c r="U228" s="373"/>
      <c r="V228" s="373"/>
      <c r="W228" s="373"/>
      <c r="X228" s="278"/>
      <c r="Y228" s="311"/>
      <c r="Z228" s="311"/>
      <c r="AA228" s="311"/>
      <c r="AB228" s="311"/>
      <c r="AC228" s="311"/>
      <c r="AD228" s="311"/>
    </row>
    <row r="229" spans="1:30" s="310" customFormat="1" x14ac:dyDescent="0.25">
      <c r="A229" s="312"/>
      <c r="B229" s="312"/>
      <c r="C229" s="312"/>
      <c r="D229" s="312"/>
      <c r="E229" s="312"/>
      <c r="F229" s="312"/>
      <c r="G229" s="312"/>
      <c r="H229" s="312"/>
      <c r="I229" s="312"/>
      <c r="J229" s="311"/>
      <c r="K229" s="311"/>
      <c r="L229" s="311"/>
      <c r="M229" s="311"/>
      <c r="N229" s="311"/>
      <c r="O229" s="311"/>
      <c r="P229" s="311"/>
      <c r="Q229" s="329"/>
      <c r="R229" s="377"/>
      <c r="S229" s="377"/>
      <c r="T229" s="377"/>
      <c r="U229" s="373"/>
      <c r="V229" s="373"/>
      <c r="W229" s="373"/>
      <c r="X229" s="278"/>
      <c r="Y229" s="311"/>
      <c r="Z229" s="311"/>
      <c r="AA229" s="311"/>
      <c r="AB229" s="311"/>
      <c r="AC229" s="311"/>
      <c r="AD229" s="311"/>
    </row>
    <row r="230" spans="1:30" s="310" customFormat="1" x14ac:dyDescent="0.25">
      <c r="A230" s="312"/>
      <c r="B230" s="312"/>
      <c r="C230" s="312"/>
      <c r="D230" s="312"/>
      <c r="E230" s="312"/>
      <c r="F230" s="312"/>
      <c r="G230" s="312"/>
      <c r="H230" s="312"/>
      <c r="I230" s="312"/>
      <c r="J230" s="311"/>
      <c r="K230" s="311"/>
      <c r="L230" s="311"/>
      <c r="M230" s="311"/>
      <c r="N230" s="311"/>
      <c r="O230" s="311"/>
      <c r="P230" s="311"/>
      <c r="Q230" s="329"/>
      <c r="R230" s="377"/>
      <c r="S230" s="377"/>
      <c r="T230" s="377"/>
      <c r="U230" s="373"/>
      <c r="V230" s="373"/>
      <c r="W230" s="373"/>
      <c r="X230" s="278"/>
      <c r="Y230" s="311"/>
      <c r="Z230" s="311"/>
      <c r="AA230" s="311"/>
      <c r="AB230" s="311"/>
      <c r="AC230" s="311"/>
      <c r="AD230" s="311"/>
    </row>
    <row r="231" spans="1:30" s="310" customFormat="1" x14ac:dyDescent="0.25">
      <c r="A231" s="312"/>
      <c r="B231" s="312"/>
      <c r="C231" s="312"/>
      <c r="D231" s="312"/>
      <c r="E231" s="312"/>
      <c r="F231" s="312"/>
      <c r="G231" s="312"/>
      <c r="H231" s="312"/>
      <c r="I231" s="312"/>
      <c r="J231" s="311"/>
      <c r="K231" s="311"/>
      <c r="L231" s="311"/>
      <c r="M231" s="311"/>
      <c r="N231" s="311"/>
      <c r="O231" s="311"/>
      <c r="P231" s="311"/>
      <c r="Q231" s="329"/>
      <c r="R231" s="377"/>
      <c r="S231" s="377"/>
      <c r="T231" s="377"/>
      <c r="U231" s="373"/>
      <c r="V231" s="373"/>
      <c r="W231" s="373"/>
      <c r="X231" s="278"/>
      <c r="Y231" s="311"/>
      <c r="Z231" s="311"/>
      <c r="AA231" s="311"/>
      <c r="AB231" s="311"/>
      <c r="AC231" s="311"/>
      <c r="AD231" s="311"/>
    </row>
    <row r="232" spans="1:30" s="310" customFormat="1" x14ac:dyDescent="0.25">
      <c r="A232" s="312"/>
      <c r="B232" s="312"/>
      <c r="C232" s="312"/>
      <c r="D232" s="312"/>
      <c r="E232" s="312"/>
      <c r="F232" s="312"/>
      <c r="G232" s="312"/>
      <c r="H232" s="312"/>
      <c r="I232" s="312"/>
      <c r="J232" s="311"/>
      <c r="K232" s="311"/>
      <c r="L232" s="311"/>
      <c r="M232" s="311"/>
      <c r="N232" s="311"/>
      <c r="O232" s="311"/>
      <c r="P232" s="311"/>
      <c r="Q232" s="329"/>
      <c r="R232" s="377"/>
      <c r="S232" s="377"/>
      <c r="T232" s="377"/>
      <c r="U232" s="373"/>
      <c r="V232" s="373"/>
      <c r="W232" s="373"/>
      <c r="X232" s="278"/>
      <c r="Y232" s="311"/>
      <c r="Z232" s="311"/>
      <c r="AA232" s="311"/>
      <c r="AB232" s="311"/>
      <c r="AC232" s="311"/>
      <c r="AD232" s="311"/>
    </row>
    <row r="233" spans="1:30" s="310" customFormat="1" x14ac:dyDescent="0.25">
      <c r="A233" s="312"/>
      <c r="B233" s="312"/>
      <c r="C233" s="312"/>
      <c r="D233" s="312"/>
      <c r="E233" s="312"/>
      <c r="F233" s="312"/>
      <c r="G233" s="312"/>
      <c r="H233" s="312"/>
      <c r="I233" s="312"/>
      <c r="J233" s="311"/>
      <c r="K233" s="311"/>
      <c r="L233" s="311"/>
      <c r="M233" s="311"/>
      <c r="N233" s="311"/>
      <c r="O233" s="311"/>
      <c r="P233" s="311"/>
      <c r="Q233" s="329"/>
      <c r="R233" s="377"/>
      <c r="S233" s="377"/>
      <c r="T233" s="377"/>
      <c r="U233" s="373"/>
      <c r="V233" s="373"/>
      <c r="W233" s="373"/>
      <c r="X233" s="278"/>
      <c r="Y233" s="311"/>
      <c r="Z233" s="311"/>
      <c r="AA233" s="311"/>
      <c r="AB233" s="311"/>
      <c r="AC233" s="311"/>
      <c r="AD233" s="311"/>
    </row>
    <row r="234" spans="1:30" s="310" customFormat="1" x14ac:dyDescent="0.25">
      <c r="A234" s="312"/>
      <c r="B234" s="312"/>
      <c r="C234" s="312"/>
      <c r="D234" s="312"/>
      <c r="E234" s="312"/>
      <c r="F234" s="312"/>
      <c r="G234" s="312"/>
      <c r="H234" s="312"/>
      <c r="I234" s="312"/>
      <c r="J234" s="311"/>
      <c r="K234" s="311"/>
      <c r="L234" s="311"/>
      <c r="M234" s="311"/>
      <c r="N234" s="311"/>
      <c r="O234" s="311"/>
      <c r="P234" s="311"/>
      <c r="Q234" s="329"/>
      <c r="R234" s="377"/>
      <c r="S234" s="377"/>
      <c r="T234" s="377"/>
      <c r="U234" s="373"/>
      <c r="V234" s="373"/>
      <c r="W234" s="373"/>
      <c r="X234" s="278"/>
      <c r="Y234" s="311"/>
      <c r="Z234" s="311"/>
      <c r="AA234" s="311"/>
      <c r="AB234" s="311"/>
      <c r="AC234" s="311"/>
      <c r="AD234" s="311"/>
    </row>
    <row r="235" spans="1:30" s="310" customFormat="1" x14ac:dyDescent="0.25">
      <c r="A235" s="312"/>
      <c r="B235" s="312"/>
      <c r="C235" s="312"/>
      <c r="D235" s="312"/>
      <c r="E235" s="312"/>
      <c r="F235" s="312"/>
      <c r="G235" s="312"/>
      <c r="H235" s="312"/>
      <c r="I235" s="312"/>
      <c r="J235" s="311"/>
      <c r="K235" s="311"/>
      <c r="L235" s="311"/>
      <c r="M235" s="311"/>
      <c r="N235" s="311"/>
      <c r="O235" s="311"/>
      <c r="P235" s="311"/>
      <c r="Q235" s="329"/>
      <c r="R235" s="377"/>
      <c r="S235" s="377"/>
      <c r="T235" s="377"/>
      <c r="U235" s="373"/>
      <c r="V235" s="373"/>
      <c r="W235" s="373"/>
      <c r="X235" s="278"/>
      <c r="Y235" s="311"/>
      <c r="Z235" s="311"/>
      <c r="AA235" s="311"/>
      <c r="AB235" s="311"/>
      <c r="AC235" s="311"/>
      <c r="AD235" s="311"/>
    </row>
    <row r="236" spans="1:30" s="310" customFormat="1" x14ac:dyDescent="0.25">
      <c r="A236" s="312"/>
      <c r="B236" s="312"/>
      <c r="C236" s="312"/>
      <c r="D236" s="312"/>
      <c r="E236" s="312"/>
      <c r="F236" s="312"/>
      <c r="G236" s="312"/>
      <c r="H236" s="312"/>
      <c r="I236" s="312"/>
      <c r="J236" s="311"/>
      <c r="K236" s="311"/>
      <c r="L236" s="311"/>
      <c r="M236" s="311"/>
      <c r="N236" s="311"/>
      <c r="O236" s="311"/>
      <c r="P236" s="311"/>
      <c r="Q236" s="329"/>
      <c r="R236" s="377"/>
      <c r="S236" s="377"/>
      <c r="T236" s="377"/>
      <c r="U236" s="373"/>
      <c r="V236" s="373"/>
      <c r="W236" s="373"/>
      <c r="X236" s="278"/>
      <c r="Y236" s="311"/>
      <c r="Z236" s="311"/>
      <c r="AA236" s="311"/>
      <c r="AB236" s="311"/>
      <c r="AC236" s="311"/>
      <c r="AD236" s="311"/>
    </row>
    <row r="237" spans="1:30" s="310" customFormat="1" x14ac:dyDescent="0.25">
      <c r="A237" s="312"/>
      <c r="B237" s="312"/>
      <c r="C237" s="312"/>
      <c r="D237" s="312"/>
      <c r="E237" s="312"/>
      <c r="F237" s="312"/>
      <c r="G237" s="312"/>
      <c r="H237" s="312"/>
      <c r="I237" s="312"/>
      <c r="J237" s="311"/>
      <c r="K237" s="311"/>
      <c r="L237" s="311"/>
      <c r="M237" s="311"/>
      <c r="N237" s="311"/>
      <c r="O237" s="311"/>
      <c r="P237" s="311"/>
      <c r="Q237" s="329"/>
      <c r="R237" s="377"/>
      <c r="S237" s="377"/>
      <c r="T237" s="377"/>
      <c r="U237" s="373"/>
      <c r="V237" s="373"/>
      <c r="W237" s="373"/>
      <c r="X237" s="278"/>
      <c r="Y237" s="311"/>
      <c r="Z237" s="311"/>
      <c r="AA237" s="311"/>
      <c r="AB237" s="311"/>
      <c r="AC237" s="311"/>
      <c r="AD237" s="311"/>
    </row>
    <row r="238" spans="1:30" s="310" customFormat="1" x14ac:dyDescent="0.25">
      <c r="A238" s="312"/>
      <c r="B238" s="312"/>
      <c r="C238" s="312"/>
      <c r="D238" s="312"/>
      <c r="E238" s="312"/>
      <c r="F238" s="312"/>
      <c r="G238" s="312"/>
      <c r="H238" s="312"/>
      <c r="I238" s="312"/>
      <c r="J238" s="311"/>
      <c r="K238" s="311"/>
      <c r="L238" s="311"/>
      <c r="M238" s="311"/>
      <c r="N238" s="311"/>
      <c r="O238" s="311"/>
      <c r="P238" s="311"/>
      <c r="Q238" s="329"/>
      <c r="R238" s="377"/>
      <c r="S238" s="377"/>
      <c r="T238" s="377"/>
      <c r="U238" s="373"/>
      <c r="V238" s="373"/>
      <c r="W238" s="373"/>
      <c r="X238" s="278"/>
      <c r="Y238" s="311"/>
      <c r="Z238" s="311"/>
      <c r="AA238" s="311"/>
      <c r="AB238" s="311"/>
      <c r="AC238" s="311"/>
      <c r="AD238" s="311"/>
    </row>
    <row r="239" spans="1:30" s="310" customFormat="1" x14ac:dyDescent="0.25">
      <c r="A239" s="312"/>
      <c r="B239" s="312"/>
      <c r="C239" s="312"/>
      <c r="D239" s="312"/>
      <c r="E239" s="312"/>
      <c r="F239" s="312"/>
      <c r="G239" s="312"/>
      <c r="H239" s="312"/>
      <c r="I239" s="312"/>
      <c r="J239" s="311"/>
      <c r="K239" s="311"/>
      <c r="L239" s="311"/>
      <c r="M239" s="311"/>
      <c r="N239" s="311"/>
      <c r="O239" s="311"/>
      <c r="P239" s="311"/>
      <c r="Q239" s="329"/>
      <c r="R239" s="377"/>
      <c r="S239" s="377"/>
      <c r="T239" s="377"/>
      <c r="U239" s="373"/>
      <c r="V239" s="373"/>
      <c r="W239" s="373"/>
      <c r="X239" s="278"/>
      <c r="Y239" s="311"/>
      <c r="Z239" s="311"/>
      <c r="AA239" s="311"/>
      <c r="AB239" s="311"/>
      <c r="AC239" s="311"/>
      <c r="AD239" s="311"/>
    </row>
    <row r="240" spans="1:30" s="310" customFormat="1" x14ac:dyDescent="0.25">
      <c r="A240" s="312"/>
      <c r="B240" s="312"/>
      <c r="C240" s="312"/>
      <c r="D240" s="312"/>
      <c r="E240" s="312"/>
      <c r="F240" s="312"/>
      <c r="G240" s="312"/>
      <c r="H240" s="312"/>
      <c r="I240" s="312"/>
      <c r="J240" s="311"/>
      <c r="K240" s="311"/>
      <c r="L240" s="311"/>
      <c r="M240" s="311"/>
      <c r="N240" s="311"/>
      <c r="O240" s="311"/>
      <c r="P240" s="311"/>
      <c r="Q240" s="329"/>
      <c r="R240" s="377"/>
      <c r="S240" s="377"/>
      <c r="T240" s="377"/>
      <c r="U240" s="373"/>
      <c r="V240" s="373"/>
      <c r="W240" s="373"/>
      <c r="X240" s="278"/>
      <c r="Y240" s="311"/>
      <c r="Z240" s="311"/>
      <c r="AA240" s="311"/>
      <c r="AB240" s="311"/>
      <c r="AC240" s="311"/>
      <c r="AD240" s="311"/>
    </row>
    <row r="241" spans="1:30" s="310" customFormat="1" x14ac:dyDescent="0.25">
      <c r="A241" s="312"/>
      <c r="B241" s="312"/>
      <c r="C241" s="312"/>
      <c r="D241" s="312"/>
      <c r="E241" s="312"/>
      <c r="F241" s="312"/>
      <c r="G241" s="312"/>
      <c r="H241" s="312"/>
      <c r="I241" s="312"/>
      <c r="J241" s="311"/>
      <c r="K241" s="311"/>
      <c r="L241" s="311"/>
      <c r="M241" s="311"/>
      <c r="N241" s="311"/>
      <c r="O241" s="311"/>
      <c r="P241" s="311"/>
      <c r="Q241" s="329"/>
      <c r="R241" s="377"/>
      <c r="S241" s="377"/>
      <c r="T241" s="377"/>
      <c r="U241" s="373"/>
      <c r="V241" s="373"/>
      <c r="W241" s="373"/>
      <c r="X241" s="278"/>
      <c r="Y241" s="311"/>
      <c r="Z241" s="311"/>
      <c r="AA241" s="311"/>
      <c r="AB241" s="311"/>
      <c r="AC241" s="311"/>
      <c r="AD241" s="311"/>
    </row>
    <row r="242" spans="1:30" s="310" customFormat="1" x14ac:dyDescent="0.25">
      <c r="A242" s="312"/>
      <c r="B242" s="312"/>
      <c r="C242" s="312"/>
      <c r="D242" s="312"/>
      <c r="E242" s="312"/>
      <c r="F242" s="312"/>
      <c r="G242" s="312"/>
      <c r="H242" s="312"/>
      <c r="I242" s="312"/>
      <c r="J242" s="311"/>
      <c r="K242" s="311"/>
      <c r="L242" s="311"/>
      <c r="M242" s="311"/>
      <c r="N242" s="311"/>
      <c r="O242" s="311"/>
      <c r="P242" s="311"/>
      <c r="Q242" s="329"/>
      <c r="R242" s="377"/>
      <c r="S242" s="377"/>
      <c r="T242" s="377"/>
      <c r="U242" s="373"/>
      <c r="V242" s="373"/>
      <c r="W242" s="373"/>
      <c r="X242" s="278"/>
      <c r="Y242" s="311"/>
      <c r="Z242" s="311"/>
      <c r="AA242" s="311"/>
      <c r="AB242" s="311"/>
      <c r="AC242" s="311"/>
      <c r="AD242" s="311"/>
    </row>
    <row r="243" spans="1:30" s="310" customFormat="1" x14ac:dyDescent="0.25">
      <c r="A243" s="312"/>
      <c r="B243" s="312"/>
      <c r="C243" s="312"/>
      <c r="D243" s="312"/>
      <c r="E243" s="312"/>
      <c r="F243" s="312"/>
      <c r="G243" s="312"/>
      <c r="H243" s="312"/>
      <c r="I243" s="312"/>
      <c r="J243" s="311"/>
      <c r="K243" s="311"/>
      <c r="L243" s="311"/>
      <c r="M243" s="311"/>
      <c r="N243" s="311"/>
      <c r="O243" s="311"/>
      <c r="P243" s="311"/>
      <c r="Q243" s="329"/>
      <c r="R243" s="377"/>
      <c r="S243" s="377"/>
      <c r="T243" s="377"/>
      <c r="U243" s="373"/>
      <c r="V243" s="373"/>
      <c r="W243" s="373"/>
      <c r="X243" s="278"/>
      <c r="Y243" s="311"/>
      <c r="Z243" s="311"/>
      <c r="AA243" s="311"/>
      <c r="AB243" s="311"/>
      <c r="AC243" s="311"/>
      <c r="AD243" s="311"/>
    </row>
    <row r="244" spans="1:30" s="310" customFormat="1" x14ac:dyDescent="0.25">
      <c r="A244" s="312"/>
      <c r="B244" s="312"/>
      <c r="C244" s="312"/>
      <c r="D244" s="312"/>
      <c r="E244" s="312"/>
      <c r="F244" s="312"/>
      <c r="G244" s="312"/>
      <c r="H244" s="312"/>
      <c r="I244" s="312"/>
      <c r="J244" s="311"/>
      <c r="K244" s="311"/>
      <c r="L244" s="311"/>
      <c r="M244" s="311"/>
      <c r="N244" s="311"/>
      <c r="O244" s="311"/>
      <c r="P244" s="311"/>
      <c r="Q244" s="329"/>
      <c r="R244" s="377"/>
      <c r="S244" s="377"/>
      <c r="T244" s="377"/>
      <c r="U244" s="373"/>
      <c r="V244" s="373"/>
      <c r="W244" s="373"/>
      <c r="X244" s="278"/>
      <c r="Y244" s="311"/>
      <c r="Z244" s="311"/>
      <c r="AA244" s="311"/>
      <c r="AB244" s="311"/>
      <c r="AC244" s="311"/>
      <c r="AD244" s="311"/>
    </row>
    <row r="245" spans="1:30" s="310" customFormat="1" x14ac:dyDescent="0.25">
      <c r="A245" s="312"/>
      <c r="B245" s="312"/>
      <c r="C245" s="312"/>
      <c r="D245" s="312"/>
      <c r="E245" s="312"/>
      <c r="F245" s="312"/>
      <c r="G245" s="312"/>
      <c r="H245" s="312"/>
      <c r="I245" s="312"/>
      <c r="J245" s="311"/>
      <c r="K245" s="311"/>
      <c r="L245" s="311"/>
      <c r="M245" s="311"/>
      <c r="N245" s="311"/>
      <c r="O245" s="311"/>
      <c r="P245" s="311"/>
      <c r="Q245" s="329"/>
      <c r="R245" s="377"/>
      <c r="S245" s="377"/>
      <c r="T245" s="377"/>
      <c r="U245" s="373"/>
      <c r="V245" s="373"/>
      <c r="W245" s="373"/>
      <c r="X245" s="278"/>
      <c r="Y245" s="311"/>
      <c r="Z245" s="311"/>
      <c r="AA245" s="311"/>
      <c r="AB245" s="311"/>
      <c r="AC245" s="311"/>
      <c r="AD245" s="311"/>
    </row>
    <row r="246" spans="1:30" s="310" customFormat="1" x14ac:dyDescent="0.25">
      <c r="A246" s="312"/>
      <c r="B246" s="312"/>
      <c r="C246" s="312"/>
      <c r="D246" s="312"/>
      <c r="E246" s="312"/>
      <c r="F246" s="312"/>
      <c r="G246" s="312"/>
      <c r="H246" s="312"/>
      <c r="I246" s="312"/>
      <c r="J246" s="311"/>
      <c r="K246" s="311"/>
      <c r="L246" s="311"/>
      <c r="M246" s="311"/>
      <c r="N246" s="311"/>
      <c r="O246" s="311"/>
      <c r="P246" s="311"/>
      <c r="Q246" s="329"/>
      <c r="R246" s="377"/>
      <c r="S246" s="377"/>
      <c r="T246" s="377"/>
      <c r="U246" s="373"/>
      <c r="V246" s="373"/>
      <c r="W246" s="373"/>
      <c r="X246" s="278"/>
      <c r="Y246" s="311"/>
      <c r="Z246" s="311"/>
      <c r="AA246" s="311"/>
      <c r="AB246" s="311"/>
      <c r="AC246" s="311"/>
      <c r="AD246" s="311"/>
    </row>
    <row r="247" spans="1:30" s="310" customFormat="1" x14ac:dyDescent="0.25">
      <c r="A247" s="312"/>
      <c r="B247" s="312"/>
      <c r="C247" s="312"/>
      <c r="D247" s="312"/>
      <c r="E247" s="312"/>
      <c r="F247" s="312"/>
      <c r="G247" s="312"/>
      <c r="H247" s="312"/>
      <c r="I247" s="312"/>
      <c r="J247" s="311"/>
      <c r="K247" s="311"/>
      <c r="L247" s="311"/>
      <c r="M247" s="311"/>
      <c r="N247" s="311"/>
      <c r="O247" s="311"/>
      <c r="P247" s="311"/>
      <c r="Q247" s="329"/>
      <c r="R247" s="377"/>
      <c r="S247" s="377"/>
      <c r="T247" s="377"/>
      <c r="U247" s="373"/>
      <c r="V247" s="373"/>
      <c r="W247" s="373"/>
      <c r="X247" s="278"/>
      <c r="Y247" s="311"/>
      <c r="Z247" s="311"/>
      <c r="AA247" s="311"/>
      <c r="AB247" s="311"/>
      <c r="AC247" s="311"/>
      <c r="AD247" s="311"/>
    </row>
    <row r="248" spans="1:30" s="310" customFormat="1" x14ac:dyDescent="0.25">
      <c r="A248" s="312"/>
      <c r="B248" s="312"/>
      <c r="C248" s="312"/>
      <c r="D248" s="312"/>
      <c r="E248" s="312"/>
      <c r="F248" s="312"/>
      <c r="G248" s="312"/>
      <c r="H248" s="312"/>
      <c r="I248" s="312"/>
      <c r="J248" s="311"/>
      <c r="K248" s="311"/>
      <c r="L248" s="311"/>
      <c r="M248" s="311"/>
      <c r="N248" s="311"/>
      <c r="O248" s="311"/>
      <c r="P248" s="311"/>
      <c r="Q248" s="329"/>
      <c r="R248" s="377"/>
      <c r="S248" s="377"/>
      <c r="T248" s="377"/>
      <c r="U248" s="373"/>
      <c r="V248" s="373"/>
      <c r="W248" s="373"/>
      <c r="X248" s="278"/>
      <c r="Y248" s="311"/>
      <c r="Z248" s="311"/>
      <c r="AA248" s="311"/>
      <c r="AB248" s="311"/>
      <c r="AC248" s="311"/>
      <c r="AD248" s="311"/>
    </row>
    <row r="249" spans="1:30" s="310" customFormat="1" x14ac:dyDescent="0.25">
      <c r="A249" s="312"/>
      <c r="B249" s="312"/>
      <c r="C249" s="312"/>
      <c r="D249" s="312"/>
      <c r="E249" s="312"/>
      <c r="F249" s="312"/>
      <c r="G249" s="312"/>
      <c r="H249" s="312"/>
      <c r="I249" s="312"/>
      <c r="J249" s="311"/>
      <c r="K249" s="311"/>
      <c r="L249" s="311"/>
      <c r="M249" s="311"/>
      <c r="N249" s="311"/>
      <c r="O249" s="311"/>
      <c r="P249" s="311"/>
      <c r="Q249" s="329"/>
      <c r="R249" s="377"/>
      <c r="S249" s="377"/>
      <c r="T249" s="377"/>
      <c r="U249" s="373"/>
      <c r="V249" s="373"/>
      <c r="W249" s="373"/>
      <c r="X249" s="278"/>
      <c r="Y249" s="311"/>
      <c r="Z249" s="311"/>
      <c r="AA249" s="311"/>
      <c r="AB249" s="311"/>
      <c r="AC249" s="311"/>
      <c r="AD249" s="311"/>
    </row>
    <row r="250" spans="1:30" s="310" customFormat="1" x14ac:dyDescent="0.25">
      <c r="A250" s="312"/>
      <c r="B250" s="312"/>
      <c r="C250" s="312"/>
      <c r="D250" s="312"/>
      <c r="E250" s="312"/>
      <c r="F250" s="312"/>
      <c r="G250" s="312"/>
      <c r="H250" s="312"/>
      <c r="I250" s="312"/>
      <c r="J250" s="311"/>
      <c r="K250" s="311"/>
      <c r="L250" s="311"/>
      <c r="M250" s="311"/>
      <c r="N250" s="311"/>
      <c r="O250" s="311"/>
      <c r="P250" s="311"/>
      <c r="Q250" s="329"/>
      <c r="R250" s="377"/>
      <c r="S250" s="377"/>
      <c r="T250" s="377"/>
      <c r="U250" s="373"/>
      <c r="V250" s="373"/>
      <c r="W250" s="373"/>
      <c r="X250" s="278"/>
      <c r="Y250" s="311"/>
      <c r="Z250" s="311"/>
      <c r="AA250" s="311"/>
      <c r="AB250" s="311"/>
      <c r="AC250" s="311"/>
      <c r="AD250" s="311"/>
    </row>
    <row r="251" spans="1:30" s="310" customFormat="1" x14ac:dyDescent="0.25">
      <c r="J251" s="311"/>
      <c r="K251" s="311"/>
      <c r="L251" s="311"/>
      <c r="M251" s="311"/>
      <c r="N251" s="311"/>
      <c r="O251" s="311"/>
      <c r="P251" s="311"/>
      <c r="Q251" s="329"/>
      <c r="R251" s="377"/>
      <c r="S251" s="377"/>
      <c r="T251" s="377"/>
      <c r="U251" s="373"/>
      <c r="V251" s="373"/>
      <c r="W251" s="373"/>
      <c r="X251" s="278"/>
      <c r="Y251" s="311"/>
      <c r="Z251" s="311"/>
      <c r="AA251" s="311"/>
      <c r="AB251" s="311"/>
      <c r="AC251" s="311"/>
      <c r="AD251" s="311"/>
    </row>
    <row r="252" spans="1:30" s="310" customFormat="1" x14ac:dyDescent="0.25">
      <c r="J252" s="311"/>
      <c r="K252" s="311"/>
      <c r="L252" s="311"/>
      <c r="M252" s="311"/>
      <c r="N252" s="311"/>
      <c r="O252" s="311"/>
      <c r="P252" s="311"/>
      <c r="Q252" s="329"/>
      <c r="R252" s="377"/>
      <c r="S252" s="377"/>
      <c r="T252" s="377"/>
      <c r="U252" s="373"/>
      <c r="V252" s="373"/>
      <c r="W252" s="373"/>
      <c r="X252" s="278"/>
      <c r="Y252" s="311"/>
      <c r="Z252" s="311"/>
      <c r="AA252" s="311"/>
      <c r="AB252" s="311"/>
      <c r="AC252" s="311"/>
      <c r="AD252" s="311"/>
    </row>
    <row r="253" spans="1:30" s="310" customFormat="1" x14ac:dyDescent="0.25">
      <c r="J253" s="311"/>
      <c r="K253" s="311"/>
      <c r="L253" s="311"/>
      <c r="M253" s="311"/>
      <c r="N253" s="311"/>
      <c r="O253" s="311"/>
      <c r="P253" s="311"/>
      <c r="Q253" s="329"/>
      <c r="R253" s="377"/>
      <c r="S253" s="377"/>
      <c r="T253" s="377"/>
      <c r="U253" s="373"/>
      <c r="V253" s="373"/>
      <c r="W253" s="373"/>
      <c r="X253" s="278"/>
      <c r="Y253" s="311"/>
      <c r="Z253" s="311"/>
      <c r="AA253" s="311"/>
      <c r="AB253" s="311"/>
      <c r="AC253" s="311"/>
      <c r="AD253" s="311"/>
    </row>
    <row r="254" spans="1:30" s="310" customFormat="1" x14ac:dyDescent="0.25">
      <c r="J254" s="311"/>
      <c r="K254" s="311"/>
      <c r="L254" s="311"/>
      <c r="M254" s="311"/>
      <c r="N254" s="311"/>
      <c r="O254" s="311"/>
      <c r="P254" s="311"/>
      <c r="Q254" s="329"/>
      <c r="R254" s="377"/>
      <c r="S254" s="377"/>
      <c r="T254" s="377"/>
      <c r="U254" s="373"/>
      <c r="V254" s="373"/>
      <c r="W254" s="373"/>
      <c r="X254" s="278"/>
      <c r="Y254" s="311"/>
      <c r="Z254" s="311"/>
      <c r="AA254" s="311"/>
      <c r="AB254" s="311"/>
      <c r="AC254" s="311"/>
      <c r="AD254" s="311"/>
    </row>
    <row r="255" spans="1:30" s="310" customFormat="1" x14ac:dyDescent="0.25">
      <c r="J255" s="311"/>
      <c r="K255" s="311"/>
      <c r="L255" s="311"/>
      <c r="M255" s="311"/>
      <c r="N255" s="311"/>
      <c r="O255" s="311"/>
      <c r="P255" s="311"/>
      <c r="Q255" s="329"/>
      <c r="R255" s="377"/>
      <c r="S255" s="377"/>
      <c r="T255" s="377"/>
      <c r="U255" s="373"/>
      <c r="V255" s="373"/>
      <c r="W255" s="373"/>
      <c r="X255" s="278"/>
      <c r="Y255" s="311"/>
      <c r="Z255" s="311"/>
      <c r="AA255" s="311"/>
      <c r="AB255" s="311"/>
      <c r="AC255" s="311"/>
      <c r="AD255" s="311"/>
    </row>
    <row r="256" spans="1:30" s="310" customFormat="1" x14ac:dyDescent="0.25">
      <c r="J256" s="311"/>
      <c r="K256" s="311"/>
      <c r="L256" s="311"/>
      <c r="M256" s="311"/>
      <c r="N256" s="311"/>
      <c r="O256" s="311"/>
      <c r="P256" s="311"/>
      <c r="Q256" s="329"/>
      <c r="R256" s="377"/>
      <c r="S256" s="377"/>
      <c r="T256" s="377"/>
      <c r="U256" s="373"/>
      <c r="V256" s="373"/>
      <c r="W256" s="373"/>
      <c r="X256" s="278"/>
      <c r="Y256" s="311"/>
      <c r="Z256" s="311"/>
      <c r="AA256" s="311"/>
      <c r="AB256" s="311"/>
      <c r="AC256" s="311"/>
      <c r="AD256" s="311"/>
    </row>
    <row r="257" spans="10:30" s="310" customFormat="1" x14ac:dyDescent="0.25">
      <c r="J257" s="311"/>
      <c r="K257" s="311"/>
      <c r="L257" s="311"/>
      <c r="M257" s="311"/>
      <c r="N257" s="311"/>
      <c r="O257" s="311"/>
      <c r="P257" s="311"/>
      <c r="Q257" s="329"/>
      <c r="R257" s="377"/>
      <c r="S257" s="377"/>
      <c r="T257" s="377"/>
      <c r="U257" s="373"/>
      <c r="V257" s="373"/>
      <c r="W257" s="373"/>
      <c r="X257" s="278"/>
      <c r="Y257" s="311"/>
      <c r="Z257" s="311"/>
      <c r="AA257" s="311"/>
      <c r="AB257" s="311"/>
      <c r="AC257" s="311"/>
      <c r="AD257" s="311"/>
    </row>
    <row r="258" spans="10:30" s="310" customFormat="1" x14ac:dyDescent="0.25">
      <c r="J258" s="311"/>
      <c r="K258" s="311"/>
      <c r="L258" s="311"/>
      <c r="M258" s="311"/>
      <c r="N258" s="311"/>
      <c r="O258" s="311"/>
      <c r="P258" s="311"/>
      <c r="Q258" s="329"/>
      <c r="R258" s="377"/>
      <c r="S258" s="377"/>
      <c r="T258" s="377"/>
      <c r="U258" s="373"/>
      <c r="V258" s="373"/>
      <c r="W258" s="373"/>
      <c r="X258" s="278"/>
      <c r="Y258" s="311"/>
      <c r="Z258" s="311"/>
      <c r="AA258" s="311"/>
      <c r="AB258" s="311"/>
      <c r="AC258" s="311"/>
      <c r="AD258" s="311"/>
    </row>
    <row r="259" spans="10:30" s="310" customFormat="1" x14ac:dyDescent="0.25">
      <c r="J259" s="311"/>
      <c r="K259" s="311"/>
      <c r="L259" s="311"/>
      <c r="M259" s="311"/>
      <c r="N259" s="311"/>
      <c r="O259" s="311"/>
      <c r="P259" s="311"/>
      <c r="Q259" s="329"/>
      <c r="R259" s="377"/>
      <c r="S259" s="377"/>
      <c r="T259" s="377"/>
      <c r="U259" s="373"/>
      <c r="V259" s="373"/>
      <c r="W259" s="373"/>
      <c r="X259" s="278"/>
      <c r="Y259" s="311"/>
      <c r="Z259" s="311"/>
      <c r="AA259" s="311"/>
      <c r="AB259" s="311"/>
      <c r="AC259" s="311"/>
      <c r="AD259" s="311"/>
    </row>
    <row r="260" spans="10:30" s="310" customFormat="1" x14ac:dyDescent="0.25">
      <c r="J260" s="311"/>
      <c r="K260" s="311"/>
      <c r="L260" s="311"/>
      <c r="M260" s="311"/>
      <c r="N260" s="311"/>
      <c r="O260" s="311"/>
      <c r="P260" s="311"/>
      <c r="Q260" s="329"/>
      <c r="R260" s="377"/>
      <c r="S260" s="377"/>
      <c r="T260" s="377"/>
      <c r="U260" s="373"/>
      <c r="V260" s="373"/>
      <c r="W260" s="373"/>
      <c r="X260" s="278"/>
      <c r="Y260" s="311"/>
      <c r="Z260" s="311"/>
      <c r="AA260" s="311"/>
      <c r="AB260" s="311"/>
      <c r="AC260" s="311"/>
      <c r="AD260" s="311"/>
    </row>
    <row r="261" spans="10:30" x14ac:dyDescent="0.25">
      <c r="Q261" s="329"/>
    </row>
    <row r="262" spans="10:30" x14ac:dyDescent="0.25">
      <c r="Q262" s="329"/>
    </row>
    <row r="263" spans="10:30" x14ac:dyDescent="0.25">
      <c r="Q263" s="329"/>
    </row>
  </sheetData>
  <sheetProtection algorithmName="SHA-512" hashValue="9JCrFm9Z7yAMNvWZHmYKn5YZC8fIKtROMNenDbxEoLfWeeo6QOFJmE5B1KWziD+yCA9flTcxv/DSFFoD14hHSA==" saltValue="USwD+oL0Gr9mghjqWPfN+g==" spinCount="100000" sheet="1" selectLockedCells="1"/>
  <mergeCells count="12">
    <mergeCell ref="W1:X1"/>
    <mergeCell ref="R2:S2"/>
    <mergeCell ref="T2:U2"/>
    <mergeCell ref="W10:X10"/>
    <mergeCell ref="R47:S47"/>
    <mergeCell ref="F2:I2"/>
    <mergeCell ref="A1:I1"/>
    <mergeCell ref="H57:I57"/>
    <mergeCell ref="B57:C57"/>
    <mergeCell ref="R1:U1"/>
    <mergeCell ref="R9:S9"/>
    <mergeCell ref="R22:S2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103</vt:i4>
      </vt:variant>
    </vt:vector>
  </HeadingPairs>
  <TitlesOfParts>
    <vt:vector size="108" baseType="lpstr">
      <vt:lpstr>Design</vt:lpstr>
      <vt:lpstr>Efficiency</vt:lpstr>
      <vt:lpstr>Snubber</vt:lpstr>
      <vt:lpstr>Constants</vt:lpstr>
      <vt:lpstr>Sheet1</vt:lpstr>
      <vt:lpstr>AVOL_db</vt:lpstr>
      <vt:lpstr>BIN_2</vt:lpstr>
      <vt:lpstr>BIN_3</vt:lpstr>
      <vt:lpstr>BIN_4</vt:lpstr>
      <vt:lpstr>Bin_Coeff</vt:lpstr>
      <vt:lpstr>BIN2_Coeff</vt:lpstr>
      <vt:lpstr>BIN3_Coeff</vt:lpstr>
      <vt:lpstr>BIN4_Coeff</vt:lpstr>
      <vt:lpstr>C_f1</vt:lpstr>
      <vt:lpstr>C_f2</vt:lpstr>
      <vt:lpstr>c_s1</vt:lpstr>
      <vt:lpstr>C_s2</vt:lpstr>
      <vt:lpstr>C_SNUB</vt:lpstr>
      <vt:lpstr>Cout</vt:lpstr>
      <vt:lpstr>Cp</vt:lpstr>
      <vt:lpstr>Cz</vt:lpstr>
      <vt:lpstr>D_max</vt:lpstr>
      <vt:lpstr>D_typ</vt:lpstr>
      <vt:lpstr>DCR</vt:lpstr>
      <vt:lpstr>E12_f</vt:lpstr>
      <vt:lpstr>E12_s</vt:lpstr>
      <vt:lpstr>E24_f</vt:lpstr>
      <vt:lpstr>E24_s</vt:lpstr>
      <vt:lpstr>E48_f</vt:lpstr>
      <vt:lpstr>E48_s</vt:lpstr>
      <vt:lpstr>E6_f</vt:lpstr>
      <vt:lpstr>E6_s</vt:lpstr>
      <vt:lpstr>E96_f</vt:lpstr>
      <vt:lpstr>E96_s</vt:lpstr>
      <vt:lpstr>ESR</vt:lpstr>
      <vt:lpstr>f_SW</vt:lpstr>
      <vt:lpstr>fc</vt:lpstr>
      <vt:lpstr>fsw</vt:lpstr>
      <vt:lpstr>fsw_desire</vt:lpstr>
      <vt:lpstr>fsw_tol_max</vt:lpstr>
      <vt:lpstr>fsw_tol_min</vt:lpstr>
      <vt:lpstr>giga</vt:lpstr>
      <vt:lpstr>gm_POWER</vt:lpstr>
      <vt:lpstr>gmv</vt:lpstr>
      <vt:lpstr>IIN_sys_max</vt:lpstr>
      <vt:lpstr>IIN_sys_min</vt:lpstr>
      <vt:lpstr>IIN_sys_typ</vt:lpstr>
      <vt:lpstr>ILIM_Offset</vt:lpstr>
      <vt:lpstr>ILIM_PP</vt:lpstr>
      <vt:lpstr>ILIM_Slope</vt:lpstr>
      <vt:lpstr>IOUT</vt:lpstr>
      <vt:lpstr>Iout_sys_max</vt:lpstr>
      <vt:lpstr>Iout_sys_min</vt:lpstr>
      <vt:lpstr>Iout_typ</vt:lpstr>
      <vt:lpstr>Iq</vt:lpstr>
      <vt:lpstr>kilo</vt:lpstr>
      <vt:lpstr>L_buckboost</vt:lpstr>
      <vt:lpstr>LO_DCR</vt:lpstr>
      <vt:lpstr>Lout</vt:lpstr>
      <vt:lpstr>Max_Duty_Dropout</vt:lpstr>
      <vt:lpstr>mega</vt:lpstr>
      <vt:lpstr>micro</vt:lpstr>
      <vt:lpstr>milli</vt:lpstr>
      <vt:lpstr>Min_tOFF_typ</vt:lpstr>
      <vt:lpstr>minton_typ</vt:lpstr>
      <vt:lpstr>nano</vt:lpstr>
      <vt:lpstr>Psense_BIN1</vt:lpstr>
      <vt:lpstr>Psense_BIN2</vt:lpstr>
      <vt:lpstr>Psense_bin3</vt:lpstr>
      <vt:lpstr>Psense_BIN4</vt:lpstr>
      <vt:lpstr>Qg</vt:lpstr>
      <vt:lpstr>R_1</vt:lpstr>
      <vt:lpstr>R_1k</vt:lpstr>
      <vt:lpstr>R_2</vt:lpstr>
      <vt:lpstr>R_2k</vt:lpstr>
      <vt:lpstr>R_3</vt:lpstr>
      <vt:lpstr>R_3k</vt:lpstr>
      <vt:lpstr>Rdson</vt:lpstr>
      <vt:lpstr>Reset</vt:lpstr>
      <vt:lpstr>RFB_1</vt:lpstr>
      <vt:lpstr>RLED</vt:lpstr>
      <vt:lpstr>RO_ea_IC</vt:lpstr>
      <vt:lpstr>Rsense</vt:lpstr>
      <vt:lpstr>RthJA</vt:lpstr>
      <vt:lpstr>RthJA_IC</vt:lpstr>
      <vt:lpstr>Rz</vt:lpstr>
      <vt:lpstr>Se_2MHz</vt:lpstr>
      <vt:lpstr>Se_400kHz</vt:lpstr>
      <vt:lpstr>Se_p</vt:lpstr>
      <vt:lpstr>Slew_fall</vt:lpstr>
      <vt:lpstr>Slew_rise</vt:lpstr>
      <vt:lpstr>TCR_Cu</vt:lpstr>
      <vt:lpstr>TCR_RdsON</vt:lpstr>
      <vt:lpstr>TSD</vt:lpstr>
      <vt:lpstr>Tsw</vt:lpstr>
      <vt:lpstr>V_cs</vt:lpstr>
      <vt:lpstr>V_cs_max</vt:lpstr>
      <vt:lpstr>V_cs_min</vt:lpstr>
      <vt:lpstr>vcs_tol_max</vt:lpstr>
      <vt:lpstr>vcs_tol_min</vt:lpstr>
      <vt:lpstr>VF</vt:lpstr>
      <vt:lpstr>Vgs</vt:lpstr>
      <vt:lpstr>VIN_MAX_app</vt:lpstr>
      <vt:lpstr>VIN_MAX_IC</vt:lpstr>
      <vt:lpstr>VIN_MIN_IC</vt:lpstr>
      <vt:lpstr>Vin_nom</vt:lpstr>
      <vt:lpstr>VOUT</vt:lpstr>
      <vt:lpstr>ΔILo_typ</vt:lpstr>
    </vt:vector>
  </TitlesOfParts>
  <Company>Allegro MicroSystems,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J. Reicher</dc:creator>
  <cp:lastModifiedBy>Garvey, Richard</cp:lastModifiedBy>
  <cp:lastPrinted>2012-02-02T03:45:48Z</cp:lastPrinted>
  <dcterms:created xsi:type="dcterms:W3CDTF">2012-01-10T15:56:57Z</dcterms:created>
  <dcterms:modified xsi:type="dcterms:W3CDTF">2018-11-05T14:29:16Z</dcterms:modified>
</cp:coreProperties>
</file>