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updateLinks="never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garvey\Documents\00 Projects\ALT80802\_Design Tool\Buck\"/>
    </mc:Choice>
  </mc:AlternateContent>
  <xr:revisionPtr revIDLastSave="0" documentId="10_ncr:100000_{0FC24116-6630-4935-9425-40AB5FD0CDDC}" xr6:coauthVersionLast="31" xr6:coauthVersionMax="31" xr10:uidLastSave="{00000000-0000-0000-0000-000000000000}"/>
  <bookViews>
    <workbookView xWindow="45" yWindow="210" windowWidth="18975" windowHeight="8850" tabRatio="624" xr2:uid="{00000000-000D-0000-FFFF-FFFF00000000}"/>
  </bookViews>
  <sheets>
    <sheet name="Design" sheetId="1" r:id="rId1"/>
    <sheet name="Efficiency" sheetId="12" r:id="rId2"/>
    <sheet name="Snubber" sheetId="8" r:id="rId3"/>
    <sheet name="Constants" sheetId="2" r:id="rId4"/>
    <sheet name="Sheet1" sheetId="14" state="hidden" r:id="rId5"/>
  </sheets>
  <definedNames>
    <definedName name="BIN_2">Design!$B$77</definedName>
    <definedName name="BIN_3">Design!$B$78</definedName>
    <definedName name="BIN_4">Design!$B$79</definedName>
    <definedName name="Bin_Coeff">Design!$B$80</definedName>
    <definedName name="BIN2_Coeff">Design!$J$93</definedName>
    <definedName name="BIN4_Coeff">Design!$J$92</definedName>
    <definedName name="C_f1">Constants!$X$9</definedName>
    <definedName name="C_f2">Constants!$X$16</definedName>
    <definedName name="c_s1">Constants!$W$2</definedName>
    <definedName name="C_s2">Constants!$W$11</definedName>
    <definedName name="C_SNUB">Snubber!$B$16</definedName>
    <definedName name="Cout">Design!$B$50</definedName>
    <definedName name="Cp">Design!$B$74</definedName>
    <definedName name="Cz">Design!$B$72</definedName>
    <definedName name="D_max">Design!$B$34</definedName>
    <definedName name="D_typ">Design!$C$27</definedName>
    <definedName name="DCR">Design!$B$41</definedName>
    <definedName name="E12_f">Constants!$S$21</definedName>
    <definedName name="E12_s">Constants!$R$10</definedName>
    <definedName name="E24_f">Constants!$S$46</definedName>
    <definedName name="E24_s">Constants!$R$23</definedName>
    <definedName name="E48_f">Constants!$S$95</definedName>
    <definedName name="E48_s">Constants!$R$48</definedName>
    <definedName name="E6_f">Constants!$S$8</definedName>
    <definedName name="E6_s">Constants!$R$3</definedName>
    <definedName name="E96_f">Constants!$U$98</definedName>
    <definedName name="E96_s">Constants!$T$3</definedName>
    <definedName name="ESR">Design!$I$50</definedName>
    <definedName name="fc">Design!$B$64</definedName>
    <definedName name="fsw">Design!$B$30</definedName>
    <definedName name="giga">Constants!$B$39</definedName>
    <definedName name="gm_POWER">Constants!$C$13</definedName>
    <definedName name="gmv">Constants!$C$11</definedName>
    <definedName name="IOUT">Design!$C$5</definedName>
    <definedName name="Iout_typ">Design!$C$25</definedName>
    <definedName name="Iq">Constants!$C$21</definedName>
    <definedName name="kilo">Constants!$B$37</definedName>
    <definedName name="Lout">Design!$B$40</definedName>
    <definedName name="mega">Constants!$B$38</definedName>
    <definedName name="micro">Constants!$B$35</definedName>
    <definedName name="milli">Constants!$B$36</definedName>
    <definedName name="Min_tOFF_typ">Constants!$C$20</definedName>
    <definedName name="nano">Constants!$B$34</definedName>
    <definedName name="_xlnm.Print_Area" localSheetId="2">Snubber!$A$1:$I$34</definedName>
    <definedName name="Qg">Constants!$D$25</definedName>
    <definedName name="R_1">Design!$B$83</definedName>
    <definedName name="R_1k">Design!$I$91</definedName>
    <definedName name="R_2">Design!$B$84</definedName>
    <definedName name="R_2k">Design!$B$81</definedName>
    <definedName name="R_3">Design!$B$85</definedName>
    <definedName name="R_3k">Design!$I$92</definedName>
    <definedName name="Rdson">Constants!$C$22</definedName>
    <definedName name="RESET">Efficiency!$N$3</definedName>
    <definedName name="RFB_1">Design!$B$22</definedName>
    <definedName name="RLED">Design!$C$8</definedName>
    <definedName name="Rsense">Design!$B$86</definedName>
    <definedName name="RthJA">Design!$B$17</definedName>
    <definedName name="RthJA_IC">Design!$C$11</definedName>
    <definedName name="Rz">Design!$B$70</definedName>
    <definedName name="Se_2MHz">Constants!$C$15</definedName>
    <definedName name="Se_400kHz">Constants!$C$14</definedName>
    <definedName name="Se_p">Design!$B$36</definedName>
    <definedName name="Slew_fall">Constants!$C$27</definedName>
    <definedName name="Slew_rise">Constants!$C$26</definedName>
    <definedName name="TCR_Cu">Constants!$C$32</definedName>
    <definedName name="TCR_RdsON">Constants!$C$23</definedName>
    <definedName name="Tmax">Constants!$C$31</definedName>
    <definedName name="Tsw">Design!$B$32</definedName>
    <definedName name="V_cs">Constants!$C$4</definedName>
    <definedName name="V_cs_max">Constants!$D$4</definedName>
    <definedName name="V_cs_min">Constants!$B$4</definedName>
    <definedName name="VF">Design!$C$15</definedName>
    <definedName name="Vgs">Constants!$C$24</definedName>
    <definedName name="Vin_nom">Design!$C$4</definedName>
    <definedName name="VOUT">Design!$C$26</definedName>
    <definedName name="Vreg">Design!$C$25</definedName>
    <definedName name="ΔILo_typ">Design!$B$42</definedName>
  </definedNames>
  <calcPr calcId="179017" iterate="1" iterateCount="1000"/>
</workbook>
</file>

<file path=xl/calcChain.xml><?xml version="1.0" encoding="utf-8"?>
<calcChain xmlns="http://schemas.openxmlformats.org/spreadsheetml/2006/main">
  <c r="B31" i="1" l="1"/>
  <c r="B4" i="12" l="1"/>
  <c r="D12" i="2"/>
  <c r="C12" i="2"/>
  <c r="B12" i="2"/>
  <c r="D5" i="2"/>
  <c r="B5" i="2"/>
  <c r="C26" i="1"/>
  <c r="J92" i="1" l="1"/>
  <c r="H91" i="1" s="1"/>
  <c r="I91" i="1" s="1"/>
  <c r="B83" i="1" s="1"/>
  <c r="B84" i="1"/>
  <c r="J85" i="1" s="1"/>
  <c r="J94" i="1" l="1"/>
  <c r="H92" i="1"/>
  <c r="J93" i="1"/>
  <c r="K83" i="1"/>
  <c r="B67" i="1"/>
  <c r="I92" i="1" l="1"/>
  <c r="B85" i="1" s="1"/>
  <c r="J81" i="1" s="1"/>
  <c r="H93" i="1" l="1"/>
  <c r="I93" i="1" s="1"/>
  <c r="B91" i="1" s="1"/>
  <c r="H94" i="1"/>
  <c r="I94" i="1" s="1"/>
  <c r="B92" i="1" s="1"/>
  <c r="B30" i="1"/>
  <c r="B48" i="12"/>
  <c r="K48" i="12" s="1"/>
  <c r="A48" i="12"/>
  <c r="B26" i="12"/>
  <c r="K26" i="12" s="1"/>
  <c r="A26" i="12"/>
  <c r="O48" i="12" l="1"/>
  <c r="A29" i="12" l="1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28" i="12"/>
  <c r="B47" i="12"/>
  <c r="K47" i="12" s="1"/>
  <c r="O47" i="12" l="1"/>
  <c r="B6" i="12"/>
  <c r="A50" i="12" l="1"/>
  <c r="K6" i="12"/>
  <c r="B28" i="12"/>
  <c r="K28" i="12" s="1"/>
  <c r="B25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8" i="12"/>
  <c r="A9" i="12"/>
  <c r="A7" i="12"/>
  <c r="A51" i="12" l="1"/>
  <c r="K25" i="12"/>
  <c r="O28" i="12"/>
  <c r="B29" i="12"/>
  <c r="K29" i="12" s="1"/>
  <c r="B7" i="12"/>
  <c r="K7" i="12" s="1"/>
  <c r="B66" i="1"/>
  <c r="B69" i="1" s="1"/>
  <c r="B65" i="1"/>
  <c r="B55" i="1"/>
  <c r="B36" i="2"/>
  <c r="H7" i="12" l="1"/>
  <c r="H29" i="12"/>
  <c r="H25" i="12"/>
  <c r="H47" i="12"/>
  <c r="H6" i="12"/>
  <c r="H48" i="12"/>
  <c r="H28" i="12"/>
  <c r="H26" i="12"/>
  <c r="O29" i="12"/>
  <c r="B8" i="12"/>
  <c r="K8" i="12" s="1"/>
  <c r="B30" i="12"/>
  <c r="K30" i="12" s="1"/>
  <c r="B39" i="2"/>
  <c r="B38" i="2"/>
  <c r="B37" i="2"/>
  <c r="B68" i="1" s="1"/>
  <c r="B35" i="2"/>
  <c r="B34" i="2"/>
  <c r="H8" i="12" l="1"/>
  <c r="H30" i="12"/>
  <c r="O30" i="12"/>
  <c r="B9" i="12"/>
  <c r="B31" i="12"/>
  <c r="K9" i="12" l="1"/>
  <c r="H9" i="12"/>
  <c r="K31" i="12"/>
  <c r="H31" i="12"/>
  <c r="O31" i="12"/>
  <c r="B10" i="12"/>
  <c r="B32" i="12"/>
  <c r="K32" i="12" l="1"/>
  <c r="H32" i="12"/>
  <c r="B11" i="12"/>
  <c r="K10" i="12"/>
  <c r="H10" i="12"/>
  <c r="O32" i="12"/>
  <c r="O26" i="12"/>
  <c r="O10" i="12"/>
  <c r="O6" i="12"/>
  <c r="O25" i="12"/>
  <c r="O8" i="12"/>
  <c r="O7" i="12"/>
  <c r="O9" i="12"/>
  <c r="B33" i="12"/>
  <c r="O11" i="12"/>
  <c r="B12" i="12"/>
  <c r="B63" i="1"/>
  <c r="B36" i="1"/>
  <c r="B38" i="1" s="1"/>
  <c r="C33" i="1"/>
  <c r="B33" i="1"/>
  <c r="B32" i="1"/>
  <c r="B34" i="1" s="1"/>
  <c r="B25" i="1"/>
  <c r="D25" i="1"/>
  <c r="C25" i="1"/>
  <c r="B86" i="1" s="1"/>
  <c r="B21" i="1"/>
  <c r="K12" i="12" l="1"/>
  <c r="H12" i="12"/>
  <c r="K11" i="12"/>
  <c r="H11" i="12"/>
  <c r="K33" i="12"/>
  <c r="H33" i="12"/>
  <c r="K87" i="1"/>
  <c r="C90" i="1"/>
  <c r="C93" i="1"/>
  <c r="C92" i="1"/>
  <c r="C91" i="1"/>
  <c r="O33" i="12"/>
  <c r="B34" i="12"/>
  <c r="O12" i="12"/>
  <c r="B13" i="12"/>
  <c r="B37" i="1"/>
  <c r="B39" i="1"/>
  <c r="K13" i="12" l="1"/>
  <c r="H13" i="12"/>
  <c r="K34" i="12"/>
  <c r="H34" i="12"/>
  <c r="F93" i="1"/>
  <c r="D93" i="1"/>
  <c r="E93" i="1"/>
  <c r="F92" i="1"/>
  <c r="E92" i="1"/>
  <c r="D92" i="1"/>
  <c r="F90" i="1"/>
  <c r="D4" i="12" s="1"/>
  <c r="E90" i="1"/>
  <c r="E91" i="1"/>
  <c r="D91" i="1"/>
  <c r="F91" i="1"/>
  <c r="I48" i="12"/>
  <c r="I47" i="12"/>
  <c r="I28" i="12"/>
  <c r="I29" i="12"/>
  <c r="I30" i="12"/>
  <c r="I31" i="12"/>
  <c r="I32" i="12"/>
  <c r="I33" i="12"/>
  <c r="I34" i="12"/>
  <c r="O34" i="12"/>
  <c r="I26" i="12"/>
  <c r="I13" i="12"/>
  <c r="I6" i="12"/>
  <c r="I25" i="12"/>
  <c r="I7" i="12"/>
  <c r="I9" i="12"/>
  <c r="I8" i="12"/>
  <c r="I10" i="12"/>
  <c r="I11" i="12"/>
  <c r="I12" i="12"/>
  <c r="B35" i="12"/>
  <c r="O13" i="12"/>
  <c r="B14" i="12"/>
  <c r="K35" i="12" l="1"/>
  <c r="H35" i="12"/>
  <c r="I14" i="12"/>
  <c r="K14" i="12"/>
  <c r="H14" i="12"/>
  <c r="P45" i="12"/>
  <c r="P41" i="12"/>
  <c r="P37" i="12"/>
  <c r="P33" i="12"/>
  <c r="P29" i="12"/>
  <c r="P9" i="12"/>
  <c r="P13" i="12"/>
  <c r="P17" i="12"/>
  <c r="P21" i="12"/>
  <c r="P25" i="12"/>
  <c r="P42" i="12"/>
  <c r="P30" i="12"/>
  <c r="P16" i="12"/>
  <c r="P48" i="12"/>
  <c r="P44" i="12"/>
  <c r="P40" i="12"/>
  <c r="P36" i="12"/>
  <c r="P32" i="12"/>
  <c r="P28" i="12"/>
  <c r="P10" i="12"/>
  <c r="P14" i="12"/>
  <c r="P18" i="12"/>
  <c r="P22" i="12"/>
  <c r="P26" i="12"/>
  <c r="P38" i="12"/>
  <c r="P8" i="12"/>
  <c r="P20" i="12"/>
  <c r="P47" i="12"/>
  <c r="P43" i="12"/>
  <c r="P39" i="12"/>
  <c r="P35" i="12"/>
  <c r="P31" i="12"/>
  <c r="P7" i="12"/>
  <c r="P11" i="12"/>
  <c r="P15" i="12"/>
  <c r="P19" i="12"/>
  <c r="P23" i="12"/>
  <c r="P6" i="12"/>
  <c r="P46" i="12"/>
  <c r="P34" i="12"/>
  <c r="P12" i="12"/>
  <c r="P24" i="12"/>
  <c r="B87" i="1"/>
  <c r="K88" i="1" s="1"/>
  <c r="I35" i="12"/>
  <c r="O35" i="12"/>
  <c r="B36" i="12"/>
  <c r="O14" i="12"/>
  <c r="B15" i="12"/>
  <c r="K36" i="12" l="1"/>
  <c r="H36" i="12"/>
  <c r="I15" i="12"/>
  <c r="K15" i="12"/>
  <c r="H15" i="12"/>
  <c r="O36" i="12"/>
  <c r="I36" i="12"/>
  <c r="B37" i="12"/>
  <c r="O15" i="12"/>
  <c r="B16" i="12"/>
  <c r="K37" i="12" l="1"/>
  <c r="H37" i="12"/>
  <c r="I16" i="12"/>
  <c r="K16" i="12"/>
  <c r="H16" i="12"/>
  <c r="O37" i="12"/>
  <c r="I37" i="12"/>
  <c r="B38" i="12"/>
  <c r="O16" i="12"/>
  <c r="B17" i="12"/>
  <c r="I50" i="1"/>
  <c r="I17" i="12" l="1"/>
  <c r="K17" i="12"/>
  <c r="H17" i="12"/>
  <c r="K38" i="12"/>
  <c r="H38" i="12"/>
  <c r="I38" i="12"/>
  <c r="O38" i="12"/>
  <c r="B39" i="12"/>
  <c r="O17" i="12"/>
  <c r="B18" i="12"/>
  <c r="I18" i="12" l="1"/>
  <c r="K18" i="12"/>
  <c r="H18" i="12"/>
  <c r="K39" i="12"/>
  <c r="H39" i="12"/>
  <c r="I39" i="12"/>
  <c r="O39" i="12"/>
  <c r="B40" i="12"/>
  <c r="O18" i="12"/>
  <c r="B19" i="12"/>
  <c r="K40" i="12" l="1"/>
  <c r="H40" i="12"/>
  <c r="I19" i="12"/>
  <c r="K19" i="12"/>
  <c r="H19" i="12"/>
  <c r="O40" i="12"/>
  <c r="I40" i="12"/>
  <c r="B41" i="12"/>
  <c r="O19" i="12"/>
  <c r="B20" i="12"/>
  <c r="I20" i="12" l="1"/>
  <c r="K20" i="12"/>
  <c r="H20" i="12"/>
  <c r="K41" i="12"/>
  <c r="H41" i="12"/>
  <c r="O41" i="12"/>
  <c r="I41" i="12"/>
  <c r="B42" i="12"/>
  <c r="O20" i="12"/>
  <c r="B21" i="12"/>
  <c r="K42" i="12" l="1"/>
  <c r="H42" i="12"/>
  <c r="I21" i="12"/>
  <c r="K21" i="12"/>
  <c r="H21" i="12"/>
  <c r="I42" i="12"/>
  <c r="O42" i="12"/>
  <c r="B43" i="12"/>
  <c r="O21" i="12"/>
  <c r="B22" i="12"/>
  <c r="K43" i="12" l="1"/>
  <c r="H43" i="12"/>
  <c r="I22" i="12"/>
  <c r="K22" i="12"/>
  <c r="H22" i="12"/>
  <c r="I43" i="12"/>
  <c r="O43" i="12"/>
  <c r="B44" i="12"/>
  <c r="O22" i="12"/>
  <c r="B23" i="12"/>
  <c r="K44" i="12" l="1"/>
  <c r="H44" i="12"/>
  <c r="I23" i="12"/>
  <c r="K23" i="12"/>
  <c r="H23" i="12"/>
  <c r="O44" i="12"/>
  <c r="I44" i="12"/>
  <c r="B45" i="12"/>
  <c r="O23" i="12"/>
  <c r="B24" i="12"/>
  <c r="K45" i="12" l="1"/>
  <c r="H45" i="12"/>
  <c r="I24" i="12"/>
  <c r="K24" i="12"/>
  <c r="H24" i="12"/>
  <c r="O45" i="12"/>
  <c r="I45" i="12"/>
  <c r="B46" i="12"/>
  <c r="O24" i="12"/>
  <c r="K46" i="12" l="1"/>
  <c r="H46" i="12"/>
  <c r="I46" i="12"/>
  <c r="O46" i="12"/>
  <c r="C5" i="8"/>
  <c r="B15" i="8" s="1"/>
  <c r="B12" i="8" l="1"/>
  <c r="B13" i="8" s="1"/>
  <c r="B71" i="1" l="1"/>
  <c r="I47" i="1" l="1"/>
  <c r="B17" i="8" l="1"/>
  <c r="F4" i="1"/>
  <c r="F5" i="1"/>
  <c r="B27" i="1"/>
  <c r="C27" i="1"/>
  <c r="D27" i="1"/>
  <c r="B29" i="1"/>
  <c r="E30" i="1"/>
  <c r="B42" i="1"/>
  <c r="B43" i="1"/>
  <c r="B44" i="1"/>
  <c r="B45" i="1"/>
  <c r="B46" i="1"/>
  <c r="B49" i="1"/>
  <c r="B52" i="1"/>
  <c r="B53" i="1"/>
  <c r="B56" i="1"/>
  <c r="B59" i="1"/>
  <c r="B61" i="1"/>
  <c r="C6" i="12"/>
  <c r="D6" i="12"/>
  <c r="E6" i="12"/>
  <c r="F6" i="12"/>
  <c r="G6" i="12"/>
  <c r="J6" i="12"/>
  <c r="L6" i="12"/>
  <c r="M6" i="12"/>
  <c r="N6" i="12"/>
  <c r="Q6" i="12"/>
  <c r="R6" i="12"/>
  <c r="S6" i="12"/>
  <c r="T6" i="12"/>
  <c r="U6" i="12"/>
  <c r="V6" i="12"/>
  <c r="W6" i="12"/>
  <c r="X6" i="12"/>
  <c r="Y6" i="12"/>
  <c r="Z6" i="12"/>
  <c r="C7" i="12"/>
  <c r="D7" i="12"/>
  <c r="E7" i="12"/>
  <c r="F7" i="12"/>
  <c r="G7" i="12"/>
  <c r="J7" i="12"/>
  <c r="L7" i="12"/>
  <c r="M7" i="12"/>
  <c r="N7" i="12"/>
  <c r="Q7" i="12"/>
  <c r="R7" i="12"/>
  <c r="S7" i="12"/>
  <c r="T7" i="12"/>
  <c r="U7" i="12"/>
  <c r="V7" i="12"/>
  <c r="W7" i="12"/>
  <c r="X7" i="12"/>
  <c r="Y7" i="12"/>
  <c r="Z7" i="12"/>
  <c r="C8" i="12"/>
  <c r="D8" i="12"/>
  <c r="E8" i="12"/>
  <c r="F8" i="12"/>
  <c r="G8" i="12"/>
  <c r="J8" i="12"/>
  <c r="L8" i="12"/>
  <c r="M8" i="12"/>
  <c r="N8" i="12"/>
  <c r="Q8" i="12"/>
  <c r="R8" i="12"/>
  <c r="S8" i="12"/>
  <c r="T8" i="12"/>
  <c r="U8" i="12"/>
  <c r="V8" i="12"/>
  <c r="W8" i="12"/>
  <c r="X8" i="12"/>
  <c r="Y8" i="12"/>
  <c r="Z8" i="12"/>
  <c r="C9" i="12"/>
  <c r="D9" i="12"/>
  <c r="E9" i="12"/>
  <c r="F9" i="12"/>
  <c r="G9" i="12"/>
  <c r="J9" i="12"/>
  <c r="L9" i="12"/>
  <c r="M9" i="12"/>
  <c r="N9" i="12"/>
  <c r="Q9" i="12"/>
  <c r="R9" i="12"/>
  <c r="S9" i="12"/>
  <c r="T9" i="12"/>
  <c r="U9" i="12"/>
  <c r="V9" i="12"/>
  <c r="W9" i="12"/>
  <c r="X9" i="12"/>
  <c r="Y9" i="12"/>
  <c r="Z9" i="12"/>
  <c r="C10" i="12"/>
  <c r="D10" i="12"/>
  <c r="E10" i="12"/>
  <c r="F10" i="12"/>
  <c r="G10" i="12"/>
  <c r="J10" i="12"/>
  <c r="L10" i="12"/>
  <c r="M10" i="12"/>
  <c r="N10" i="12"/>
  <c r="Q10" i="12"/>
  <c r="R10" i="12"/>
  <c r="S10" i="12"/>
  <c r="T10" i="12"/>
  <c r="U10" i="12"/>
  <c r="V10" i="12"/>
  <c r="W10" i="12"/>
  <c r="X10" i="12"/>
  <c r="Y10" i="12"/>
  <c r="Z10" i="12"/>
  <c r="C11" i="12"/>
  <c r="D11" i="12"/>
  <c r="E11" i="12"/>
  <c r="F11" i="12"/>
  <c r="G11" i="12"/>
  <c r="J11" i="12"/>
  <c r="L11" i="12"/>
  <c r="M11" i="12"/>
  <c r="N11" i="12"/>
  <c r="Q11" i="12"/>
  <c r="R11" i="12"/>
  <c r="S11" i="12"/>
  <c r="T11" i="12"/>
  <c r="U11" i="12"/>
  <c r="V11" i="12"/>
  <c r="W11" i="12"/>
  <c r="X11" i="12"/>
  <c r="Y11" i="12"/>
  <c r="Z11" i="12"/>
  <c r="C12" i="12"/>
  <c r="D12" i="12"/>
  <c r="E12" i="12"/>
  <c r="F12" i="12"/>
  <c r="G12" i="12"/>
  <c r="J12" i="12"/>
  <c r="L12" i="12"/>
  <c r="M12" i="12"/>
  <c r="N12" i="12"/>
  <c r="Q12" i="12"/>
  <c r="R12" i="12"/>
  <c r="S12" i="12"/>
  <c r="T12" i="12"/>
  <c r="U12" i="12"/>
  <c r="V12" i="12"/>
  <c r="W12" i="12"/>
  <c r="X12" i="12"/>
  <c r="Y12" i="12"/>
  <c r="Z12" i="12"/>
  <c r="C13" i="12"/>
  <c r="D13" i="12"/>
  <c r="E13" i="12"/>
  <c r="F13" i="12"/>
  <c r="G13" i="12"/>
  <c r="J13" i="12"/>
  <c r="L13" i="12"/>
  <c r="M13" i="12"/>
  <c r="N13" i="12"/>
  <c r="Q13" i="12"/>
  <c r="R13" i="12"/>
  <c r="S13" i="12"/>
  <c r="T13" i="12"/>
  <c r="U13" i="12"/>
  <c r="V13" i="12"/>
  <c r="W13" i="12"/>
  <c r="X13" i="12"/>
  <c r="Y13" i="12"/>
  <c r="Z13" i="12"/>
  <c r="C14" i="12"/>
  <c r="D14" i="12"/>
  <c r="E14" i="12"/>
  <c r="F14" i="12"/>
  <c r="G14" i="12"/>
  <c r="J14" i="12"/>
  <c r="L14" i="12"/>
  <c r="M14" i="12"/>
  <c r="N14" i="12"/>
  <c r="Q14" i="12"/>
  <c r="R14" i="12"/>
  <c r="S14" i="12"/>
  <c r="T14" i="12"/>
  <c r="U14" i="12"/>
  <c r="V14" i="12"/>
  <c r="W14" i="12"/>
  <c r="X14" i="12"/>
  <c r="Y14" i="12"/>
  <c r="Z14" i="12"/>
  <c r="C15" i="12"/>
  <c r="D15" i="12"/>
  <c r="E15" i="12"/>
  <c r="F15" i="12"/>
  <c r="G15" i="12"/>
  <c r="J15" i="12"/>
  <c r="L15" i="12"/>
  <c r="M15" i="12"/>
  <c r="N15" i="12"/>
  <c r="Q15" i="12"/>
  <c r="R15" i="12"/>
  <c r="S15" i="12"/>
  <c r="T15" i="12"/>
  <c r="U15" i="12"/>
  <c r="V15" i="12"/>
  <c r="W15" i="12"/>
  <c r="X15" i="12"/>
  <c r="Y15" i="12"/>
  <c r="Z15" i="12"/>
  <c r="C16" i="12"/>
  <c r="D16" i="12"/>
  <c r="E16" i="12"/>
  <c r="F16" i="12"/>
  <c r="G16" i="12"/>
  <c r="J16" i="12"/>
  <c r="L16" i="12"/>
  <c r="M16" i="12"/>
  <c r="N16" i="12"/>
  <c r="Q16" i="12"/>
  <c r="R16" i="12"/>
  <c r="S16" i="12"/>
  <c r="T16" i="12"/>
  <c r="U16" i="12"/>
  <c r="V16" i="12"/>
  <c r="W16" i="12"/>
  <c r="X16" i="12"/>
  <c r="Y16" i="12"/>
  <c r="Z16" i="12"/>
  <c r="C17" i="12"/>
  <c r="D17" i="12"/>
  <c r="E17" i="12"/>
  <c r="F17" i="12"/>
  <c r="G17" i="12"/>
  <c r="J17" i="12"/>
  <c r="L17" i="12"/>
  <c r="M17" i="12"/>
  <c r="N17" i="12"/>
  <c r="Q17" i="12"/>
  <c r="R17" i="12"/>
  <c r="S17" i="12"/>
  <c r="T17" i="12"/>
  <c r="U17" i="12"/>
  <c r="V17" i="12"/>
  <c r="W17" i="12"/>
  <c r="X17" i="12"/>
  <c r="Y17" i="12"/>
  <c r="Z17" i="12"/>
  <c r="C18" i="12"/>
  <c r="D18" i="12"/>
  <c r="E18" i="12"/>
  <c r="F18" i="12"/>
  <c r="G18" i="12"/>
  <c r="J18" i="12"/>
  <c r="L18" i="12"/>
  <c r="M18" i="12"/>
  <c r="N18" i="12"/>
  <c r="Q18" i="12"/>
  <c r="R18" i="12"/>
  <c r="S18" i="12"/>
  <c r="T18" i="12"/>
  <c r="U18" i="12"/>
  <c r="V18" i="12"/>
  <c r="W18" i="12"/>
  <c r="X18" i="12"/>
  <c r="Y18" i="12"/>
  <c r="Z18" i="12"/>
  <c r="C19" i="12"/>
  <c r="D19" i="12"/>
  <c r="E19" i="12"/>
  <c r="F19" i="12"/>
  <c r="G19" i="12"/>
  <c r="J19" i="12"/>
  <c r="L19" i="12"/>
  <c r="M19" i="12"/>
  <c r="N19" i="12"/>
  <c r="Q19" i="12"/>
  <c r="R19" i="12"/>
  <c r="S19" i="12"/>
  <c r="T19" i="12"/>
  <c r="U19" i="12"/>
  <c r="V19" i="12"/>
  <c r="W19" i="12"/>
  <c r="X19" i="12"/>
  <c r="Y19" i="12"/>
  <c r="Z19" i="12"/>
  <c r="C20" i="12"/>
  <c r="D20" i="12"/>
  <c r="E20" i="12"/>
  <c r="F20" i="12"/>
  <c r="G20" i="12"/>
  <c r="J20" i="12"/>
  <c r="L20" i="12"/>
  <c r="M20" i="12"/>
  <c r="N20" i="12"/>
  <c r="Q20" i="12"/>
  <c r="R20" i="12"/>
  <c r="S20" i="12"/>
  <c r="T20" i="12"/>
  <c r="U20" i="12"/>
  <c r="V20" i="12"/>
  <c r="W20" i="12"/>
  <c r="X20" i="12"/>
  <c r="Y20" i="12"/>
  <c r="Z20" i="12"/>
  <c r="C21" i="12"/>
  <c r="D21" i="12"/>
  <c r="E21" i="12"/>
  <c r="F21" i="12"/>
  <c r="G21" i="12"/>
  <c r="J21" i="12"/>
  <c r="L21" i="12"/>
  <c r="M21" i="12"/>
  <c r="N21" i="12"/>
  <c r="Q21" i="12"/>
  <c r="R21" i="12"/>
  <c r="S21" i="12"/>
  <c r="T21" i="12"/>
  <c r="U21" i="12"/>
  <c r="V21" i="12"/>
  <c r="W21" i="12"/>
  <c r="X21" i="12"/>
  <c r="Y21" i="12"/>
  <c r="Z21" i="12"/>
  <c r="C22" i="12"/>
  <c r="D22" i="12"/>
  <c r="E22" i="12"/>
  <c r="F22" i="12"/>
  <c r="G22" i="12"/>
  <c r="J22" i="12"/>
  <c r="L22" i="12"/>
  <c r="M22" i="12"/>
  <c r="N22" i="12"/>
  <c r="Q22" i="12"/>
  <c r="R22" i="12"/>
  <c r="S22" i="12"/>
  <c r="T22" i="12"/>
  <c r="U22" i="12"/>
  <c r="V22" i="12"/>
  <c r="W22" i="12"/>
  <c r="X22" i="12"/>
  <c r="Y22" i="12"/>
  <c r="Z22" i="12"/>
  <c r="C23" i="12"/>
  <c r="D23" i="12"/>
  <c r="E23" i="12"/>
  <c r="F23" i="12"/>
  <c r="G23" i="12"/>
  <c r="J23" i="12"/>
  <c r="L23" i="12"/>
  <c r="M23" i="12"/>
  <c r="N23" i="12"/>
  <c r="Q23" i="12"/>
  <c r="R23" i="12"/>
  <c r="S23" i="12"/>
  <c r="T23" i="12"/>
  <c r="U23" i="12"/>
  <c r="V23" i="12"/>
  <c r="W23" i="12"/>
  <c r="X23" i="12"/>
  <c r="Y23" i="12"/>
  <c r="Z23" i="12"/>
  <c r="C24" i="12"/>
  <c r="D24" i="12"/>
  <c r="E24" i="12"/>
  <c r="F24" i="12"/>
  <c r="G24" i="12"/>
  <c r="J24" i="12"/>
  <c r="L24" i="12"/>
  <c r="M24" i="12"/>
  <c r="N24" i="12"/>
  <c r="Q24" i="12"/>
  <c r="R24" i="12"/>
  <c r="S24" i="12"/>
  <c r="T24" i="12"/>
  <c r="U24" i="12"/>
  <c r="V24" i="12"/>
  <c r="W24" i="12"/>
  <c r="X24" i="12"/>
  <c r="Y24" i="12"/>
  <c r="Z24" i="12"/>
  <c r="C25" i="12"/>
  <c r="D25" i="12"/>
  <c r="E25" i="12"/>
  <c r="F25" i="12"/>
  <c r="G25" i="12"/>
  <c r="J25" i="12"/>
  <c r="L25" i="12"/>
  <c r="M25" i="12"/>
  <c r="N25" i="12"/>
  <c r="Q25" i="12"/>
  <c r="R25" i="12"/>
  <c r="S25" i="12"/>
  <c r="T25" i="12"/>
  <c r="U25" i="12"/>
  <c r="V25" i="12"/>
  <c r="W25" i="12"/>
  <c r="X25" i="12"/>
  <c r="Y25" i="12"/>
  <c r="Z25" i="12"/>
  <c r="C26" i="12"/>
  <c r="D26" i="12"/>
  <c r="E26" i="12"/>
  <c r="F26" i="12"/>
  <c r="G26" i="12"/>
  <c r="J26" i="12"/>
  <c r="L26" i="12"/>
  <c r="M26" i="12"/>
  <c r="N26" i="12"/>
  <c r="Q26" i="12"/>
  <c r="R26" i="12"/>
  <c r="S26" i="12"/>
  <c r="T26" i="12"/>
  <c r="U26" i="12"/>
  <c r="V26" i="12"/>
  <c r="W26" i="12"/>
  <c r="X26" i="12"/>
  <c r="Y26" i="12"/>
  <c r="Z26" i="12"/>
  <c r="C28" i="12"/>
  <c r="D28" i="12"/>
  <c r="E28" i="12"/>
  <c r="F28" i="12"/>
  <c r="G28" i="12"/>
  <c r="J28" i="12"/>
  <c r="L28" i="12"/>
  <c r="M28" i="12"/>
  <c r="N28" i="12"/>
  <c r="Q28" i="12"/>
  <c r="R28" i="12"/>
  <c r="S28" i="12"/>
  <c r="T28" i="12"/>
  <c r="U28" i="12"/>
  <c r="V28" i="12"/>
  <c r="W28" i="12"/>
  <c r="X28" i="12"/>
  <c r="Y28" i="12"/>
  <c r="Z28" i="12"/>
  <c r="C29" i="12"/>
  <c r="D29" i="12"/>
  <c r="E29" i="12"/>
  <c r="F29" i="12"/>
  <c r="G29" i="12"/>
  <c r="J29" i="12"/>
  <c r="L29" i="12"/>
  <c r="M29" i="12"/>
  <c r="N29" i="12"/>
  <c r="Q29" i="12"/>
  <c r="R29" i="12"/>
  <c r="S29" i="12"/>
  <c r="T29" i="12"/>
  <c r="U29" i="12"/>
  <c r="V29" i="12"/>
  <c r="W29" i="12"/>
  <c r="X29" i="12"/>
  <c r="Y29" i="12"/>
  <c r="Z29" i="12"/>
  <c r="C30" i="12"/>
  <c r="D30" i="12"/>
  <c r="E30" i="12"/>
  <c r="F30" i="12"/>
  <c r="G30" i="12"/>
  <c r="J30" i="12"/>
  <c r="L30" i="12"/>
  <c r="M30" i="12"/>
  <c r="N30" i="12"/>
  <c r="Q30" i="12"/>
  <c r="R30" i="12"/>
  <c r="S30" i="12"/>
  <c r="T30" i="12"/>
  <c r="U30" i="12"/>
  <c r="V30" i="12"/>
  <c r="W30" i="12"/>
  <c r="X30" i="12"/>
  <c r="Y30" i="12"/>
  <c r="Z30" i="12"/>
  <c r="C31" i="12"/>
  <c r="D31" i="12"/>
  <c r="E31" i="12"/>
  <c r="F31" i="12"/>
  <c r="G31" i="12"/>
  <c r="J31" i="12"/>
  <c r="L31" i="12"/>
  <c r="M31" i="12"/>
  <c r="N31" i="12"/>
  <c r="Q31" i="12"/>
  <c r="R31" i="12"/>
  <c r="S31" i="12"/>
  <c r="T31" i="12"/>
  <c r="U31" i="12"/>
  <c r="V31" i="12"/>
  <c r="W31" i="12"/>
  <c r="X31" i="12"/>
  <c r="Y31" i="12"/>
  <c r="Z31" i="12"/>
  <c r="C32" i="12"/>
  <c r="D32" i="12"/>
  <c r="E32" i="12"/>
  <c r="F32" i="12"/>
  <c r="G32" i="12"/>
  <c r="J32" i="12"/>
  <c r="L32" i="12"/>
  <c r="M32" i="12"/>
  <c r="N32" i="12"/>
  <c r="Q32" i="12"/>
  <c r="R32" i="12"/>
  <c r="S32" i="12"/>
  <c r="T32" i="12"/>
  <c r="U32" i="12"/>
  <c r="V32" i="12"/>
  <c r="W32" i="12"/>
  <c r="X32" i="12"/>
  <c r="Y32" i="12"/>
  <c r="Z32" i="12"/>
  <c r="C33" i="12"/>
  <c r="D33" i="12"/>
  <c r="E33" i="12"/>
  <c r="F33" i="12"/>
  <c r="G33" i="12"/>
  <c r="J33" i="12"/>
  <c r="L33" i="12"/>
  <c r="M33" i="12"/>
  <c r="N33" i="12"/>
  <c r="Q33" i="12"/>
  <c r="R33" i="12"/>
  <c r="S33" i="12"/>
  <c r="T33" i="12"/>
  <c r="U33" i="12"/>
  <c r="V33" i="12"/>
  <c r="W33" i="12"/>
  <c r="X33" i="12"/>
  <c r="Y33" i="12"/>
  <c r="Z33" i="12"/>
  <c r="C34" i="12"/>
  <c r="D34" i="12"/>
  <c r="E34" i="12"/>
  <c r="F34" i="12"/>
  <c r="G34" i="12"/>
  <c r="J34" i="12"/>
  <c r="L34" i="12"/>
  <c r="M34" i="12"/>
  <c r="N34" i="12"/>
  <c r="Q34" i="12"/>
  <c r="R34" i="12"/>
  <c r="S34" i="12"/>
  <c r="T34" i="12"/>
  <c r="U34" i="12"/>
  <c r="V34" i="12"/>
  <c r="W34" i="12"/>
  <c r="X34" i="12"/>
  <c r="Y34" i="12"/>
  <c r="Z34" i="12"/>
  <c r="C35" i="12"/>
  <c r="D35" i="12"/>
  <c r="E35" i="12"/>
  <c r="F35" i="12"/>
  <c r="G35" i="12"/>
  <c r="J35" i="12"/>
  <c r="L35" i="12"/>
  <c r="M35" i="12"/>
  <c r="N35" i="12"/>
  <c r="Q35" i="12"/>
  <c r="R35" i="12"/>
  <c r="S35" i="12"/>
  <c r="T35" i="12"/>
  <c r="U35" i="12"/>
  <c r="V35" i="12"/>
  <c r="W35" i="12"/>
  <c r="X35" i="12"/>
  <c r="Y35" i="12"/>
  <c r="Z35" i="12"/>
  <c r="C36" i="12"/>
  <c r="D36" i="12"/>
  <c r="E36" i="12"/>
  <c r="F36" i="12"/>
  <c r="G36" i="12"/>
  <c r="J36" i="12"/>
  <c r="L36" i="12"/>
  <c r="M36" i="12"/>
  <c r="N36" i="12"/>
  <c r="Q36" i="12"/>
  <c r="R36" i="12"/>
  <c r="S36" i="12"/>
  <c r="T36" i="12"/>
  <c r="U36" i="12"/>
  <c r="V36" i="12"/>
  <c r="W36" i="12"/>
  <c r="X36" i="12"/>
  <c r="Y36" i="12"/>
  <c r="Z36" i="12"/>
  <c r="C37" i="12"/>
  <c r="D37" i="12"/>
  <c r="E37" i="12"/>
  <c r="F37" i="12"/>
  <c r="G37" i="12"/>
  <c r="J37" i="12"/>
  <c r="L37" i="12"/>
  <c r="M37" i="12"/>
  <c r="N37" i="12"/>
  <c r="Q37" i="12"/>
  <c r="R37" i="12"/>
  <c r="S37" i="12"/>
  <c r="T37" i="12"/>
  <c r="U37" i="12"/>
  <c r="V37" i="12"/>
  <c r="W37" i="12"/>
  <c r="X37" i="12"/>
  <c r="Y37" i="12"/>
  <c r="Z37" i="12"/>
  <c r="C38" i="12"/>
  <c r="D38" i="12"/>
  <c r="E38" i="12"/>
  <c r="F38" i="12"/>
  <c r="G38" i="12"/>
  <c r="J38" i="12"/>
  <c r="L38" i="12"/>
  <c r="M38" i="12"/>
  <c r="N38" i="12"/>
  <c r="Q38" i="12"/>
  <c r="R38" i="12"/>
  <c r="S38" i="12"/>
  <c r="T38" i="12"/>
  <c r="U38" i="12"/>
  <c r="V38" i="12"/>
  <c r="W38" i="12"/>
  <c r="X38" i="12"/>
  <c r="Y38" i="12"/>
  <c r="Z38" i="12"/>
  <c r="C39" i="12"/>
  <c r="D39" i="12"/>
  <c r="E39" i="12"/>
  <c r="F39" i="12"/>
  <c r="G39" i="12"/>
  <c r="J39" i="12"/>
  <c r="L39" i="12"/>
  <c r="M39" i="12"/>
  <c r="N39" i="12"/>
  <c r="Q39" i="12"/>
  <c r="R39" i="12"/>
  <c r="S39" i="12"/>
  <c r="T39" i="12"/>
  <c r="U39" i="12"/>
  <c r="V39" i="12"/>
  <c r="W39" i="12"/>
  <c r="X39" i="12"/>
  <c r="Y39" i="12"/>
  <c r="Z39" i="12"/>
  <c r="C40" i="12"/>
  <c r="D40" i="12"/>
  <c r="E40" i="12"/>
  <c r="F40" i="12"/>
  <c r="G40" i="12"/>
  <c r="J40" i="12"/>
  <c r="L40" i="12"/>
  <c r="M40" i="12"/>
  <c r="N40" i="12"/>
  <c r="Q40" i="12"/>
  <c r="R40" i="12"/>
  <c r="S40" i="12"/>
  <c r="T40" i="12"/>
  <c r="U40" i="12"/>
  <c r="V40" i="12"/>
  <c r="W40" i="12"/>
  <c r="X40" i="12"/>
  <c r="Y40" i="12"/>
  <c r="Z40" i="12"/>
  <c r="C41" i="12"/>
  <c r="D41" i="12"/>
  <c r="E41" i="12"/>
  <c r="F41" i="12"/>
  <c r="G41" i="12"/>
  <c r="J41" i="12"/>
  <c r="L41" i="12"/>
  <c r="M41" i="12"/>
  <c r="N41" i="12"/>
  <c r="Q41" i="12"/>
  <c r="R41" i="12"/>
  <c r="S41" i="12"/>
  <c r="T41" i="12"/>
  <c r="U41" i="12"/>
  <c r="V41" i="12"/>
  <c r="W41" i="12"/>
  <c r="X41" i="12"/>
  <c r="Y41" i="12"/>
  <c r="Z41" i="12"/>
  <c r="C42" i="12"/>
  <c r="D42" i="12"/>
  <c r="E42" i="12"/>
  <c r="F42" i="12"/>
  <c r="G42" i="12"/>
  <c r="J42" i="12"/>
  <c r="L42" i="12"/>
  <c r="M42" i="12"/>
  <c r="N42" i="12"/>
  <c r="Q42" i="12"/>
  <c r="R42" i="12"/>
  <c r="S42" i="12"/>
  <c r="T42" i="12"/>
  <c r="U42" i="12"/>
  <c r="V42" i="12"/>
  <c r="W42" i="12"/>
  <c r="X42" i="12"/>
  <c r="Y42" i="12"/>
  <c r="Z42" i="12"/>
  <c r="C43" i="12"/>
  <c r="D43" i="12"/>
  <c r="E43" i="12"/>
  <c r="F43" i="12"/>
  <c r="G43" i="12"/>
  <c r="J43" i="12"/>
  <c r="L43" i="12"/>
  <c r="M43" i="12"/>
  <c r="N43" i="12"/>
  <c r="Q43" i="12"/>
  <c r="R43" i="12"/>
  <c r="S43" i="12"/>
  <c r="T43" i="12"/>
  <c r="U43" i="12"/>
  <c r="V43" i="12"/>
  <c r="W43" i="12"/>
  <c r="X43" i="12"/>
  <c r="Y43" i="12"/>
  <c r="Z43" i="12"/>
  <c r="C44" i="12"/>
  <c r="D44" i="12"/>
  <c r="E44" i="12"/>
  <c r="F44" i="12"/>
  <c r="G44" i="12"/>
  <c r="J44" i="12"/>
  <c r="L44" i="12"/>
  <c r="M44" i="12"/>
  <c r="N44" i="12"/>
  <c r="Q44" i="12"/>
  <c r="R44" i="12"/>
  <c r="S44" i="12"/>
  <c r="T44" i="12"/>
  <c r="U44" i="12"/>
  <c r="V44" i="12"/>
  <c r="W44" i="12"/>
  <c r="X44" i="12"/>
  <c r="Y44" i="12"/>
  <c r="Z44" i="12"/>
  <c r="C45" i="12"/>
  <c r="D45" i="12"/>
  <c r="E45" i="12"/>
  <c r="F45" i="12"/>
  <c r="G45" i="12"/>
  <c r="J45" i="12"/>
  <c r="L45" i="12"/>
  <c r="M45" i="12"/>
  <c r="N45" i="12"/>
  <c r="Q45" i="12"/>
  <c r="R45" i="12"/>
  <c r="S45" i="12"/>
  <c r="T45" i="12"/>
  <c r="U45" i="12"/>
  <c r="V45" i="12"/>
  <c r="W45" i="12"/>
  <c r="X45" i="12"/>
  <c r="Y45" i="12"/>
  <c r="Z45" i="12"/>
  <c r="C46" i="12"/>
  <c r="D46" i="12"/>
  <c r="E46" i="12"/>
  <c r="F46" i="12"/>
  <c r="G46" i="12"/>
  <c r="J46" i="12"/>
  <c r="L46" i="12"/>
  <c r="M46" i="12"/>
  <c r="N46" i="12"/>
  <c r="Q46" i="12"/>
  <c r="R46" i="12"/>
  <c r="S46" i="12"/>
  <c r="T46" i="12"/>
  <c r="U46" i="12"/>
  <c r="V46" i="12"/>
  <c r="W46" i="12"/>
  <c r="X46" i="12"/>
  <c r="Y46" i="12"/>
  <c r="Z46" i="12"/>
  <c r="C47" i="12"/>
  <c r="D47" i="12"/>
  <c r="E47" i="12"/>
  <c r="F47" i="12"/>
  <c r="G47" i="12"/>
  <c r="J47" i="12"/>
  <c r="L47" i="12"/>
  <c r="M47" i="12"/>
  <c r="N47" i="12"/>
  <c r="Q47" i="12"/>
  <c r="R47" i="12"/>
  <c r="S47" i="12"/>
  <c r="T47" i="12"/>
  <c r="U47" i="12"/>
  <c r="V47" i="12"/>
  <c r="W47" i="12"/>
  <c r="X47" i="12"/>
  <c r="Y47" i="12"/>
  <c r="Z47" i="12"/>
  <c r="C48" i="12"/>
  <c r="D48" i="12"/>
  <c r="E48" i="12"/>
  <c r="F48" i="12"/>
  <c r="G48" i="12"/>
  <c r="J48" i="12"/>
  <c r="L48" i="12"/>
  <c r="M48" i="12"/>
  <c r="N48" i="12"/>
  <c r="Q48" i="12"/>
  <c r="R48" i="12"/>
  <c r="S48" i="12"/>
  <c r="T48" i="12"/>
  <c r="U48" i="12"/>
  <c r="V48" i="12"/>
  <c r="W48" i="12"/>
  <c r="X48" i="12"/>
  <c r="Y48" i="12"/>
  <c r="Z48" i="12"/>
</calcChain>
</file>

<file path=xl/sharedStrings.xml><?xml version="1.0" encoding="utf-8"?>
<sst xmlns="http://schemas.openxmlformats.org/spreadsheetml/2006/main" count="522" uniqueCount="336">
  <si>
    <t>gm_power</t>
  </si>
  <si>
    <t>PARAMETER</t>
  </si>
  <si>
    <t>V</t>
  </si>
  <si>
    <t>A/V</t>
  </si>
  <si>
    <t>ns</t>
  </si>
  <si>
    <t>V/ns</t>
  </si>
  <si>
    <t>nC</t>
  </si>
  <si>
    <t>AVOL</t>
  </si>
  <si>
    <t>dB</t>
  </si>
  <si>
    <t>gm_EA</t>
  </si>
  <si>
    <t>A</t>
  </si>
  <si>
    <t>Rz</t>
  </si>
  <si>
    <t>Cz</t>
  </si>
  <si>
    <t>Cp</t>
  </si>
  <si>
    <t>MHz</t>
  </si>
  <si>
    <t>nF</t>
  </si>
  <si>
    <t>pF</t>
  </si>
  <si>
    <t>mV</t>
  </si>
  <si>
    <t>Qg_FET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</si>
  <si>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</si>
  <si>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</si>
  <si>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</si>
  <si>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</si>
  <si>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</si>
  <si>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</si>
  <si>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</si>
  <si>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</si>
  <si>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</si>
  <si>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</si>
  <si>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</si>
  <si>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</si>
  <si>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 xml:space="preserve">Lo = </t>
  </si>
  <si>
    <t>Cin_min</t>
  </si>
  <si>
    <t>fc =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</si>
  <si>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</si>
  <si>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</si>
  <si>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</si>
  <si>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Design supplied value</t>
  </si>
  <si>
    <t>Output inductor tolerances</t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</si>
  <si>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</si>
  <si>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</si>
  <si>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</si>
  <si>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</si>
  <si>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</si>
  <si>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Ω</t>
  </si>
  <si>
    <t>Ro_EA</t>
  </si>
  <si>
    <r>
      <t>M</t>
    </r>
    <r>
      <rPr>
        <sz val="11"/>
        <color indexed="8"/>
        <rFont val="Calibri"/>
        <family val="2"/>
      </rPr>
      <t>Ω</t>
    </r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</si>
  <si>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</si>
  <si>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Recommended maximum 0dB crossover frequency of the system</t>
  </si>
  <si>
    <r>
      <t xml:space="preserve">Compensation is based on average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</si>
  <si>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t>Choose the closest available 1% standard resister value</t>
  </si>
  <si>
    <t>Recommended compensation capacitor, use closest available value</t>
  </si>
  <si>
    <t>Recommended HF compensation capacitor, use closest available value</t>
  </si>
  <si>
    <t>Psw</t>
  </si>
  <si>
    <t>Pcond</t>
  </si>
  <si>
    <r>
      <t>m</t>
    </r>
    <r>
      <rPr>
        <sz val="11"/>
        <color indexed="8"/>
        <rFont val="Calibri"/>
        <family val="2"/>
      </rPr>
      <t>Ω</t>
    </r>
  </si>
  <si>
    <t>RDSon @ 25C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</si>
  <si>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</si>
  <si>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</si>
  <si>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</si>
  <si>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</si>
  <si>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</si>
  <si>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</si>
  <si>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</si>
  <si>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</si>
  <si>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t>RDSon</t>
  </si>
  <si>
    <t>µF</t>
  </si>
  <si>
    <t>VARIABLES</t>
  </si>
  <si>
    <t>Lo_tolerance</t>
  </si>
  <si>
    <t xml:space="preserve"> Switching Frequency Determination:</t>
  </si>
  <si>
    <t xml:space="preserve"> Output Capacitor and Output Voltage Ripple:</t>
  </si>
  <si>
    <t xml:space="preserve"> Input Capacitor Requirements:</t>
  </si>
  <si>
    <t xml:space="preserve"> Compensation Components: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</si>
  <si>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</si>
  <si>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</si>
  <si>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</si>
  <si>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t>ILIM slope</t>
  </si>
  <si>
    <t>ILIM offset</t>
  </si>
  <si>
    <t>A / %</t>
  </si>
  <si>
    <r>
      <t>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</si>
  <si>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t>Includes worst case IC &amp; component variations vs. temperature</t>
  </si>
  <si>
    <t>This value should not exceed the inductor's specified saturation current</t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</si>
  <si>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</si>
  <si>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</si>
  <si>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</si>
  <si>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t>INSTRUCTIONS:   Enter design goals and component values in the white boxes.</t>
  </si>
  <si>
    <t>Maximum steady-state ambient temperature</t>
  </si>
  <si>
    <t>Lo_est</t>
  </si>
  <si>
    <t>Current limit margin (minimum) before possible duty-cycle limiting</t>
  </si>
  <si>
    <t>INSTRUCTIONS:  No values need to be entered here, all values are derived from the DESIGN tab</t>
  </si>
  <si>
    <t>These values are all derived from the data sheet or lab measurements.</t>
  </si>
  <si>
    <r>
      <t xml:space="preserve">Choose Lo, considering </t>
    </r>
    <r>
      <rPr>
        <sz val="11"/>
        <color indexed="8"/>
        <rFont val="Calibri"/>
        <family val="2"/>
      </rPr>
      <t>Lo_est</t>
    </r>
    <r>
      <rPr>
        <sz val="11"/>
        <color theme="1"/>
        <rFont val="Calibri"/>
        <family val="2"/>
        <scheme val="minor"/>
      </rPr>
      <t xml:space="preserve"> (choose next highest standard value)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</si>
  <si>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</si>
  <si>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t>Curve fit value, slope</t>
  </si>
  <si>
    <t>Curve fit value, offset</t>
  </si>
  <si>
    <t>Lo_I_max</t>
  </si>
  <si>
    <t>The asynchronous diode must be rated to support at least this much current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</si>
  <si>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</si>
  <si>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</si>
  <si>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</si>
  <si>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</si>
  <si>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</si>
  <si>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</si>
  <si>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</si>
  <si>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Recommended maximum PWM frequency, before possible pulse skipping</t>
  </si>
  <si>
    <t>UVLO Stop</t>
  </si>
  <si>
    <r>
      <t>Enter the output inductor's DCR, default is 35m</t>
    </r>
    <r>
      <rPr>
        <sz val="11"/>
        <rFont val="Calibri"/>
        <family val="2"/>
      </rPr>
      <t>Ω if left blank</t>
    </r>
  </si>
  <si>
    <t>T (°C)</t>
  </si>
  <si>
    <t>Snubber Component Calculations:</t>
  </si>
  <si>
    <t>Capacitance of D1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</si>
  <si>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</si>
  <si>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</si>
  <si>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</si>
  <si>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</si>
  <si>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</si>
  <si>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</si>
  <si>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</si>
  <si>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</si>
  <si>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</si>
  <si>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</si>
  <si>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</si>
  <si>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</si>
  <si>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</si>
  <si>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</si>
  <si>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</si>
  <si>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</si>
  <si>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</si>
  <si>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</si>
  <si>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</si>
  <si>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Known value, used for inductor DCR</t>
  </si>
  <si>
    <t>A   |   VF</t>
  </si>
  <si>
    <t>mV/°C</t>
  </si>
  <si>
    <r>
      <t>VO</t>
    </r>
    <r>
      <rPr>
        <b/>
        <vertAlign val="subscript"/>
        <sz val="10"/>
        <rFont val="Arial"/>
        <family val="2"/>
      </rPr>
      <t>SAT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</si>
  <si>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</si>
  <si>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</si>
  <si>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System Duty Cycle</t>
  </si>
  <si>
    <t>Range of system duty-cycles given Vin, Vout, Iout, VF, etc</t>
  </si>
  <si>
    <t>DIODE (D1) CHARACTERIZATION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</si>
  <si>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</si>
  <si>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</si>
  <si>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</si>
  <si>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</si>
  <si>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OUT</t>
    </r>
  </si>
  <si>
    <t>Thermal resistance, 4 layer PCB</t>
  </si>
  <si>
    <r>
      <t xml:space="preserve">Choose fc considering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MAX.</t>
    </r>
    <r>
      <rPr>
        <sz val="11"/>
        <color indexed="8"/>
        <rFont val="Calibri"/>
        <family val="2"/>
      </rPr>
      <t xml:space="preserve">  Higher fc = faster system, lower stability margins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</si>
  <si>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</si>
  <si>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</si>
  <si>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</si>
  <si>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</si>
  <si>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</si>
  <si>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</si>
  <si>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t>Dominant pole formed by the output capacitance and the load</t>
  </si>
  <si>
    <t>Recommended compensation resister to achieve fc</t>
  </si>
  <si>
    <r>
      <t>TJ</t>
    </r>
    <r>
      <rPr>
        <b/>
        <vertAlign val="subscript"/>
        <sz val="10"/>
        <rFont val="Arial"/>
        <family val="2"/>
      </rPr>
      <t>D1</t>
    </r>
  </si>
  <si>
    <r>
      <t>TJ</t>
    </r>
    <r>
      <rPr>
        <b/>
        <vertAlign val="subscript"/>
        <sz val="10"/>
        <rFont val="Arial"/>
        <family val="2"/>
      </rPr>
      <t>IC</t>
    </r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</si>
  <si>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</si>
  <si>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</si>
  <si>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</si>
  <si>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</si>
  <si>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</si>
  <si>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</si>
  <si>
    <t>Enter the snubber capacitor value, enter "0" if no snubber is used</t>
  </si>
  <si>
    <t>SW_slew_rise</t>
  </si>
  <si>
    <t>SW_slew_fall</t>
  </si>
  <si>
    <t>Typical SW frequency measurement before snubber</t>
  </si>
  <si>
    <t>fsw</t>
  </si>
  <si>
    <t>Se</t>
  </si>
  <si>
    <t>Actual Cz</t>
  </si>
  <si>
    <t>Actual Cp</t>
  </si>
  <si>
    <t>kHz</t>
  </si>
  <si>
    <t>kΩ</t>
  </si>
  <si>
    <t>ESR</t>
  </si>
  <si>
    <t>Capacitance at Vout</t>
  </si>
  <si>
    <t>mΩ</t>
  </si>
  <si>
    <t xml:space="preserve">fsw = </t>
  </si>
  <si>
    <t>fsw_max</t>
  </si>
  <si>
    <t>Actual Rz</t>
  </si>
  <si>
    <t>Std. Resistors</t>
  </si>
  <si>
    <t>E6</t>
  </si>
  <si>
    <t>E96</t>
  </si>
  <si>
    <t>C values up to 10nF</t>
  </si>
  <si>
    <t>C values greater than 10nF</t>
  </si>
  <si>
    <t>E48</t>
  </si>
  <si>
    <t>Typical Schematic</t>
  </si>
  <si>
    <t>Diode D1:  Example I-V Characteristics</t>
  </si>
  <si>
    <t>fsw_tol</t>
  </si>
  <si>
    <t>A/µs</t>
  </si>
  <si>
    <t>Slope Comp @ 2MHz</t>
  </si>
  <si>
    <t>Slope comp @ 400kHz</t>
  </si>
  <si>
    <r>
      <t xml:space="preserve">INSTRUCTIONS:   Enter design goals and component values in the white boxes.
</t>
    </r>
    <r>
      <rPr>
        <i/>
        <sz val="12"/>
        <color theme="0"/>
        <rFont val="Calibri"/>
        <family val="2"/>
        <scheme val="minor"/>
      </rPr>
      <t>Ensure "Iterative Calculation" is enabled under File -&gt; Options -&gt; Formulas</t>
    </r>
  </si>
  <si>
    <t>VIN</t>
  </si>
  <si>
    <t>LED Current Target</t>
  </si>
  <si>
    <t>Number of LEDs</t>
  </si>
  <si>
    <t>LED Forward Voltage</t>
  </si>
  <si>
    <t>CS Resistor Tolerance</t>
  </si>
  <si>
    <t xml:space="preserve"> Typical &amp; Worst Case Output Current Calculations:</t>
  </si>
  <si>
    <r>
      <t>Iout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</si>
  <si>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t>Desired Switching Frequency</t>
  </si>
  <si>
    <t>VF_nominal</t>
  </si>
  <si>
    <t>VF at nominal output current</t>
  </si>
  <si>
    <t>Chosen Fsw</t>
  </si>
  <si>
    <t>VCS</t>
  </si>
  <si>
    <t>VCS tol</t>
  </si>
  <si>
    <t xml:space="preserve">Slope compensation at selected switching frequency </t>
  </si>
  <si>
    <r>
      <t>A/</t>
    </r>
    <r>
      <rPr>
        <sz val="11"/>
        <color theme="1"/>
        <rFont val="Calibri"/>
        <family val="2"/>
      </rPr>
      <t>µs</t>
    </r>
  </si>
  <si>
    <t>Lo_min</t>
  </si>
  <si>
    <t>Lo_max</t>
  </si>
  <si>
    <t>nano</t>
  </si>
  <si>
    <t>micro</t>
  </si>
  <si>
    <t>milli</t>
  </si>
  <si>
    <t>kilo</t>
  </si>
  <si>
    <t>mega</t>
  </si>
  <si>
    <t>giga</t>
  </si>
  <si>
    <t>Tsw</t>
  </si>
  <si>
    <t>Typical peak to peak output inductor ripple current</t>
  </si>
  <si>
    <t>∆fSW</t>
  </si>
  <si>
    <t xml:space="preserve">±5 Dither frequency </t>
  </si>
  <si>
    <t xml:space="preserve">LED resistance @ operating current </t>
  </si>
  <si>
    <t>ΔVout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</si>
  <si>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Iout</t>
    </r>
  </si>
  <si>
    <t>mA</t>
  </si>
  <si>
    <t>Cin_selected</t>
  </si>
  <si>
    <t>Recommended minimum input with 50mV ripple</t>
  </si>
  <si>
    <t>Selected input cap</t>
  </si>
  <si>
    <t>Recommended Cout</t>
  </si>
  <si>
    <t xml:space="preserve">RLED </t>
  </si>
  <si>
    <t>The asynchronous diode must be rated for this voltage</t>
  </si>
  <si>
    <t>Input Voltage</t>
  </si>
  <si>
    <t xml:space="preserve">Loop Gain (dB) </t>
  </si>
  <si>
    <r>
      <t>f</t>
    </r>
    <r>
      <rPr>
        <b/>
        <vertAlign val="subscript"/>
        <sz val="11"/>
        <color indexed="8"/>
        <rFont val="Calibri"/>
        <family val="2"/>
      </rPr>
      <t>P(PS)</t>
    </r>
  </si>
  <si>
    <r>
      <t>f</t>
    </r>
    <r>
      <rPr>
        <b/>
        <vertAlign val="subscript"/>
        <sz val="11"/>
        <color indexed="8"/>
        <rFont val="Calibri"/>
        <family val="2"/>
      </rPr>
      <t>P(ea)_target</t>
    </r>
  </si>
  <si>
    <t>Target error amplifier pole</t>
  </si>
  <si>
    <t>ALLEGRO ALT80802 DESIGN SPREADSHEET</t>
  </si>
  <si>
    <r>
      <t>P</t>
    </r>
    <r>
      <rPr>
        <b/>
        <vertAlign val="subscript"/>
        <sz val="10"/>
        <rFont val="Arial"/>
        <family val="2"/>
      </rPr>
      <t>IQ</t>
    </r>
  </si>
  <si>
    <r>
      <t>P</t>
    </r>
    <r>
      <rPr>
        <b/>
        <vertAlign val="subscript"/>
        <sz val="10"/>
        <rFont val="Arial"/>
        <family val="2"/>
      </rPr>
      <t>LOSS_tol</t>
    </r>
  </si>
  <si>
    <r>
      <t>T</t>
    </r>
    <r>
      <rPr>
        <b/>
        <vertAlign val="subscript"/>
        <sz val="10"/>
        <rFont val="Arial"/>
        <family val="2"/>
      </rPr>
      <t>OFF</t>
    </r>
  </si>
  <si>
    <r>
      <t>T</t>
    </r>
    <r>
      <rPr>
        <b/>
        <vertAlign val="subscript"/>
        <sz val="10"/>
        <rFont val="Arial"/>
        <family val="2"/>
      </rPr>
      <t>ON(ns)</t>
    </r>
  </si>
  <si>
    <t xml:space="preserve">Operating Condition </t>
  </si>
  <si>
    <t>Efficiency</t>
  </si>
  <si>
    <t>R1</t>
  </si>
  <si>
    <t>R2</t>
  </si>
  <si>
    <t>R3</t>
  </si>
  <si>
    <t>Iout</t>
  </si>
  <si>
    <t>Rsense Power</t>
  </si>
  <si>
    <t>Open</t>
  </si>
  <si>
    <t>Bin 2</t>
  </si>
  <si>
    <t>Bin 3</t>
  </si>
  <si>
    <t>Short</t>
  </si>
  <si>
    <r>
      <t>P</t>
    </r>
    <r>
      <rPr>
        <b/>
        <vertAlign val="subscript"/>
        <sz val="10"/>
        <rFont val="Arial"/>
        <family val="2"/>
      </rPr>
      <t>SENSE</t>
    </r>
  </si>
  <si>
    <t>Binning?</t>
  </si>
  <si>
    <t>Yes</t>
  </si>
  <si>
    <t>No</t>
  </si>
  <si>
    <t>Recommended R1</t>
  </si>
  <si>
    <t>Recommended R2</t>
  </si>
  <si>
    <t>Recommended R3</t>
  </si>
  <si>
    <t>Coefficient</t>
  </si>
  <si>
    <t xml:space="preserve">RSENSE = </t>
  </si>
  <si>
    <t>RSENSE_calc</t>
  </si>
  <si>
    <t>If iteration error occurs, please set 'Reset' to 1 and then 0</t>
  </si>
  <si>
    <t>Reset=</t>
  </si>
  <si>
    <r>
      <t>P</t>
    </r>
    <r>
      <rPr>
        <b/>
        <vertAlign val="subscript"/>
        <sz val="10"/>
        <rFont val="Arial"/>
        <family val="2"/>
      </rPr>
      <t>IN</t>
    </r>
  </si>
  <si>
    <t>°C</t>
  </si>
  <si>
    <t>Thermal Shutdown</t>
  </si>
  <si>
    <r>
      <t xml:space="preserve">**** Note:  The applications schematic is shown at the bottom of this TAB. ****                                                                                                                                                                                                                                                                                                       Schematic component values are shown in </t>
    </r>
    <r>
      <rPr>
        <b/>
        <i/>
        <sz val="11"/>
        <color rgb="FF0000FF"/>
        <rFont val="Calibri"/>
        <family val="2"/>
      </rPr>
      <t>BLUE.</t>
    </r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</si>
  <si>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RSENSE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</si>
  <si>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Lo_I_min</t>
  </si>
  <si>
    <t xml:space="preserve">Optimum output inductance value for matching slope compensation </t>
  </si>
  <si>
    <r>
      <t>A</t>
    </r>
    <r>
      <rPr>
        <vertAlign val="subscript"/>
        <sz val="11"/>
        <color theme="1"/>
        <rFont val="Calibri"/>
        <family val="2"/>
        <scheme val="minor"/>
      </rPr>
      <t>VALLEY</t>
    </r>
  </si>
  <si>
    <t>Allowed ILED Ripple</t>
  </si>
  <si>
    <t>Recommended minimum output capacitor</t>
  </si>
  <si>
    <t xml:space="preserve">Actual value used </t>
  </si>
  <si>
    <t>Estimated typical output peak to peak voltage ripple</t>
  </si>
  <si>
    <t>Maximum peak to peak LED current ripple allowed for the application</t>
  </si>
  <si>
    <t xml:space="preserve">Allowed input ripple </t>
  </si>
  <si>
    <t>Maximum peak to peak input voltage ripple allowed for the application</t>
  </si>
  <si>
    <t>Estimated Power Loss</t>
  </si>
  <si>
    <t>Pulse by pulse current limit</t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</si>
  <si>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cycle, datasheet values</t>
    </r>
  </si>
  <si>
    <t>Datasheet values</t>
  </si>
  <si>
    <t>Datasheet value</t>
  </si>
  <si>
    <r>
      <t>Datasheet value, strongly affects Fsw at Vin</t>
    </r>
    <r>
      <rPr>
        <vertAlign val="subscript"/>
        <sz val="11"/>
        <color indexed="8"/>
        <rFont val="Calibri"/>
        <family val="2"/>
      </rPr>
      <t>MIN</t>
    </r>
  </si>
  <si>
    <t>Measured value</t>
  </si>
  <si>
    <t>DC overall loop gain</t>
  </si>
  <si>
    <t>Chosen Cz</t>
  </si>
  <si>
    <t>Chosen Cp</t>
  </si>
  <si>
    <t xml:space="preserve">*The results from this design tool serve as a guideline for components selection. However, these results are based on ideal conditions when the circuit is in steady state and in CCM mode. It may not reflect real circuit performance. </t>
  </si>
  <si>
    <t>Estimated value from the datasheet for D1</t>
  </si>
  <si>
    <t>Recommended CS resistor</t>
  </si>
  <si>
    <t>Choose a standard resistor value, or combination of values</t>
  </si>
  <si>
    <t xml:space="preserve">Recommended minimum output inductance value </t>
  </si>
  <si>
    <t>Use the closest available 1% standard resistor value</t>
  </si>
  <si>
    <t>Optional Binning Components</t>
  </si>
  <si>
    <t>Bin 1 (maximum current)</t>
  </si>
  <si>
    <t>Maximum current with no binning resistor</t>
  </si>
  <si>
    <t>Bin 4  (Minimum current)</t>
  </si>
  <si>
    <t>Must be less than 1. Change value to fine tune BINNING accuracy</t>
  </si>
  <si>
    <r>
      <t>Enter R2 in k</t>
    </r>
    <r>
      <rPr>
        <sz val="11"/>
        <color theme="1"/>
        <rFont val="Calibri"/>
        <family val="2"/>
      </rPr>
      <t>Ω, recommend 1kΩ to 3 kΩ</t>
    </r>
  </si>
  <si>
    <t>NONE</t>
  </si>
  <si>
    <t>Actual %</t>
  </si>
  <si>
    <t>VLED-</t>
  </si>
  <si>
    <t>BIN1</t>
  </si>
  <si>
    <t>BIN2</t>
  </si>
  <si>
    <t>BIN3</t>
  </si>
  <si>
    <t>BIN4</t>
  </si>
  <si>
    <t>Rbin2</t>
  </si>
  <si>
    <t>Rbin3</t>
  </si>
  <si>
    <t>E12</t>
  </si>
  <si>
    <t>E24</t>
  </si>
  <si>
    <t>Output Voltage</t>
  </si>
  <si>
    <t>ALLEGRO ALT80802 DESIGN SPREADSHEET BUCK- Rev. 2.0</t>
  </si>
  <si>
    <r>
      <t>Lo</t>
    </r>
    <r>
      <rPr>
        <b/>
        <vertAlign val="subscript"/>
        <sz val="11"/>
        <color rgb="FF0000FF"/>
        <rFont val="Calibri"/>
        <family val="2"/>
        <scheme val="minor"/>
      </rPr>
      <t>DCR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</si>
  <si>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m</t>
    </r>
    <r>
      <rPr>
        <b/>
        <sz val="11"/>
        <color rgb="FF0000FF"/>
        <rFont val="Calibri"/>
        <family val="2"/>
      </rPr>
      <t>Ω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</si>
  <si>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R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</si>
  <si>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F,RMS</t>
    </r>
  </si>
  <si>
    <r>
      <t>A</t>
    </r>
    <r>
      <rPr>
        <vertAlign val="subscript"/>
        <sz val="11"/>
        <color theme="1"/>
        <rFont val="Calibri"/>
        <family val="2"/>
        <scheme val="minor"/>
      </rPr>
      <t>RMS</t>
    </r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</si>
  <si>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</si>
  <si>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t xml:space="preserve">Maximum output Voltage </t>
  </si>
  <si>
    <r>
      <t>Datasheet values, strongly affects Fsw at Vin</t>
    </r>
    <r>
      <rPr>
        <vertAlign val="subscript"/>
        <sz val="11"/>
        <color indexed="8"/>
        <rFont val="Calibri"/>
        <family val="2"/>
      </rPr>
      <t>MAX</t>
    </r>
  </si>
  <si>
    <t>TSD_Threshold</t>
  </si>
  <si>
    <t>If not in normal operation, the calculation result is not valid</t>
  </si>
  <si>
    <t xml:space="preserve">Typical value @ target LED current </t>
  </si>
  <si>
    <t>Switching period</t>
  </si>
  <si>
    <t>Recommended maximum output inductance value</t>
  </si>
  <si>
    <t>Lowest valley inductor current(At high VIN). Make sure it is above 0 to avoid DCM</t>
  </si>
  <si>
    <t>Enter custom ESR value for selected capacitor, default is 3mΩ</t>
  </si>
  <si>
    <t>Estimated typical output peak to peak current ripple</t>
  </si>
  <si>
    <t xml:space="preserve">Input capacitance RMS current requirement (please check the temp. rise characteristics) </t>
  </si>
  <si>
    <t>Current value as a percentage for maximum current</t>
  </si>
  <si>
    <t>Lowest Bin Coefficient</t>
  </si>
  <si>
    <t>Recommended Rsense</t>
  </si>
  <si>
    <t>Measured LX resonant frequency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</si>
  <si>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</si>
  <si>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</si>
  <si>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r>
      <t>Desired 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</si>
  <si>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FREQ</t>
    </r>
  </si>
  <si>
    <r>
      <t>k</t>
    </r>
    <r>
      <rPr>
        <b/>
        <sz val="11"/>
        <color rgb="FF0000FF"/>
        <rFont val="Calibri"/>
        <family val="2"/>
      </rPr>
      <t>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</si>
</sst>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0.000"/>
    <numFmt numFmtId="165" formatCode="0.0"/>
    <numFmt numFmtId="166" formatCode="&quot;IOUT=&quot;0.00&quot;A&quot;"/>
    <numFmt numFmtId="167" formatCode="General\ &quot;kΩ&quot;"/>
    <numFmt numFmtId="168" formatCode="General\ &quot;µH&quot;"/>
    <numFmt numFmtId="169" formatCode="&quot;x&quot;\ General"/>
    <numFmt numFmtId="170" formatCode="General\ &quot;nF&quot;"/>
    <numFmt numFmtId="171" formatCode="General\ &quot;pF&quot;"/>
    <numFmt numFmtId="172" formatCode="General\ &quot;µF&quot;"/>
    <numFmt numFmtId="173" formatCode="0.0%"/>
    <numFmt numFmtId="174" formatCode="0.00000"/>
    <numFmt numFmtId="175" formatCode="0.0&quot;ns&quot;"/>
    <numFmt numFmtId="176" formatCode="0.000\ \V"/>
    <numFmt numFmtId="177" formatCode="0.00\ \k\Ω"/>
    <numFmt numFmtId="178" formatCode="0.000\ &quot;A&quot;"/>
    <numFmt numFmtId="179" formatCode="0.000\ \W"/>
    <numFmt numFmtId="180" formatCode="0.000\ \Ω"/>
    <numFmt numFmtId="181" formatCode="0.00\ &quot;kΩ&quot;"/>
    <numFmt numFmtId="182" formatCode="0.0000"/>
    <numFmt numFmtId="183" formatCode="&quot;Vout = &quot;0.00\V"/>
  </numFmts>
  <fonts count="7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4"/>
      <color rgb="FFFF000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i/>
      <sz val="11"/>
      <color theme="0"/>
      <name val="Calibri"/>
      <family val="2"/>
    </font>
    <font>
      <b/>
      <i/>
      <sz val="12"/>
      <color rgb="FFFF0000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sz val="8"/>
      <color theme="0"/>
      <name val="Verdana"/>
      <family val="2"/>
    </font>
    <font>
      <i/>
      <sz val="11"/>
      <color theme="1"/>
      <name val="Calibri"/>
      <family val="2"/>
    </font>
    <font>
      <b/>
      <sz val="10"/>
      <color theme="0" tint="-0.249977111117893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0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9" fontId="40" fillId="0" borderId="0" applyFont="0" applyFill="0" applyBorder="0" applyAlignment="0" applyProtection="0"/>
  </cellStyleXfs>
  <cellXfs count="532">
    <xf numFmtId="0" fontId="0" fillId="0" borderId="0" xfId="0"/>
    <xf numFmtId="0" fontId="0" fillId="4" borderId="2" xfId="0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165" fontId="0" fillId="5" borderId="0" xfId="0" applyNumberForma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/>
    </xf>
    <xf numFmtId="1" fontId="0" fillId="7" borderId="1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0" fillId="4" borderId="2" xfId="0" applyFill="1" applyBorder="1" applyAlignment="1">
      <alignment horizontal="center" vertical="center"/>
    </xf>
    <xf numFmtId="0" fontId="11" fillId="6" borderId="16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1" fontId="0" fillId="5" borderId="0" xfId="0" applyNumberFormat="1" applyFill="1" applyBorder="1" applyAlignment="1" applyProtection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165" fontId="0" fillId="5" borderId="0" xfId="0" applyNumberFormat="1" applyFill="1" applyBorder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/>
    </xf>
    <xf numFmtId="0" fontId="22" fillId="5" borderId="0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0" xfId="0" applyFont="1" applyFill="1" applyBorder="1" applyProtection="1"/>
    <xf numFmtId="165" fontId="0" fillId="5" borderId="0" xfId="0" applyNumberFormat="1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2" fontId="33" fillId="2" borderId="0" xfId="0" applyNumberFormat="1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</xf>
    <xf numFmtId="0" fontId="8" fillId="4" borderId="25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164" fontId="33" fillId="2" borderId="0" xfId="0" applyNumberFormat="1" applyFont="1" applyFill="1" applyBorder="1" applyAlignment="1">
      <alignment horizontal="center" vertical="center"/>
    </xf>
    <xf numFmtId="165" fontId="33" fillId="2" borderId="0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26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/>
    </xf>
    <xf numFmtId="1" fontId="7" fillId="5" borderId="0" xfId="0" applyNumberFormat="1" applyFont="1" applyFill="1" applyBorder="1" applyAlignment="1" applyProtection="1">
      <alignment horizontal="center"/>
    </xf>
    <xf numFmtId="2" fontId="21" fillId="0" borderId="1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</xf>
    <xf numFmtId="164" fontId="16" fillId="5" borderId="0" xfId="0" applyNumberFormat="1" applyFont="1" applyFill="1" applyBorder="1" applyAlignment="1" applyProtection="1">
      <alignment horizontal="center"/>
    </xf>
    <xf numFmtId="0" fontId="0" fillId="4" borderId="14" xfId="0" applyFill="1" applyBorder="1" applyProtection="1"/>
    <xf numFmtId="0" fontId="7" fillId="4" borderId="10" xfId="0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 applyProtection="1">
      <alignment horizontal="center" vertical="center"/>
      <protection locked="0"/>
    </xf>
    <xf numFmtId="1" fontId="21" fillId="0" borderId="1" xfId="0" applyNumberFormat="1" applyFont="1" applyFill="1" applyBorder="1" applyAlignment="1" applyProtection="1">
      <alignment horizontal="center"/>
      <protection locked="0"/>
    </xf>
    <xf numFmtId="0" fontId="21" fillId="7" borderId="1" xfId="0" applyNumberFormat="1" applyFont="1" applyFill="1" applyBorder="1" applyAlignment="1" applyProtection="1">
      <alignment horizontal="center"/>
      <protection locked="0"/>
    </xf>
    <xf numFmtId="2" fontId="7" fillId="5" borderId="0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2" fontId="8" fillId="5" borderId="0" xfId="0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0" fillId="4" borderId="27" xfId="0" applyFont="1" applyFill="1" applyBorder="1" applyAlignment="1" applyProtection="1">
      <alignment horizontal="left" indent="1"/>
    </xf>
    <xf numFmtId="0" fontId="0" fillId="4" borderId="27" xfId="0" applyFill="1" applyBorder="1" applyAlignment="1" applyProtection="1">
      <alignment horizontal="left" indent="1"/>
    </xf>
    <xf numFmtId="0" fontId="0" fillId="4" borderId="27" xfId="0" applyFill="1" applyBorder="1" applyAlignment="1">
      <alignment horizontal="left" vertical="center" indent="1"/>
    </xf>
    <xf numFmtId="0" fontId="0" fillId="4" borderId="24" xfId="0" applyFill="1" applyBorder="1" applyAlignment="1" applyProtection="1">
      <alignment horizontal="left" vertical="center" indent="1"/>
    </xf>
    <xf numFmtId="0" fontId="0" fillId="7" borderId="0" xfId="0" applyFill="1" applyProtection="1"/>
    <xf numFmtId="0" fontId="0" fillId="7" borderId="0" xfId="0" applyFill="1"/>
    <xf numFmtId="0" fontId="10" fillId="7" borderId="0" xfId="0" applyFont="1" applyFill="1"/>
    <xf numFmtId="0" fontId="0" fillId="7" borderId="0" xfId="0" applyFill="1" applyAlignment="1" applyProtection="1">
      <alignment horizontal="center"/>
    </xf>
    <xf numFmtId="0" fontId="0" fillId="7" borderId="0" xfId="0" applyFill="1" applyBorder="1" applyProtection="1"/>
    <xf numFmtId="0" fontId="7" fillId="7" borderId="0" xfId="0" applyFont="1" applyFill="1" applyAlignment="1" applyProtection="1">
      <alignment horizontal="center"/>
    </xf>
    <xf numFmtId="0" fontId="14" fillId="7" borderId="0" xfId="0" applyFont="1" applyFill="1" applyAlignment="1" applyProtection="1">
      <alignment horizontal="center"/>
    </xf>
    <xf numFmtId="2" fontId="8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11" borderId="15" xfId="0" applyFont="1" applyFill="1" applyBorder="1" applyAlignment="1" applyProtection="1">
      <alignment horizontal="center"/>
    </xf>
    <xf numFmtId="0" fontId="11" fillId="11" borderId="16" xfId="0" applyFont="1" applyFill="1" applyBorder="1" applyAlignment="1" applyProtection="1">
      <alignment horizontal="center"/>
    </xf>
    <xf numFmtId="0" fontId="11" fillId="11" borderId="17" xfId="0" applyFont="1" applyFill="1" applyBorder="1" applyAlignment="1" applyProtection="1">
      <alignment horizontal="center"/>
    </xf>
    <xf numFmtId="0" fontId="11" fillId="11" borderId="23" xfId="0" applyFont="1" applyFill="1" applyBorder="1" applyAlignment="1" applyProtection="1">
      <alignment horizontal="center"/>
    </xf>
    <xf numFmtId="165" fontId="0" fillId="4" borderId="5" xfId="0" applyNumberForma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164" fontId="0" fillId="3" borderId="8" xfId="0" applyNumberFormat="1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left" indent="1"/>
    </xf>
    <xf numFmtId="0" fontId="0" fillId="3" borderId="8" xfId="0" applyFill="1" applyBorder="1" applyProtection="1"/>
    <xf numFmtId="0" fontId="0" fillId="3" borderId="11" xfId="0" applyFill="1" applyBorder="1" applyProtection="1"/>
    <xf numFmtId="165" fontId="0" fillId="3" borderId="8" xfId="0" applyNumberFormat="1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" fontId="0" fillId="3" borderId="8" xfId="0" applyNumberFormat="1" applyFont="1" applyFill="1" applyBorder="1" applyAlignment="1" applyProtection="1">
      <alignment horizontal="center"/>
    </xf>
    <xf numFmtId="164" fontId="8" fillId="3" borderId="8" xfId="0" applyNumberFormat="1" applyFon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left" indent="1"/>
    </xf>
    <xf numFmtId="0" fontId="0" fillId="3" borderId="13" xfId="0" applyFill="1" applyBorder="1" applyProtection="1"/>
    <xf numFmtId="0" fontId="0" fillId="3" borderId="14" xfId="0" applyFill="1" applyBorder="1" applyProtection="1"/>
    <xf numFmtId="0" fontId="37" fillId="7" borderId="0" xfId="0" applyFont="1" applyFill="1" applyProtection="1"/>
    <xf numFmtId="0" fontId="38" fillId="7" borderId="0" xfId="0" applyFont="1" applyFill="1"/>
    <xf numFmtId="0" fontId="42" fillId="7" borderId="0" xfId="0" applyFont="1" applyFill="1"/>
    <xf numFmtId="0" fontId="24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Alignment="1" applyProtection="1">
      <alignment horizontal="left" indent="1"/>
    </xf>
    <xf numFmtId="0" fontId="0" fillId="7" borderId="0" xfId="0" applyFill="1" applyBorder="1" applyAlignment="1" applyProtection="1">
      <alignment horizontal="left" indent="1"/>
    </xf>
    <xf numFmtId="0" fontId="0" fillId="7" borderId="0" xfId="0" applyFill="1" applyBorder="1" applyAlignment="1" applyProtection="1">
      <alignment horizontal="left" vertical="center" indent="1"/>
    </xf>
    <xf numFmtId="0" fontId="0" fillId="7" borderId="0" xfId="0" applyFill="1" applyBorder="1" applyAlignment="1">
      <alignment horizontal="left" vertical="center" indent="1"/>
    </xf>
    <xf numFmtId="0" fontId="11" fillId="7" borderId="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39" fillId="7" borderId="0" xfId="1" applyFont="1" applyFill="1" applyBorder="1" applyAlignment="1" applyProtection="1">
      <alignment horizontal="left"/>
    </xf>
    <xf numFmtId="0" fontId="16" fillId="7" borderId="0" xfId="0" applyFont="1" applyFill="1" applyBorder="1" applyAlignment="1" applyProtection="1">
      <alignment horizontal="left" vertical="center" wrapText="1"/>
    </xf>
    <xf numFmtId="0" fontId="11" fillId="11" borderId="29" xfId="0" applyFont="1" applyFill="1" applyBorder="1" applyAlignment="1" applyProtection="1">
      <alignment horizontal="center" vertical="center" wrapText="1"/>
    </xf>
    <xf numFmtId="0" fontId="0" fillId="5" borderId="35" xfId="0" applyFill="1" applyBorder="1" applyProtection="1"/>
    <xf numFmtId="0" fontId="21" fillId="5" borderId="31" xfId="0" applyFont="1" applyFill="1" applyBorder="1" applyAlignment="1" applyProtection="1">
      <alignment horizontal="center"/>
    </xf>
    <xf numFmtId="0" fontId="21" fillId="5" borderId="36" xfId="0" applyFont="1" applyFill="1" applyBorder="1" applyAlignment="1" applyProtection="1">
      <alignment horizontal="center"/>
    </xf>
    <xf numFmtId="0" fontId="0" fillId="5" borderId="37" xfId="0" applyFill="1" applyBorder="1" applyAlignment="1" applyProtection="1">
      <alignment horizontal="left" indent="1"/>
    </xf>
    <xf numFmtId="0" fontId="0" fillId="5" borderId="36" xfId="0" applyFill="1" applyBorder="1" applyAlignment="1" applyProtection="1">
      <alignment horizontal="center"/>
    </xf>
    <xf numFmtId="0" fontId="0" fillId="5" borderId="32" xfId="0" applyFill="1" applyBorder="1" applyProtection="1"/>
    <xf numFmtId="0" fontId="43" fillId="7" borderId="0" xfId="0" applyFont="1" applyFill="1" applyBorder="1" applyAlignment="1" applyProtection="1">
      <alignment horizontal="center" vertical="center"/>
    </xf>
    <xf numFmtId="0" fontId="44" fillId="7" borderId="0" xfId="0" applyFont="1" applyFill="1" applyBorder="1" applyAlignment="1" applyProtection="1">
      <alignment horizontal="left" vertical="center" wrapText="1"/>
    </xf>
    <xf numFmtId="0" fontId="37" fillId="7" borderId="0" xfId="0" applyFont="1" applyFill="1" applyBorder="1" applyProtection="1"/>
    <xf numFmtId="0" fontId="37" fillId="7" borderId="0" xfId="0" applyFont="1" applyFill="1" applyBorder="1" applyAlignment="1" applyProtection="1">
      <alignment horizontal="left" indent="1"/>
    </xf>
    <xf numFmtId="0" fontId="37" fillId="7" borderId="0" xfId="0" applyFont="1" applyFill="1" applyBorder="1" applyAlignment="1" applyProtection="1">
      <alignment horizontal="left" vertical="center" indent="1"/>
    </xf>
    <xf numFmtId="0" fontId="36" fillId="7" borderId="0" xfId="0" applyFont="1" applyFill="1" applyBorder="1" applyAlignment="1" applyProtection="1">
      <alignment horizontal="left" vertical="center" wrapText="1"/>
    </xf>
    <xf numFmtId="0" fontId="45" fillId="7" borderId="0" xfId="0" applyFont="1" applyFill="1" applyBorder="1" applyProtection="1"/>
    <xf numFmtId="0" fontId="46" fillId="7" borderId="0" xfId="0" applyFont="1" applyFill="1" applyBorder="1" applyProtection="1"/>
    <xf numFmtId="0" fontId="45" fillId="7" borderId="0" xfId="0" applyFont="1" applyFill="1" applyBorder="1" applyAlignment="1" applyProtection="1">
      <alignment horizontal="left" indent="1"/>
    </xf>
    <xf numFmtId="0" fontId="46" fillId="7" borderId="0" xfId="0" applyFont="1" applyFill="1" applyBorder="1" applyAlignment="1" applyProtection="1">
      <alignment horizontal="left" vertical="center"/>
    </xf>
    <xf numFmtId="167" fontId="45" fillId="7" borderId="0" xfId="0" applyNumberFormat="1" applyFont="1" applyFill="1" applyBorder="1" applyAlignment="1" applyProtection="1">
      <alignment horizontal="left"/>
    </xf>
    <xf numFmtId="170" fontId="45" fillId="7" borderId="0" xfId="0" applyNumberFormat="1" applyFont="1" applyFill="1" applyBorder="1" applyAlignment="1" applyProtection="1">
      <alignment horizontal="left"/>
    </xf>
    <xf numFmtId="171" fontId="45" fillId="7" borderId="0" xfId="0" applyNumberFormat="1" applyFont="1" applyFill="1" applyBorder="1" applyAlignment="1" applyProtection="1">
      <alignment horizontal="left" indent="1"/>
    </xf>
    <xf numFmtId="0" fontId="45" fillId="7" borderId="0" xfId="0" applyFont="1" applyFill="1" applyBorder="1" applyAlignment="1" applyProtection="1">
      <alignment horizontal="left" vertical="center" indent="1"/>
    </xf>
    <xf numFmtId="167" fontId="45" fillId="7" borderId="0" xfId="0" applyNumberFormat="1" applyFont="1" applyFill="1" applyBorder="1" applyAlignment="1" applyProtection="1">
      <alignment horizontal="center"/>
    </xf>
    <xf numFmtId="169" fontId="45" fillId="7" borderId="0" xfId="0" applyNumberFormat="1" applyFont="1" applyFill="1" applyAlignment="1" applyProtection="1">
      <alignment horizontal="left" indent="3"/>
    </xf>
    <xf numFmtId="0" fontId="43" fillId="7" borderId="0" xfId="0" applyFont="1" applyFill="1" applyBorder="1" applyAlignment="1" applyProtection="1">
      <alignment horizontal="center"/>
    </xf>
    <xf numFmtId="0" fontId="37" fillId="7" borderId="0" xfId="0" applyFont="1" applyFill="1" applyBorder="1" applyAlignment="1">
      <alignment horizontal="left" vertical="center" indent="1"/>
    </xf>
    <xf numFmtId="0" fontId="41" fillId="7" borderId="0" xfId="0" applyFont="1" applyFill="1" applyBorder="1" applyAlignment="1" applyProtection="1">
      <alignment horizontal="center" vertical="center"/>
    </xf>
    <xf numFmtId="0" fontId="49" fillId="7" borderId="0" xfId="0" applyFont="1" applyFill="1" applyProtection="1"/>
    <xf numFmtId="0" fontId="49" fillId="7" borderId="0" xfId="0" applyFont="1" applyFill="1" applyBorder="1" applyProtection="1"/>
    <xf numFmtId="0" fontId="50" fillId="7" borderId="0" xfId="0" applyFont="1" applyFill="1" applyBorder="1" applyProtection="1"/>
    <xf numFmtId="0" fontId="49" fillId="7" borderId="0" xfId="0" applyFont="1" applyFill="1" applyBorder="1" applyAlignment="1" applyProtection="1">
      <alignment horizontal="left" indent="1"/>
    </xf>
    <xf numFmtId="0" fontId="50" fillId="7" borderId="0" xfId="0" applyFont="1" applyFill="1" applyBorder="1" applyAlignment="1" applyProtection="1">
      <alignment horizontal="left" vertical="center"/>
    </xf>
    <xf numFmtId="0" fontId="49" fillId="7" borderId="0" xfId="0" applyFont="1" applyFill="1" applyBorder="1" applyAlignment="1" applyProtection="1">
      <alignment horizontal="left" vertical="center" indent="1"/>
    </xf>
    <xf numFmtId="0" fontId="51" fillId="7" borderId="0" xfId="0" applyFont="1" applyFill="1" applyAlignment="1">
      <alignment horizontal="center" vertical="center" readingOrder="1"/>
    </xf>
    <xf numFmtId="165" fontId="37" fillId="7" borderId="0" xfId="0" applyNumberFormat="1" applyFont="1" applyFill="1" applyBorder="1" applyAlignment="1" applyProtection="1">
      <alignment horizontal="center" vertical="center"/>
    </xf>
    <xf numFmtId="0" fontId="48" fillId="7" borderId="0" xfId="0" applyNumberFormat="1" applyFont="1" applyFill="1" applyAlignment="1" applyProtection="1">
      <alignment horizontal="center" vertical="center"/>
    </xf>
    <xf numFmtId="0" fontId="47" fillId="7" borderId="0" xfId="0" applyFont="1" applyFill="1" applyBorder="1" applyAlignment="1" applyProtection="1">
      <alignment horizontal="right" vertical="center" indent="1"/>
    </xf>
    <xf numFmtId="172" fontId="0" fillId="7" borderId="0" xfId="0" applyNumberFormat="1" applyFont="1" applyFill="1" applyProtection="1"/>
    <xf numFmtId="0" fontId="38" fillId="7" borderId="0" xfId="0" applyFont="1" applyFill="1" applyBorder="1" applyAlignment="1" applyProtection="1">
      <alignment horizontal="left" indent="1"/>
    </xf>
    <xf numFmtId="0" fontId="38" fillId="7" borderId="0" xfId="0" applyFont="1" applyFill="1" applyProtection="1"/>
    <xf numFmtId="0" fontId="55" fillId="7" borderId="0" xfId="0" applyFont="1" applyFill="1" applyAlignment="1" applyProtection="1">
      <alignment horizontal="center"/>
    </xf>
    <xf numFmtId="0" fontId="54" fillId="7" borderId="0" xfId="0" applyNumberFormat="1" applyFont="1" applyFill="1" applyAlignment="1" applyProtection="1">
      <alignment horizontal="center" vertical="center"/>
    </xf>
    <xf numFmtId="0" fontId="56" fillId="7" borderId="0" xfId="0" applyFont="1" applyFill="1" applyBorder="1" applyAlignment="1" applyProtection="1">
      <alignment horizontal="center" vertical="center"/>
    </xf>
    <xf numFmtId="0" fontId="56" fillId="7" borderId="0" xfId="1" applyFont="1" applyFill="1" applyBorder="1" applyAlignment="1" applyProtection="1">
      <alignment horizontal="center"/>
    </xf>
    <xf numFmtId="0" fontId="56" fillId="7" borderId="0" xfId="0" applyFont="1" applyFill="1" applyBorder="1" applyAlignment="1" applyProtection="1">
      <alignment horizontal="center"/>
      <protection hidden="1"/>
    </xf>
    <xf numFmtId="0" fontId="57" fillId="7" borderId="0" xfId="0" applyFont="1" applyFill="1" applyBorder="1" applyAlignment="1" applyProtection="1">
      <alignment horizontal="center" vertical="center"/>
    </xf>
    <xf numFmtId="0" fontId="58" fillId="7" borderId="0" xfId="0" applyFont="1" applyFill="1" applyBorder="1" applyAlignment="1" applyProtection="1">
      <alignment horizontal="center" vertical="center"/>
    </xf>
    <xf numFmtId="0" fontId="59" fillId="7" borderId="0" xfId="0" applyFont="1" applyFill="1" applyBorder="1" applyAlignment="1" applyProtection="1">
      <alignment horizontal="center"/>
    </xf>
    <xf numFmtId="0" fontId="56" fillId="7" borderId="0" xfId="0" applyFont="1" applyFill="1" applyBorder="1" applyAlignment="1" applyProtection="1">
      <alignment horizontal="left" indent="1"/>
    </xf>
    <xf numFmtId="0" fontId="56" fillId="7" borderId="0" xfId="0" applyFont="1" applyFill="1" applyBorder="1" applyAlignment="1" applyProtection="1">
      <alignment horizontal="left" vertical="center" indent="1"/>
    </xf>
    <xf numFmtId="0" fontId="56" fillId="7" borderId="0" xfId="0" applyFont="1" applyFill="1" applyBorder="1" applyAlignment="1">
      <alignment horizontal="left" vertical="center" indent="1"/>
    </xf>
    <xf numFmtId="0" fontId="59" fillId="7" borderId="0" xfId="0" applyFont="1" applyFill="1" applyBorder="1" applyAlignment="1" applyProtection="1">
      <alignment horizontal="center" vertical="center"/>
    </xf>
    <xf numFmtId="0" fontId="56" fillId="7" borderId="0" xfId="0" applyFont="1" applyFill="1" applyBorder="1" applyProtection="1"/>
    <xf numFmtId="0" fontId="59" fillId="7" borderId="0" xfId="0" applyFont="1" applyFill="1" applyBorder="1" applyAlignment="1" applyProtection="1">
      <alignment horizontal="left" vertical="center" wrapText="1"/>
    </xf>
    <xf numFmtId="0" fontId="57" fillId="7" borderId="0" xfId="0" applyFont="1" applyFill="1" applyBorder="1" applyProtection="1"/>
    <xf numFmtId="0" fontId="57" fillId="7" borderId="0" xfId="0" applyFont="1" applyFill="1" applyBorder="1" applyAlignment="1" applyProtection="1">
      <alignment horizontal="left" vertical="center"/>
    </xf>
    <xf numFmtId="0" fontId="56" fillId="7" borderId="0" xfId="0" applyFont="1" applyFill="1" applyProtection="1"/>
    <xf numFmtId="0" fontId="0" fillId="3" borderId="8" xfId="0" applyNumberFormat="1" applyFill="1" applyBorder="1" applyAlignment="1" applyProtection="1">
      <alignment horizontal="center"/>
    </xf>
    <xf numFmtId="0" fontId="0" fillId="7" borderId="0" xfId="0" applyFill="1" applyAlignment="1">
      <alignment horizontal="center"/>
    </xf>
    <xf numFmtId="0" fontId="7" fillId="4" borderId="31" xfId="0" applyFont="1" applyFill="1" applyBorder="1" applyAlignment="1" applyProtection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8" xfId="0" applyFill="1" applyBorder="1" applyAlignment="1">
      <alignment horizontal="left" vertical="center" indent="1"/>
    </xf>
    <xf numFmtId="0" fontId="8" fillId="4" borderId="6" xfId="0" applyFont="1" applyFill="1" applyBorder="1" applyAlignment="1" applyProtection="1">
      <alignment horizontal="center" vertical="center"/>
    </xf>
    <xf numFmtId="173" fontId="0" fillId="5" borderId="0" xfId="0" applyNumberFormat="1" applyFont="1" applyFill="1" applyBorder="1" applyAlignment="1" applyProtection="1">
      <alignment horizontal="center"/>
    </xf>
    <xf numFmtId="173" fontId="8" fillId="5" borderId="0" xfId="0" applyNumberFormat="1" applyFont="1" applyFill="1" applyBorder="1" applyAlignment="1" applyProtection="1">
      <alignment horizontal="center" vertical="center"/>
    </xf>
    <xf numFmtId="173" fontId="0" fillId="5" borderId="0" xfId="0" applyNumberFormat="1" applyFill="1" applyBorder="1" applyAlignment="1" applyProtection="1">
      <alignment horizontal="center"/>
    </xf>
    <xf numFmtId="0" fontId="0" fillId="5" borderId="35" xfId="0" applyFill="1" applyBorder="1" applyAlignment="1" applyProtection="1">
      <alignment horizontal="left" vertical="center" indent="1"/>
    </xf>
    <xf numFmtId="0" fontId="0" fillId="5" borderId="4" xfId="0" applyFill="1" applyBorder="1" applyAlignment="1" applyProtection="1">
      <alignment horizontal="center"/>
    </xf>
    <xf numFmtId="0" fontId="7" fillId="5" borderId="39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/>
    </xf>
    <xf numFmtId="2" fontId="33" fillId="2" borderId="40" xfId="0" applyNumberFormat="1" applyFont="1" applyFill="1" applyBorder="1" applyAlignment="1">
      <alignment horizontal="center"/>
    </xf>
    <xf numFmtId="10" fontId="33" fillId="2" borderId="0" xfId="0" applyNumberFormat="1" applyFont="1" applyFill="1" applyBorder="1" applyAlignment="1">
      <alignment horizontal="center"/>
    </xf>
    <xf numFmtId="174" fontId="33" fillId="2" borderId="0" xfId="0" applyNumberFormat="1" applyFont="1" applyFill="1" applyBorder="1" applyAlignment="1">
      <alignment horizontal="center" vertical="center"/>
    </xf>
    <xf numFmtId="10" fontId="33" fillId="2" borderId="38" xfId="0" applyNumberFormat="1" applyFont="1" applyFill="1" applyBorder="1" applyAlignment="1">
      <alignment horizontal="center"/>
    </xf>
    <xf numFmtId="10" fontId="33" fillId="2" borderId="35" xfId="0" applyNumberFormat="1" applyFont="1" applyFill="1" applyBorder="1" applyAlignment="1">
      <alignment horizontal="center"/>
    </xf>
    <xf numFmtId="175" fontId="33" fillId="2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2" fillId="6" borderId="1" xfId="0" applyFont="1" applyFill="1" applyBorder="1" applyAlignment="1">
      <alignment horizontal="center" vertical="center"/>
    </xf>
    <xf numFmtId="0" fontId="48" fillId="7" borderId="0" xfId="0" applyFont="1" applyFill="1" applyProtection="1"/>
    <xf numFmtId="0" fontId="48" fillId="7" borderId="0" xfId="0" applyFont="1" applyFill="1" applyBorder="1" applyProtection="1"/>
    <xf numFmtId="0" fontId="48" fillId="7" borderId="0" xfId="0" applyFont="1" applyFill="1"/>
    <xf numFmtId="0" fontId="37" fillId="7" borderId="0" xfId="0" applyFont="1" applyFill="1"/>
    <xf numFmtId="165" fontId="33" fillId="2" borderId="40" xfId="0" applyNumberFormat="1" applyFont="1" applyFill="1" applyBorder="1" applyAlignment="1">
      <alignment horizontal="center" vertical="center"/>
    </xf>
    <xf numFmtId="10" fontId="33" fillId="2" borderId="40" xfId="0" applyNumberFormat="1" applyFont="1" applyFill="1" applyBorder="1" applyAlignment="1">
      <alignment horizontal="center"/>
    </xf>
    <xf numFmtId="175" fontId="33" fillId="12" borderId="0" xfId="0" applyNumberFormat="1" applyFont="1" applyFill="1" applyBorder="1" applyAlignment="1">
      <alignment horizontal="center"/>
    </xf>
    <xf numFmtId="164" fontId="33" fillId="12" borderId="0" xfId="0" applyNumberFormat="1" applyFont="1" applyFill="1" applyBorder="1" applyAlignment="1">
      <alignment horizontal="center"/>
    </xf>
    <xf numFmtId="10" fontId="33" fillId="12" borderId="38" xfId="0" applyNumberFormat="1" applyFont="1" applyFill="1" applyBorder="1" applyAlignment="1">
      <alignment horizontal="center"/>
    </xf>
    <xf numFmtId="2" fontId="33" fillId="12" borderId="0" xfId="0" applyNumberFormat="1" applyFont="1" applyFill="1" applyBorder="1" applyAlignment="1">
      <alignment horizontal="center"/>
    </xf>
    <xf numFmtId="10" fontId="33" fillId="12" borderId="0" xfId="0" applyNumberFormat="1" applyFont="1" applyFill="1" applyBorder="1" applyAlignment="1">
      <alignment horizontal="center"/>
    </xf>
    <xf numFmtId="174" fontId="33" fillId="12" borderId="0" xfId="0" applyNumberFormat="1" applyFont="1" applyFill="1" applyBorder="1" applyAlignment="1">
      <alignment horizontal="center" vertical="center"/>
    </xf>
    <xf numFmtId="164" fontId="33" fillId="12" borderId="0" xfId="0" applyNumberFormat="1" applyFont="1" applyFill="1" applyBorder="1" applyAlignment="1">
      <alignment horizontal="center" vertical="center"/>
    </xf>
    <xf numFmtId="165" fontId="33" fillId="12" borderId="0" xfId="0" applyNumberFormat="1" applyFont="1" applyFill="1" applyBorder="1" applyAlignment="1">
      <alignment horizontal="center" vertical="center"/>
    </xf>
    <xf numFmtId="10" fontId="33" fillId="12" borderId="35" xfId="0" applyNumberFormat="1" applyFont="1" applyFill="1" applyBorder="1" applyAlignment="1">
      <alignment horizontal="center"/>
    </xf>
    <xf numFmtId="0" fontId="11" fillId="11" borderId="33" xfId="0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left" indent="1"/>
    </xf>
    <xf numFmtId="0" fontId="0" fillId="5" borderId="0" xfId="0" applyFill="1" applyBorder="1" applyAlignment="1" applyProtection="1">
      <alignment horizontal="left" indent="1"/>
    </xf>
    <xf numFmtId="0" fontId="0" fillId="5" borderId="35" xfId="0" applyFill="1" applyBorder="1" applyAlignment="1" applyProtection="1">
      <alignment horizontal="left" indent="1"/>
    </xf>
    <xf numFmtId="0" fontId="0" fillId="4" borderId="11" xfId="0" applyFill="1" applyBorder="1" applyAlignment="1" applyProtection="1">
      <alignment horizontal="left" vertical="center" indent="1"/>
    </xf>
    <xf numFmtId="0" fontId="0" fillId="4" borderId="7" xfId="0" applyFill="1" applyBorder="1" applyAlignment="1" applyProtection="1">
      <alignment horizontal="left" vertical="center" indent="1"/>
    </xf>
    <xf numFmtId="0" fontId="0" fillId="5" borderId="3" xfId="0" applyFill="1" applyBorder="1" applyAlignment="1" applyProtection="1">
      <alignment horizontal="left" vertical="center" indent="1"/>
    </xf>
    <xf numFmtId="0" fontId="0" fillId="5" borderId="0" xfId="0" applyFill="1" applyBorder="1" applyAlignment="1" applyProtection="1">
      <alignment horizontal="left" vertical="center" indent="1"/>
    </xf>
    <xf numFmtId="0" fontId="0" fillId="4" borderId="13" xfId="0" applyFill="1" applyBorder="1" applyAlignment="1" applyProtection="1">
      <alignment horizontal="left" vertical="center" indent="1"/>
    </xf>
    <xf numFmtId="0" fontId="0" fillId="7" borderId="0" xfId="0" applyFill="1" applyAlignment="1">
      <alignment horizontal="center" vertical="center"/>
    </xf>
    <xf numFmtId="0" fontId="11" fillId="11" borderId="48" xfId="0" applyFont="1" applyFill="1" applyBorder="1" applyAlignment="1" applyProtection="1">
      <alignment horizontal="center"/>
    </xf>
    <xf numFmtId="165" fontId="0" fillId="7" borderId="31" xfId="0" applyNumberFormat="1" applyFill="1" applyBorder="1" applyAlignment="1" applyProtection="1">
      <alignment horizontal="center"/>
      <protection locked="0"/>
    </xf>
    <xf numFmtId="165" fontId="0" fillId="7" borderId="1" xfId="0" applyNumberFormat="1" applyFill="1" applyBorder="1" applyAlignment="1" applyProtection="1">
      <alignment horizontal="center"/>
      <protection locked="0"/>
    </xf>
    <xf numFmtId="0" fontId="8" fillId="4" borderId="50" xfId="0" applyFont="1" applyFill="1" applyBorder="1" applyAlignment="1" applyProtection="1">
      <alignment horizontal="center"/>
    </xf>
    <xf numFmtId="2" fontId="0" fillId="7" borderId="49" xfId="0" applyNumberFormat="1" applyFill="1" applyBorder="1" applyAlignment="1" applyProtection="1">
      <alignment horizontal="center"/>
      <protection locked="0"/>
    </xf>
    <xf numFmtId="2" fontId="0" fillId="7" borderId="21" xfId="0" applyNumberForma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 applyProtection="1">
      <alignment horizontal="center"/>
    </xf>
    <xf numFmtId="0" fontId="8" fillId="4" borderId="47" xfId="0" applyFont="1" applyFill="1" applyBorder="1" applyAlignment="1" applyProtection="1">
      <alignment horizontal="center"/>
    </xf>
    <xf numFmtId="2" fontId="0" fillId="7" borderId="1" xfId="0" applyNumberFormat="1" applyFill="1" applyBorder="1" applyAlignment="1" applyProtection="1">
      <alignment horizontal="center"/>
      <protection locked="0"/>
    </xf>
    <xf numFmtId="0" fontId="8" fillId="4" borderId="46" xfId="0" applyFont="1" applyFill="1" applyBorder="1" applyAlignment="1" applyProtection="1">
      <alignment horizontal="center"/>
    </xf>
    <xf numFmtId="0" fontId="0" fillId="4" borderId="47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  <protection locked="0"/>
    </xf>
    <xf numFmtId="0" fontId="8" fillId="4" borderId="51" xfId="0" applyFont="1" applyFill="1" applyBorder="1" applyAlignment="1" applyProtection="1">
      <alignment horizontal="center"/>
    </xf>
    <xf numFmtId="0" fontId="8" fillId="4" borderId="50" xfId="0" applyFont="1" applyFill="1" applyBorder="1" applyAlignment="1">
      <alignment horizontal="center" vertical="center"/>
    </xf>
    <xf numFmtId="0" fontId="8" fillId="4" borderId="52" xfId="0" applyFont="1" applyFill="1" applyBorder="1" applyAlignment="1" applyProtection="1">
      <alignment horizontal="center"/>
    </xf>
    <xf numFmtId="0" fontId="8" fillId="4" borderId="53" xfId="0" applyFont="1" applyFill="1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7" borderId="42" xfId="0" applyFont="1" applyFill="1" applyBorder="1" applyAlignment="1" applyProtection="1">
      <alignment horizontal="center" vertical="center"/>
      <protection locked="0"/>
    </xf>
    <xf numFmtId="0" fontId="35" fillId="11" borderId="48" xfId="0" applyFont="1" applyFill="1" applyBorder="1" applyAlignment="1" applyProtection="1">
      <alignment horizontal="center" vertical="center"/>
    </xf>
    <xf numFmtId="164" fontId="33" fillId="12" borderId="40" xfId="0" applyNumberFormat="1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21" fillId="5" borderId="39" xfId="0" applyFont="1" applyFill="1" applyBorder="1" applyAlignment="1" applyProtection="1">
      <alignment horizontal="center"/>
    </xf>
    <xf numFmtId="0" fontId="7" fillId="5" borderId="35" xfId="0" applyFont="1" applyFill="1" applyBorder="1" applyProtection="1"/>
    <xf numFmtId="0" fontId="7" fillId="5" borderId="31" xfId="0" applyFont="1" applyFill="1" applyBorder="1" applyAlignment="1" applyProtection="1">
      <alignment horizontal="center" vertical="center"/>
    </xf>
    <xf numFmtId="2" fontId="0" fillId="5" borderId="36" xfId="0" applyNumberFormat="1" applyFill="1" applyBorder="1" applyAlignment="1" applyProtection="1">
      <alignment horizontal="center" vertical="center"/>
    </xf>
    <xf numFmtId="0" fontId="0" fillId="5" borderId="36" xfId="0" applyFill="1" applyBorder="1" applyAlignment="1" applyProtection="1">
      <alignment horizontal="center" vertical="center"/>
    </xf>
    <xf numFmtId="165" fontId="0" fillId="5" borderId="36" xfId="0" applyNumberFormat="1" applyFill="1" applyBorder="1" applyAlignment="1" applyProtection="1">
      <alignment horizontal="center" vertical="center"/>
    </xf>
    <xf numFmtId="0" fontId="16" fillId="5" borderId="39" xfId="0" applyFont="1" applyFill="1" applyBorder="1" applyAlignment="1" applyProtection="1">
      <alignment horizontal="left" vertical="center"/>
    </xf>
    <xf numFmtId="0" fontId="7" fillId="5" borderId="31" xfId="0" applyFont="1" applyFill="1" applyBorder="1" applyAlignment="1" applyProtection="1">
      <alignment horizontal="center"/>
    </xf>
    <xf numFmtId="2" fontId="0" fillId="5" borderId="36" xfId="0" applyNumberFormat="1" applyFill="1" applyBorder="1" applyAlignment="1" applyProtection="1">
      <alignment horizontal="center"/>
    </xf>
    <xf numFmtId="0" fontId="32" fillId="6" borderId="40" xfId="0" applyFont="1" applyFill="1" applyBorder="1" applyAlignment="1">
      <alignment horizontal="center" vertical="center"/>
    </xf>
    <xf numFmtId="0" fontId="32" fillId="6" borderId="38" xfId="0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174" fontId="33" fillId="2" borderId="40" xfId="0" applyNumberFormat="1" applyFont="1" applyFill="1" applyBorder="1" applyAlignment="1">
      <alignment horizontal="center" vertical="center"/>
    </xf>
    <xf numFmtId="164" fontId="33" fillId="2" borderId="40" xfId="0" applyNumberFormat="1" applyFont="1" applyFill="1" applyBorder="1" applyAlignment="1">
      <alignment horizontal="center" vertical="center"/>
    </xf>
    <xf numFmtId="10" fontId="33" fillId="2" borderId="32" xfId="0" applyNumberFormat="1" applyFont="1" applyFill="1" applyBorder="1" applyAlignment="1">
      <alignment horizontal="center"/>
    </xf>
    <xf numFmtId="2" fontId="33" fillId="12" borderId="40" xfId="0" applyNumberFormat="1" applyFont="1" applyFill="1" applyBorder="1" applyAlignment="1">
      <alignment horizontal="center"/>
    </xf>
    <xf numFmtId="10" fontId="33" fillId="12" borderId="40" xfId="0" applyNumberFormat="1" applyFont="1" applyFill="1" applyBorder="1" applyAlignment="1">
      <alignment horizontal="center"/>
    </xf>
    <xf numFmtId="174" fontId="33" fillId="12" borderId="40" xfId="0" applyNumberFormat="1" applyFont="1" applyFill="1" applyBorder="1" applyAlignment="1">
      <alignment horizontal="center" vertical="center"/>
    </xf>
    <xf numFmtId="165" fontId="33" fillId="12" borderId="40" xfId="0" applyNumberFormat="1" applyFont="1" applyFill="1" applyBorder="1" applyAlignment="1">
      <alignment horizontal="center" vertical="center"/>
    </xf>
    <xf numFmtId="10" fontId="33" fillId="12" borderId="32" xfId="0" applyNumberFormat="1" applyFont="1" applyFill="1" applyBorder="1" applyAlignment="1">
      <alignment horizontal="center"/>
    </xf>
    <xf numFmtId="0" fontId="0" fillId="3" borderId="45" xfId="0" applyFill="1" applyBorder="1" applyAlignment="1" applyProtection="1">
      <alignment horizontal="center"/>
    </xf>
    <xf numFmtId="0" fontId="0" fillId="3" borderId="45" xfId="0" applyFill="1" applyBorder="1" applyAlignment="1" applyProtection="1">
      <alignment horizontal="left" indent="1"/>
    </xf>
    <xf numFmtId="0" fontId="0" fillId="3" borderId="45" xfId="0" applyFill="1" applyBorder="1" applyProtection="1"/>
    <xf numFmtId="0" fontId="0" fillId="3" borderId="55" xfId="0" applyFill="1" applyBorder="1" applyProtection="1"/>
    <xf numFmtId="0" fontId="0" fillId="5" borderId="3" xfId="0" applyFill="1" applyBorder="1" applyAlignment="1" applyProtection="1">
      <alignment horizontal="left" indent="1"/>
    </xf>
    <xf numFmtId="0" fontId="0" fillId="5" borderId="0" xfId="0" applyFill="1" applyBorder="1" applyAlignment="1" applyProtection="1">
      <alignment horizontal="left" indent="1"/>
    </xf>
    <xf numFmtId="0" fontId="0" fillId="5" borderId="35" xfId="0" applyFill="1" applyBorder="1" applyAlignment="1" applyProtection="1">
      <alignment horizontal="left" indent="1"/>
    </xf>
    <xf numFmtId="0" fontId="0" fillId="5" borderId="3" xfId="0" applyFill="1" applyBorder="1" applyAlignment="1" applyProtection="1">
      <alignment horizontal="left" vertical="center" indent="1"/>
    </xf>
    <xf numFmtId="0" fontId="21" fillId="5" borderId="0" xfId="0" applyFont="1" applyFill="1" applyBorder="1" applyAlignment="1" applyProtection="1">
      <alignment horizontal="center" vertical="center"/>
    </xf>
    <xf numFmtId="0" fontId="60" fillId="7" borderId="1" xfId="0" applyFont="1" applyFill="1" applyBorder="1" applyAlignment="1" applyProtection="1">
      <alignment horizontal="center" vertical="center"/>
      <protection locked="0"/>
    </xf>
    <xf numFmtId="0" fontId="32" fillId="7" borderId="1" xfId="0" applyFont="1" applyFill="1" applyBorder="1" applyAlignment="1" applyProtection="1">
      <alignment horizontal="center" vertical="center"/>
      <protection locked="0"/>
    </xf>
    <xf numFmtId="2" fontId="0" fillId="3" borderId="8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 wrapText="1"/>
    </xf>
    <xf numFmtId="0" fontId="0" fillId="5" borderId="3" xfId="0" applyFill="1" applyBorder="1" applyAlignment="1" applyProtection="1">
      <alignment horizontal="left" indent="1"/>
    </xf>
    <xf numFmtId="0" fontId="48" fillId="7" borderId="0" xfId="0" applyFont="1" applyFill="1" applyAlignment="1" applyProtection="1">
      <alignment horizontal="center"/>
    </xf>
    <xf numFmtId="0" fontId="0" fillId="5" borderId="37" xfId="0" applyFill="1" applyBorder="1" applyAlignment="1" applyProtection="1">
      <alignment horizontal="left" indent="1"/>
    </xf>
    <xf numFmtId="0" fontId="30" fillId="4" borderId="7" xfId="0" applyFont="1" applyFill="1" applyBorder="1" applyAlignment="1" applyProtection="1">
      <alignment horizontal="left" indent="1"/>
    </xf>
    <xf numFmtId="0" fontId="30" fillId="4" borderId="8" xfId="0" applyFont="1" applyFill="1" applyBorder="1" applyAlignment="1" applyProtection="1">
      <alignment horizontal="left" indent="1"/>
    </xf>
    <xf numFmtId="0" fontId="30" fillId="4" borderId="11" xfId="0" applyFont="1" applyFill="1" applyBorder="1" applyAlignment="1" applyProtection="1">
      <alignment horizontal="left" indent="1"/>
    </xf>
    <xf numFmtId="2" fontId="0" fillId="5" borderId="39" xfId="0" applyNumberFormat="1" applyFill="1" applyBorder="1" applyAlignment="1" applyProtection="1">
      <alignment horizontal="left" vertical="center"/>
    </xf>
    <xf numFmtId="0" fontId="0" fillId="5" borderId="0" xfId="2" applyNumberFormat="1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0" fillId="5" borderId="35" xfId="0" applyFill="1" applyBorder="1" applyProtection="1"/>
    <xf numFmtId="2" fontId="21" fillId="5" borderId="39" xfId="0" applyNumberFormat="1" applyFont="1" applyFill="1" applyBorder="1" applyAlignment="1" applyProtection="1">
      <alignment horizontal="left" vertical="center"/>
    </xf>
    <xf numFmtId="0" fontId="21" fillId="7" borderId="1" xfId="2" applyNumberFormat="1" applyFont="1" applyFill="1" applyBorder="1" applyAlignment="1" applyProtection="1">
      <alignment horizontal="center" vertical="center"/>
      <protection locked="0"/>
    </xf>
    <xf numFmtId="177" fontId="0" fillId="7" borderId="0" xfId="0" applyNumberFormat="1" applyFill="1" applyBorder="1" applyAlignment="1" applyProtection="1">
      <alignment horizontal="center" vertical="center"/>
    </xf>
    <xf numFmtId="164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Protection="1"/>
    <xf numFmtId="0" fontId="21" fillId="5" borderId="39" xfId="0" applyFont="1" applyFill="1" applyBorder="1" applyAlignment="1" applyProtection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38" fillId="7" borderId="0" xfId="0" applyFont="1" applyFill="1" applyBorder="1" applyProtection="1"/>
    <xf numFmtId="181" fontId="30" fillId="5" borderId="0" xfId="0" applyNumberFormat="1" applyFont="1" applyFill="1" applyBorder="1" applyAlignment="1" applyProtection="1">
      <alignment horizontal="center" vertical="center"/>
    </xf>
    <xf numFmtId="180" fontId="0" fillId="5" borderId="0" xfId="0" applyNumberForma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179" fontId="0" fillId="5" borderId="0" xfId="0" applyNumberFormat="1" applyFill="1" applyBorder="1" applyAlignment="1" applyProtection="1">
      <alignment horizontal="center"/>
    </xf>
    <xf numFmtId="0" fontId="65" fillId="5" borderId="39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178" fontId="0" fillId="5" borderId="0" xfId="0" applyNumberFormat="1" applyFont="1" applyFill="1" applyBorder="1" applyAlignment="1" applyProtection="1">
      <alignment horizontal="center" vertical="center"/>
    </xf>
    <xf numFmtId="9" fontId="40" fillId="5" borderId="0" xfId="2" applyFont="1" applyFill="1" applyBorder="1" applyAlignment="1" applyProtection="1">
      <alignment horizontal="center" vertical="center"/>
    </xf>
    <xf numFmtId="179" fontId="0" fillId="5" borderId="0" xfId="0" applyNumberFormat="1" applyFont="1" applyFill="1" applyBorder="1" applyAlignment="1" applyProtection="1">
      <alignment horizontal="center" vertical="center"/>
    </xf>
    <xf numFmtId="176" fontId="0" fillId="5" borderId="35" xfId="0" applyNumberFormat="1" applyFill="1" applyBorder="1" applyAlignment="1" applyProtection="1">
      <alignment horizontal="left"/>
    </xf>
    <xf numFmtId="167" fontId="30" fillId="5" borderId="0" xfId="0" applyNumberFormat="1" applyFont="1" applyFill="1" applyBorder="1" applyAlignment="1" applyProtection="1">
      <alignment horizontal="center" vertical="center"/>
    </xf>
    <xf numFmtId="173" fontId="40" fillId="5" borderId="0" xfId="2" applyNumberFormat="1" applyFont="1" applyFill="1" applyBorder="1" applyAlignment="1" applyProtection="1">
      <alignment horizontal="center" vertical="center"/>
    </xf>
    <xf numFmtId="0" fontId="0" fillId="5" borderId="36" xfId="0" applyFill="1" applyBorder="1" applyProtection="1"/>
    <xf numFmtId="168" fontId="45" fillId="7" borderId="0" xfId="0" applyNumberFormat="1" applyFont="1" applyFill="1" applyAlignment="1" applyProtection="1">
      <alignment horizontal="center"/>
    </xf>
    <xf numFmtId="0" fontId="17" fillId="7" borderId="0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/>
    </xf>
    <xf numFmtId="0" fontId="5" fillId="7" borderId="0" xfId="1" applyFill="1"/>
    <xf numFmtId="0" fontId="48" fillId="7" borderId="60" xfId="0" applyFont="1" applyFill="1" applyBorder="1" applyAlignment="1">
      <alignment horizontal="center" wrapText="1"/>
    </xf>
    <xf numFmtId="0" fontId="48" fillId="7" borderId="61" xfId="0" applyFont="1" applyFill="1" applyBorder="1" applyAlignment="1">
      <alignment horizontal="center" wrapText="1"/>
    </xf>
    <xf numFmtId="0" fontId="48" fillId="7" borderId="62" xfId="0" applyFont="1" applyFill="1" applyBorder="1" applyAlignment="1">
      <alignment horizontal="center" wrapText="1"/>
    </xf>
    <xf numFmtId="0" fontId="66" fillId="7" borderId="0" xfId="0" applyFont="1" applyFill="1" applyBorder="1" applyAlignment="1" applyProtection="1">
      <alignment horizontal="center" wrapText="1"/>
      <protection hidden="1"/>
    </xf>
    <xf numFmtId="0" fontId="48" fillId="7" borderId="57" xfId="0" applyFont="1" applyFill="1" applyBorder="1" applyAlignment="1">
      <alignment horizontal="center" wrapText="1"/>
    </xf>
    <xf numFmtId="49" fontId="48" fillId="7" borderId="60" xfId="0" applyNumberFormat="1" applyFont="1" applyFill="1" applyBorder="1" applyAlignment="1">
      <alignment horizontal="center" wrapText="1"/>
    </xf>
    <xf numFmtId="49" fontId="48" fillId="7" borderId="61" xfId="0" applyNumberFormat="1" applyFont="1" applyFill="1" applyBorder="1" applyAlignment="1">
      <alignment horizontal="center" wrapText="1"/>
    </xf>
    <xf numFmtId="49" fontId="48" fillId="7" borderId="62" xfId="0" applyNumberFormat="1" applyFont="1" applyFill="1" applyBorder="1" applyAlignment="1">
      <alignment horizontal="center" wrapText="1"/>
    </xf>
    <xf numFmtId="0" fontId="48" fillId="7" borderId="0" xfId="0" applyFont="1" applyFill="1" applyBorder="1" applyAlignment="1" applyProtection="1">
      <alignment horizontal="center" wrapText="1"/>
      <protection hidden="1"/>
    </xf>
    <xf numFmtId="0" fontId="48" fillId="7" borderId="0" xfId="1" applyFont="1" applyFill="1"/>
    <xf numFmtId="0" fontId="48" fillId="7" borderId="0" xfId="0" applyFont="1" applyFill="1" applyProtection="1">
      <protection hidden="1"/>
    </xf>
    <xf numFmtId="0" fontId="48" fillId="7" borderId="0" xfId="0" applyFont="1" applyFill="1" applyBorder="1" applyProtection="1">
      <protection hidden="1"/>
    </xf>
    <xf numFmtId="164" fontId="33" fillId="2" borderId="65" xfId="0" applyNumberFormat="1" applyFont="1" applyFill="1" applyBorder="1" applyAlignment="1">
      <alignment horizontal="center" vertical="center"/>
    </xf>
    <xf numFmtId="164" fontId="33" fillId="2" borderId="64" xfId="0" applyNumberFormat="1" applyFont="1" applyFill="1" applyBorder="1" applyAlignment="1">
      <alignment horizontal="center" vertical="center"/>
    </xf>
    <xf numFmtId="164" fontId="33" fillId="12" borderId="65" xfId="0" applyNumberFormat="1" applyFont="1" applyFill="1" applyBorder="1" applyAlignment="1">
      <alignment horizontal="center" vertical="center"/>
    </xf>
    <xf numFmtId="164" fontId="33" fillId="12" borderId="64" xfId="0" applyNumberFormat="1" applyFont="1" applyFill="1" applyBorder="1" applyAlignment="1">
      <alignment horizontal="center" vertical="center"/>
    </xf>
    <xf numFmtId="0" fontId="21" fillId="5" borderId="39" xfId="0" applyFont="1" applyFill="1" applyBorder="1" applyAlignment="1" applyProtection="1">
      <alignment horizontal="center" vertical="center" wrapText="1"/>
    </xf>
    <xf numFmtId="165" fontId="0" fillId="5" borderId="0" xfId="0" applyNumberFormat="1" applyFont="1" applyFill="1" applyBorder="1" applyAlignment="1" applyProtection="1">
      <alignment horizontal="center" vertical="center"/>
    </xf>
    <xf numFmtId="2" fontId="0" fillId="5" borderId="0" xfId="0" applyNumberFormat="1" applyFont="1" applyFill="1" applyBorder="1" applyAlignment="1" applyProtection="1">
      <alignment horizontal="center" vertical="center"/>
    </xf>
    <xf numFmtId="2" fontId="0" fillId="5" borderId="0" xfId="0" applyNumberFormat="1" applyFont="1" applyFill="1" applyBorder="1" applyAlignment="1" applyProtection="1">
      <alignment horizontal="center"/>
    </xf>
    <xf numFmtId="0" fontId="46" fillId="5" borderId="39" xfId="0" applyFont="1" applyFill="1" applyBorder="1" applyAlignment="1" applyProtection="1">
      <alignment horizontal="center" vertical="center" wrapText="1"/>
    </xf>
    <xf numFmtId="0" fontId="46" fillId="5" borderId="0" xfId="0" applyFont="1" applyFill="1" applyBorder="1" applyAlignment="1" applyProtection="1">
      <alignment horizontal="center" vertical="center" wrapText="1"/>
    </xf>
    <xf numFmtId="1" fontId="0" fillId="5" borderId="0" xfId="0" applyNumberFormat="1" applyFont="1" applyFill="1" applyBorder="1" applyAlignment="1" applyProtection="1">
      <alignment horizontal="center"/>
    </xf>
    <xf numFmtId="0" fontId="7" fillId="5" borderId="39" xfId="0" applyFont="1" applyFill="1" applyBorder="1" applyAlignment="1" applyProtection="1"/>
    <xf numFmtId="1" fontId="21" fillId="7" borderId="1" xfId="0" applyNumberFormat="1" applyFont="1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 applyProtection="1">
      <alignment horizontal="center" vertical="center" wrapText="1"/>
      <protection locked="0"/>
    </xf>
    <xf numFmtId="165" fontId="21" fillId="7" borderId="1" xfId="0" applyNumberFormat="1" applyFont="1" applyFill="1" applyBorder="1" applyAlignment="1" applyProtection="1">
      <alignment horizontal="center" vertical="center"/>
      <protection locked="0"/>
    </xf>
    <xf numFmtId="165" fontId="21" fillId="7" borderId="1" xfId="0" applyNumberFormat="1" applyFont="1" applyFill="1" applyBorder="1" applyAlignment="1" applyProtection="1">
      <alignment horizontal="center"/>
      <protection locked="0"/>
    </xf>
    <xf numFmtId="174" fontId="33" fillId="2" borderId="65" xfId="0" applyNumberFormat="1" applyFont="1" applyFill="1" applyBorder="1" applyAlignment="1">
      <alignment horizontal="center" vertical="center"/>
    </xf>
    <xf numFmtId="174" fontId="33" fillId="12" borderId="65" xfId="0" applyNumberFormat="1" applyFont="1" applyFill="1" applyBorder="1" applyAlignment="1">
      <alignment horizontal="center" vertical="center"/>
    </xf>
    <xf numFmtId="0" fontId="10" fillId="7" borderId="0" xfId="0" applyFont="1" applyFill="1" applyProtection="1"/>
    <xf numFmtId="0" fontId="7" fillId="7" borderId="0" xfId="0" applyFont="1" applyFill="1" applyProtection="1"/>
    <xf numFmtId="0" fontId="61" fillId="7" borderId="0" xfId="0" applyFont="1" applyFill="1" applyAlignment="1" applyProtection="1">
      <alignment horizontal="center"/>
    </xf>
    <xf numFmtId="0" fontId="61" fillId="7" borderId="0" xfId="0" applyFont="1" applyFill="1" applyProtection="1"/>
    <xf numFmtId="11" fontId="61" fillId="7" borderId="0" xfId="0" applyNumberFormat="1" applyFont="1" applyFill="1" applyAlignment="1" applyProtection="1">
      <alignment horizontal="center"/>
    </xf>
    <xf numFmtId="0" fontId="62" fillId="7" borderId="0" xfId="1" applyFont="1" applyFill="1"/>
    <xf numFmtId="0" fontId="9" fillId="6" borderId="66" xfId="0" applyFont="1" applyFill="1" applyBorder="1" applyAlignment="1" applyProtection="1">
      <alignment horizontal="center"/>
    </xf>
    <xf numFmtId="0" fontId="9" fillId="6" borderId="67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0" fontId="67" fillId="3" borderId="8" xfId="0" applyFont="1" applyFill="1" applyBorder="1" applyAlignment="1" applyProtection="1">
      <alignment horizontal="center"/>
    </xf>
    <xf numFmtId="0" fontId="0" fillId="3" borderId="54" xfId="0" applyFont="1" applyFill="1" applyBorder="1" applyAlignment="1" applyProtection="1">
      <alignment horizontal="center"/>
    </xf>
    <xf numFmtId="0" fontId="67" fillId="3" borderId="45" xfId="0" applyFont="1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67" fillId="3" borderId="13" xfId="0" applyFont="1" applyFill="1" applyBorder="1" applyAlignment="1" applyProtection="1">
      <alignment horizontal="center"/>
    </xf>
    <xf numFmtId="0" fontId="11" fillId="6" borderId="71" xfId="0" applyFont="1" applyFill="1" applyBorder="1" applyAlignment="1" applyProtection="1">
      <alignment horizontal="center"/>
    </xf>
    <xf numFmtId="0" fontId="11" fillId="6" borderId="72" xfId="0" applyFont="1" applyFill="1" applyBorder="1" applyAlignment="1" applyProtection="1">
      <alignment horizontal="center"/>
    </xf>
    <xf numFmtId="0" fontId="11" fillId="6" borderId="66" xfId="0" applyFont="1" applyFill="1" applyBorder="1" applyAlignment="1" applyProtection="1">
      <alignment horizontal="center" vertical="center" wrapText="1"/>
    </xf>
    <xf numFmtId="0" fontId="11" fillId="6" borderId="67" xfId="0" applyFont="1" applyFill="1" applyBorder="1" applyAlignment="1" applyProtection="1">
      <alignment horizontal="center" vertical="center"/>
    </xf>
    <xf numFmtId="0" fontId="0" fillId="5" borderId="35" xfId="0" applyFont="1" applyFill="1" applyBorder="1" applyProtection="1"/>
    <xf numFmtId="0" fontId="0" fillId="5" borderId="31" xfId="0" applyFill="1" applyBorder="1" applyAlignment="1" applyProtection="1">
      <alignment horizontal="center" vertical="center"/>
    </xf>
    <xf numFmtId="1" fontId="0" fillId="5" borderId="65" xfId="0" applyNumberFormat="1" applyFill="1" applyBorder="1" applyAlignment="1" applyProtection="1">
      <alignment horizontal="center" vertical="center"/>
    </xf>
    <xf numFmtId="0" fontId="0" fillId="5" borderId="65" xfId="0" applyFill="1" applyBorder="1" applyAlignment="1" applyProtection="1">
      <alignment horizontal="center" vertical="center"/>
    </xf>
    <xf numFmtId="0" fontId="0" fillId="5" borderId="65" xfId="0" applyFill="1" applyBorder="1" applyProtection="1"/>
    <xf numFmtId="0" fontId="0" fillId="7" borderId="0" xfId="0" applyFont="1" applyFill="1"/>
    <xf numFmtId="0" fontId="32" fillId="7" borderId="0" xfId="0" applyFont="1" applyFill="1" applyAlignment="1">
      <alignment vertical="center"/>
    </xf>
    <xf numFmtId="0" fontId="33" fillId="7" borderId="0" xfId="0" applyFont="1" applyFill="1"/>
    <xf numFmtId="0" fontId="61" fillId="7" borderId="0" xfId="0" applyFont="1" applyFill="1" applyAlignment="1">
      <alignment horizontal="center"/>
    </xf>
    <xf numFmtId="0" fontId="17" fillId="13" borderId="65" xfId="0" applyFont="1" applyFill="1" applyBorder="1" applyAlignment="1">
      <alignment vertical="center"/>
    </xf>
    <xf numFmtId="0" fontId="0" fillId="6" borderId="38" xfId="0" applyFont="1" applyFill="1" applyBorder="1"/>
    <xf numFmtId="0" fontId="68" fillId="6" borderId="40" xfId="0" applyFont="1" applyFill="1" applyBorder="1" applyAlignment="1">
      <alignment horizontal="center" vertical="center"/>
    </xf>
    <xf numFmtId="173" fontId="68" fillId="6" borderId="40" xfId="0" applyNumberFormat="1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65" xfId="0" applyFont="1" applyFill="1" applyBorder="1" applyAlignment="1">
      <alignment horizontal="center" vertical="center"/>
    </xf>
    <xf numFmtId="0" fontId="6" fillId="6" borderId="65" xfId="1" applyFont="1" applyFill="1" applyBorder="1" applyAlignment="1" applyProtection="1">
      <alignment horizontal="center" vertical="center"/>
    </xf>
    <xf numFmtId="0" fontId="33" fillId="6" borderId="63" xfId="0" applyFont="1" applyFill="1" applyBorder="1" applyAlignment="1">
      <alignment horizontal="center"/>
    </xf>
    <xf numFmtId="2" fontId="33" fillId="2" borderId="40" xfId="0" applyNumberFormat="1" applyFont="1" applyFill="1" applyBorder="1" applyAlignment="1">
      <alignment horizontal="center" vertical="center"/>
    </xf>
    <xf numFmtId="2" fontId="33" fillId="2" borderId="0" xfId="0" applyNumberFormat="1" applyFont="1" applyFill="1" applyBorder="1" applyAlignment="1">
      <alignment horizontal="center" vertical="center"/>
    </xf>
    <xf numFmtId="0" fontId="33" fillId="6" borderId="43" xfId="0" applyFont="1" applyFill="1" applyBorder="1" applyAlignment="1">
      <alignment horizontal="center"/>
    </xf>
    <xf numFmtId="0" fontId="33" fillId="6" borderId="44" xfId="0" applyFont="1" applyFill="1" applyBorder="1" applyAlignment="1">
      <alignment horizontal="center"/>
    </xf>
    <xf numFmtId="2" fontId="33" fillId="2" borderId="65" xfId="0" applyNumberFormat="1" applyFont="1" applyFill="1" applyBorder="1" applyAlignment="1">
      <alignment horizontal="center"/>
    </xf>
    <xf numFmtId="10" fontId="33" fillId="2" borderId="65" xfId="0" applyNumberFormat="1" applyFont="1" applyFill="1" applyBorder="1" applyAlignment="1">
      <alignment horizontal="center"/>
    </xf>
    <xf numFmtId="175" fontId="33" fillId="2" borderId="65" xfId="0" applyNumberFormat="1" applyFont="1" applyFill="1" applyBorder="1" applyAlignment="1">
      <alignment horizontal="center"/>
    </xf>
    <xf numFmtId="164" fontId="33" fillId="2" borderId="65" xfId="0" applyNumberFormat="1" applyFont="1" applyFill="1" applyBorder="1" applyAlignment="1">
      <alignment horizontal="center"/>
    </xf>
    <xf numFmtId="165" fontId="33" fillId="2" borderId="65" xfId="0" applyNumberFormat="1" applyFont="1" applyFill="1" applyBorder="1" applyAlignment="1">
      <alignment horizontal="center" vertical="center"/>
    </xf>
    <xf numFmtId="2" fontId="33" fillId="2" borderId="65" xfId="0" applyNumberFormat="1" applyFont="1" applyFill="1" applyBorder="1" applyAlignment="1">
      <alignment horizontal="center" vertical="center"/>
    </xf>
    <xf numFmtId="0" fontId="33" fillId="6" borderId="70" xfId="0" applyFont="1" applyFill="1" applyBorder="1" applyAlignment="1">
      <alignment horizontal="center"/>
    </xf>
    <xf numFmtId="10" fontId="33" fillId="2" borderId="64" xfId="0" applyNumberFormat="1" applyFont="1" applyFill="1" applyBorder="1" applyAlignment="1">
      <alignment horizontal="center"/>
    </xf>
    <xf numFmtId="0" fontId="32" fillId="6" borderId="64" xfId="0" applyFont="1" applyFill="1" applyBorder="1" applyAlignment="1">
      <alignment horizontal="center" vertical="center"/>
    </xf>
    <xf numFmtId="0" fontId="6" fillId="6" borderId="64" xfId="1" applyFont="1" applyFill="1" applyBorder="1" applyAlignment="1" applyProtection="1">
      <alignment horizontal="center" vertical="center"/>
    </xf>
    <xf numFmtId="0" fontId="32" fillId="6" borderId="70" xfId="0" applyFont="1" applyFill="1" applyBorder="1" applyAlignment="1">
      <alignment horizontal="center" vertical="center"/>
    </xf>
    <xf numFmtId="2" fontId="33" fillId="12" borderId="40" xfId="0" applyNumberFormat="1" applyFont="1" applyFill="1" applyBorder="1" applyAlignment="1">
      <alignment horizontal="center" vertical="center"/>
    </xf>
    <xf numFmtId="2" fontId="33" fillId="12" borderId="0" xfId="0" applyNumberFormat="1" applyFont="1" applyFill="1" applyBorder="1" applyAlignment="1">
      <alignment horizontal="center" vertical="center"/>
    </xf>
    <xf numFmtId="2" fontId="33" fillId="12" borderId="65" xfId="0" applyNumberFormat="1" applyFont="1" applyFill="1" applyBorder="1" applyAlignment="1">
      <alignment horizontal="center"/>
    </xf>
    <xf numFmtId="10" fontId="33" fillId="12" borderId="65" xfId="0" applyNumberFormat="1" applyFont="1" applyFill="1" applyBorder="1" applyAlignment="1">
      <alignment horizontal="center"/>
    </xf>
    <xf numFmtId="175" fontId="33" fillId="12" borderId="65" xfId="0" applyNumberFormat="1" applyFont="1" applyFill="1" applyBorder="1" applyAlignment="1">
      <alignment horizontal="center"/>
    </xf>
    <xf numFmtId="164" fontId="33" fillId="12" borderId="65" xfId="0" applyNumberFormat="1" applyFont="1" applyFill="1" applyBorder="1" applyAlignment="1">
      <alignment horizontal="center"/>
    </xf>
    <xf numFmtId="165" fontId="33" fillId="12" borderId="65" xfId="0" applyNumberFormat="1" applyFont="1" applyFill="1" applyBorder="1" applyAlignment="1">
      <alignment horizontal="center" vertical="center"/>
    </xf>
    <xf numFmtId="2" fontId="33" fillId="12" borderId="65" xfId="0" applyNumberFormat="1" applyFont="1" applyFill="1" applyBorder="1" applyAlignment="1">
      <alignment horizontal="center" vertical="center"/>
    </xf>
    <xf numFmtId="10" fontId="33" fillId="12" borderId="64" xfId="0" applyNumberFormat="1" applyFont="1" applyFill="1" applyBorder="1" applyAlignment="1">
      <alignment horizontal="center"/>
    </xf>
    <xf numFmtId="175" fontId="33" fillId="12" borderId="64" xfId="0" applyNumberFormat="1" applyFont="1" applyFill="1" applyBorder="1" applyAlignment="1">
      <alignment horizontal="center"/>
    </xf>
    <xf numFmtId="165" fontId="33" fillId="12" borderId="64" xfId="0" applyNumberFormat="1" applyFont="1" applyFill="1" applyBorder="1" applyAlignment="1">
      <alignment horizontal="center" vertical="center"/>
    </xf>
    <xf numFmtId="2" fontId="33" fillId="12" borderId="64" xfId="0" applyNumberFormat="1" applyFont="1" applyFill="1" applyBorder="1" applyAlignment="1">
      <alignment horizontal="center" vertical="center"/>
    </xf>
    <xf numFmtId="2" fontId="33" fillId="2" borderId="64" xfId="0" applyNumberFormat="1" applyFont="1" applyFill="1" applyBorder="1" applyAlignment="1">
      <alignment horizontal="center" vertical="center"/>
    </xf>
    <xf numFmtId="164" fontId="33" fillId="7" borderId="0" xfId="0" applyNumberFormat="1" applyFon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2" fontId="33" fillId="2" borderId="20" xfId="0" applyNumberFormat="1" applyFont="1" applyFill="1" applyBorder="1" applyAlignment="1">
      <alignment horizontal="center"/>
    </xf>
    <xf numFmtId="176" fontId="37" fillId="7" borderId="0" xfId="0" applyNumberFormat="1" applyFont="1" applyFill="1" applyBorder="1" applyAlignment="1" applyProtection="1">
      <alignment horizontal="center" vertical="center"/>
    </xf>
    <xf numFmtId="0" fontId="69" fillId="7" borderId="0" xfId="0" applyFont="1" applyFill="1" applyBorder="1" applyAlignment="1" applyProtection="1">
      <alignment horizontal="center" vertical="center"/>
    </xf>
    <xf numFmtId="0" fontId="37" fillId="7" borderId="0" xfId="0" applyFont="1" applyFill="1" applyBorder="1" applyAlignment="1" applyProtection="1">
      <alignment horizontal="center" vertical="center"/>
    </xf>
    <xf numFmtId="182" fontId="37" fillId="7" borderId="0" xfId="0" applyNumberFormat="1" applyFont="1" applyFill="1" applyBorder="1" applyAlignment="1" applyProtection="1">
      <alignment horizontal="center" vertical="center"/>
    </xf>
    <xf numFmtId="177" fontId="37" fillId="7" borderId="0" xfId="0" applyNumberFormat="1" applyFont="1" applyFill="1" applyBorder="1" applyAlignment="1" applyProtection="1">
      <alignment horizontal="center" vertical="center"/>
    </xf>
    <xf numFmtId="164" fontId="37" fillId="7" borderId="0" xfId="0" applyNumberFormat="1" applyFont="1" applyFill="1" applyBorder="1" applyAlignment="1" applyProtection="1">
      <alignment horizontal="center" vertical="center"/>
    </xf>
    <xf numFmtId="0" fontId="70" fillId="7" borderId="0" xfId="0" applyFont="1" applyFill="1" applyProtection="1"/>
    <xf numFmtId="0" fontId="71" fillId="7" borderId="0" xfId="0" applyFont="1" applyFill="1" applyProtection="1"/>
    <xf numFmtId="0" fontId="70" fillId="7" borderId="0" xfId="0" applyFont="1" applyFill="1" applyBorder="1" applyProtection="1"/>
    <xf numFmtId="181" fontId="70" fillId="7" borderId="0" xfId="0" applyNumberFormat="1" applyFont="1" applyFill="1" applyBorder="1" applyAlignment="1" applyProtection="1">
      <alignment horizontal="left" vertical="center" indent="1"/>
    </xf>
    <xf numFmtId="0" fontId="71" fillId="7" borderId="0" xfId="0" applyFont="1" applyFill="1" applyBorder="1" applyProtection="1"/>
    <xf numFmtId="167" fontId="70" fillId="7" borderId="0" xfId="0" applyNumberFormat="1" applyFont="1" applyFill="1" applyBorder="1" applyAlignment="1" applyProtection="1">
      <alignment horizontal="center" vertical="center"/>
    </xf>
    <xf numFmtId="0" fontId="72" fillId="7" borderId="0" xfId="0" applyFont="1" applyFill="1" applyAlignment="1" applyProtection="1">
      <alignment horizontal="center"/>
    </xf>
    <xf numFmtId="0" fontId="70" fillId="7" borderId="0" xfId="0" applyFont="1" applyFill="1" applyBorder="1" applyAlignment="1" applyProtection="1">
      <alignment horizontal="center" vertical="center"/>
    </xf>
    <xf numFmtId="180" fontId="70" fillId="7" borderId="0" xfId="0" applyNumberFormat="1" applyFont="1" applyFill="1" applyBorder="1" applyAlignment="1" applyProtection="1">
      <alignment horizontal="right" vertical="center"/>
    </xf>
    <xf numFmtId="176" fontId="70" fillId="7" borderId="0" xfId="0" applyNumberFormat="1" applyFont="1" applyFill="1" applyBorder="1" applyAlignment="1" applyProtection="1">
      <alignment horizontal="center" vertical="center"/>
    </xf>
    <xf numFmtId="179" fontId="70" fillId="7" borderId="0" xfId="0" applyNumberFormat="1" applyFont="1" applyFill="1" applyBorder="1" applyAlignment="1" applyProtection="1">
      <alignment vertical="top"/>
    </xf>
    <xf numFmtId="177" fontId="70" fillId="7" borderId="0" xfId="0" applyNumberFormat="1" applyFont="1" applyFill="1" applyBorder="1" applyAlignment="1" applyProtection="1">
      <alignment horizontal="center" vertical="center"/>
    </xf>
    <xf numFmtId="0" fontId="71" fillId="7" borderId="0" xfId="0" applyFont="1" applyFill="1" applyBorder="1" applyAlignment="1" applyProtection="1">
      <alignment horizontal="center"/>
      <protection hidden="1"/>
    </xf>
    <xf numFmtId="0" fontId="70" fillId="7" borderId="0" xfId="0" applyFont="1" applyFill="1" applyBorder="1" applyAlignment="1" applyProtection="1">
      <alignment horizontal="left" indent="1"/>
    </xf>
    <xf numFmtId="181" fontId="70" fillId="7" borderId="0" xfId="0" applyNumberFormat="1" applyFont="1" applyFill="1" applyBorder="1" applyAlignment="1" applyProtection="1">
      <alignment horizontal="center" vertical="center"/>
    </xf>
    <xf numFmtId="2" fontId="33" fillId="12" borderId="69" xfId="0" applyNumberFormat="1" applyFont="1" applyFill="1" applyBorder="1" applyAlignment="1">
      <alignment horizontal="center"/>
    </xf>
    <xf numFmtId="2" fontId="33" fillId="12" borderId="64" xfId="0" applyNumberFormat="1" applyFont="1" applyFill="1" applyBorder="1" applyAlignment="1">
      <alignment horizontal="center"/>
    </xf>
    <xf numFmtId="164" fontId="33" fillId="12" borderId="64" xfId="0" applyNumberFormat="1" applyFont="1" applyFill="1" applyBorder="1" applyAlignment="1">
      <alignment horizontal="center"/>
    </xf>
    <xf numFmtId="174" fontId="33" fillId="12" borderId="64" xfId="0" applyNumberFormat="1" applyFont="1" applyFill="1" applyBorder="1" applyAlignment="1">
      <alignment horizontal="center" vertical="center"/>
    </xf>
    <xf numFmtId="10" fontId="33" fillId="12" borderId="70" xfId="0" applyNumberFormat="1" applyFont="1" applyFill="1" applyBorder="1" applyAlignment="1">
      <alignment horizontal="center"/>
    </xf>
    <xf numFmtId="180" fontId="70" fillId="7" borderId="0" xfId="0" applyNumberFormat="1" applyFont="1" applyFill="1" applyBorder="1" applyAlignment="1" applyProtection="1">
      <alignment horizontal="left" vertical="center" indent="1"/>
    </xf>
    <xf numFmtId="179" fontId="70" fillId="7" borderId="0" xfId="0" applyNumberFormat="1" applyFont="1" applyFill="1" applyBorder="1" applyAlignment="1" applyProtection="1">
      <alignment horizontal="left" vertical="top" indent="1"/>
    </xf>
    <xf numFmtId="181" fontId="0" fillId="5" borderId="0" xfId="0" applyNumberFormat="1" applyFont="1" applyFill="1" applyBorder="1" applyAlignment="1" applyProtection="1">
      <alignment horizontal="center" vertical="center"/>
    </xf>
    <xf numFmtId="2" fontId="21" fillId="5" borderId="0" xfId="0" applyNumberFormat="1" applyFont="1" applyFill="1" applyBorder="1" applyAlignment="1" applyProtection="1">
      <alignment horizontal="center"/>
    </xf>
    <xf numFmtId="0" fontId="24" fillId="8" borderId="21" xfId="0" applyFont="1" applyFill="1" applyBorder="1" applyAlignment="1" applyProtection="1">
      <alignment horizontal="center" vertical="center"/>
    </xf>
    <xf numFmtId="0" fontId="24" fillId="8" borderId="20" xfId="0" applyFont="1" applyFill="1" applyBorder="1" applyAlignment="1" applyProtection="1">
      <alignment horizontal="center" vertical="center"/>
    </xf>
    <xf numFmtId="0" fontId="24" fillId="8" borderId="22" xfId="0" applyFont="1" applyFill="1" applyBorder="1" applyAlignment="1" applyProtection="1">
      <alignment horizontal="center" vertical="center"/>
    </xf>
    <xf numFmtId="0" fontId="16" fillId="5" borderId="41" xfId="0" applyFont="1" applyFill="1" applyBorder="1" applyAlignment="1" applyProtection="1">
      <alignment horizontal="left" vertical="center" wrapText="1"/>
    </xf>
    <xf numFmtId="0" fontId="16" fillId="5" borderId="40" xfId="0" applyFont="1" applyFill="1" applyBorder="1" applyAlignment="1" applyProtection="1">
      <alignment horizontal="left" vertical="center" wrapText="1"/>
    </xf>
    <xf numFmtId="0" fontId="16" fillId="5" borderId="38" xfId="0" applyFont="1" applyFill="1" applyBorder="1" applyAlignment="1" applyProtection="1">
      <alignment horizontal="left" vertical="center" wrapText="1"/>
    </xf>
    <xf numFmtId="0" fontId="29" fillId="7" borderId="0" xfId="0" applyFont="1" applyFill="1" applyAlignment="1" applyProtection="1">
      <alignment horizontal="center"/>
    </xf>
    <xf numFmtId="0" fontId="28" fillId="5" borderId="0" xfId="0" applyFont="1" applyFill="1" applyBorder="1" applyAlignment="1" applyProtection="1">
      <alignment horizontal="left" vertical="center"/>
    </xf>
    <xf numFmtId="0" fontId="28" fillId="5" borderId="35" xfId="0" applyFont="1" applyFill="1" applyBorder="1" applyAlignment="1" applyProtection="1">
      <alignment horizontal="left" vertical="center"/>
    </xf>
    <xf numFmtId="0" fontId="53" fillId="7" borderId="0" xfId="0" applyFont="1" applyFill="1" applyAlignment="1" applyProtection="1">
      <alignment horizontal="center"/>
    </xf>
    <xf numFmtId="0" fontId="0" fillId="5" borderId="3" xfId="0" applyFill="1" applyBorder="1" applyAlignment="1" applyProtection="1">
      <alignment horizontal="left" indent="1"/>
    </xf>
    <xf numFmtId="0" fontId="0" fillId="5" borderId="0" xfId="0" applyFill="1" applyBorder="1" applyAlignment="1" applyProtection="1">
      <alignment horizontal="left" indent="1"/>
    </xf>
    <xf numFmtId="0" fontId="0" fillId="5" borderId="35" xfId="0" applyFill="1" applyBorder="1" applyAlignment="1" applyProtection="1">
      <alignment horizontal="left" indent="1"/>
    </xf>
    <xf numFmtId="0" fontId="0" fillId="5" borderId="37" xfId="0" applyFill="1" applyBorder="1" applyAlignment="1" applyProtection="1">
      <alignment horizontal="left" indent="1"/>
    </xf>
    <xf numFmtId="0" fontId="0" fillId="5" borderId="36" xfId="0" applyFill="1" applyBorder="1" applyAlignment="1" applyProtection="1">
      <alignment horizontal="left" indent="1"/>
    </xf>
    <xf numFmtId="0" fontId="0" fillId="5" borderId="32" xfId="0" applyFill="1" applyBorder="1" applyAlignment="1" applyProtection="1">
      <alignment horizontal="left" indent="1"/>
    </xf>
    <xf numFmtId="0" fontId="0" fillId="5" borderId="3" xfId="0" applyFill="1" applyBorder="1" applyAlignment="1" applyProtection="1">
      <alignment horizontal="left" vertical="center" indent="1"/>
    </xf>
    <xf numFmtId="0" fontId="0" fillId="5" borderId="0" xfId="0" applyFill="1" applyBorder="1" applyAlignment="1" applyProtection="1">
      <alignment horizontal="left" vertical="center" indent="1"/>
    </xf>
    <xf numFmtId="0" fontId="0" fillId="5" borderId="35" xfId="0" applyFill="1" applyBorder="1" applyAlignment="1" applyProtection="1">
      <alignment horizontal="left" vertical="center" indent="1"/>
    </xf>
    <xf numFmtId="0" fontId="11" fillId="11" borderId="34" xfId="0" applyFont="1" applyFill="1" applyBorder="1" applyAlignment="1" applyProtection="1">
      <alignment horizontal="center" vertical="center"/>
    </xf>
    <xf numFmtId="0" fontId="11" fillId="11" borderId="33" xfId="0" applyFont="1" applyFill="1" applyBorder="1" applyAlignment="1" applyProtection="1">
      <alignment horizontal="center" vertical="center"/>
    </xf>
    <xf numFmtId="0" fontId="11" fillId="11" borderId="30" xfId="0" applyFont="1" applyFill="1" applyBorder="1" applyAlignment="1" applyProtection="1">
      <alignment horizontal="center" vertical="center"/>
    </xf>
    <xf numFmtId="0" fontId="30" fillId="5" borderId="3" xfId="0" applyFont="1" applyFill="1" applyBorder="1" applyAlignment="1" applyProtection="1">
      <alignment horizontal="left" vertical="center" indent="1"/>
    </xf>
    <xf numFmtId="0" fontId="30" fillId="5" borderId="0" xfId="0" applyFont="1" applyFill="1" applyBorder="1" applyAlignment="1" applyProtection="1">
      <alignment horizontal="left" vertical="center" indent="1"/>
    </xf>
    <xf numFmtId="0" fontId="30" fillId="5" borderId="35" xfId="0" applyFont="1" applyFill="1" applyBorder="1" applyAlignment="1" applyProtection="1">
      <alignment horizontal="left" vertical="center" indent="1"/>
    </xf>
    <xf numFmtId="0" fontId="25" fillId="9" borderId="21" xfId="0" applyFont="1" applyFill="1" applyBorder="1" applyAlignment="1" applyProtection="1">
      <alignment horizontal="center" vertical="center" wrapText="1"/>
    </xf>
    <xf numFmtId="0" fontId="25" fillId="9" borderId="20" xfId="0" applyFont="1" applyFill="1" applyBorder="1" applyAlignment="1" applyProtection="1">
      <alignment horizontal="center" vertical="center"/>
    </xf>
    <xf numFmtId="0" fontId="25" fillId="9" borderId="22" xfId="0" applyFont="1" applyFill="1" applyBorder="1" applyAlignment="1" applyProtection="1">
      <alignment horizontal="center" vertical="center"/>
    </xf>
    <xf numFmtId="0" fontId="8" fillId="7" borderId="41" xfId="0" applyFont="1" applyFill="1" applyBorder="1" applyAlignment="1" applyProtection="1">
      <alignment horizontal="center" vertical="center"/>
      <protection locked="0"/>
    </xf>
    <xf numFmtId="0" fontId="8" fillId="7" borderId="38" xfId="0" applyFont="1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11" fillId="11" borderId="21" xfId="0" applyFont="1" applyFill="1" applyBorder="1" applyAlignment="1" applyProtection="1">
      <alignment horizontal="center" vertical="center"/>
    </xf>
    <xf numFmtId="0" fontId="11" fillId="11" borderId="36" xfId="0" applyFont="1" applyFill="1" applyBorder="1" applyAlignment="1" applyProtection="1">
      <alignment horizontal="center" vertical="center"/>
    </xf>
    <xf numFmtId="0" fontId="11" fillId="11" borderId="18" xfId="0" applyFont="1" applyFill="1" applyBorder="1" applyAlignment="1" applyProtection="1">
      <alignment horizontal="center" vertical="center"/>
    </xf>
    <xf numFmtId="0" fontId="11" fillId="11" borderId="20" xfId="0" applyFont="1" applyFill="1" applyBorder="1" applyAlignment="1" applyProtection="1">
      <alignment horizontal="center" vertical="center"/>
    </xf>
    <xf numFmtId="0" fontId="11" fillId="11" borderId="22" xfId="0" applyFon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left" vertical="center" indent="1"/>
    </xf>
    <xf numFmtId="0" fontId="0" fillId="4" borderId="11" xfId="0" applyFill="1" applyBorder="1" applyAlignment="1" applyProtection="1">
      <alignment horizontal="left" vertical="center" indent="1"/>
    </xf>
    <xf numFmtId="0" fontId="16" fillId="5" borderId="39" xfId="0" applyFont="1" applyFill="1" applyBorder="1" applyAlignment="1" applyProtection="1">
      <alignment horizontal="left" vertical="center" wrapText="1"/>
    </xf>
    <xf numFmtId="0" fontId="16" fillId="5" borderId="0" xfId="0" applyFont="1" applyFill="1" applyBorder="1" applyAlignment="1" applyProtection="1">
      <alignment horizontal="left" vertical="center" wrapText="1"/>
    </xf>
    <xf numFmtId="0" fontId="16" fillId="5" borderId="35" xfId="0" applyFont="1" applyFill="1" applyBorder="1" applyAlignment="1" applyProtection="1">
      <alignment horizontal="left" vertical="center" wrapText="1"/>
    </xf>
    <xf numFmtId="0" fontId="63" fillId="9" borderId="41" xfId="0" applyFont="1" applyFill="1" applyBorder="1" applyAlignment="1" applyProtection="1">
      <alignment horizontal="center" vertical="center" wrapText="1"/>
    </xf>
    <xf numFmtId="0" fontId="41" fillId="9" borderId="40" xfId="0" applyFont="1" applyFill="1" applyBorder="1" applyAlignment="1" applyProtection="1">
      <alignment horizontal="center" vertical="center"/>
    </xf>
    <xf numFmtId="0" fontId="41" fillId="9" borderId="38" xfId="0" applyFont="1" applyFill="1" applyBorder="1" applyAlignment="1" applyProtection="1">
      <alignment horizontal="center" vertical="center"/>
    </xf>
    <xf numFmtId="0" fontId="0" fillId="5" borderId="37" xfId="0" applyFill="1" applyBorder="1" applyAlignment="1" applyProtection="1">
      <alignment horizontal="left" vertical="center" indent="1"/>
    </xf>
    <xf numFmtId="0" fontId="0" fillId="5" borderId="36" xfId="0" applyFill="1" applyBorder="1" applyAlignment="1" applyProtection="1">
      <alignment horizontal="left" vertical="center" indent="1"/>
    </xf>
    <xf numFmtId="0" fontId="0" fillId="5" borderId="32" xfId="0" applyFill="1" applyBorder="1" applyAlignment="1" applyProtection="1">
      <alignment horizontal="left" vertical="center" indent="1"/>
    </xf>
    <xf numFmtId="0" fontId="0" fillId="5" borderId="3" xfId="0" applyFill="1" applyBorder="1" applyProtection="1"/>
    <xf numFmtId="0" fontId="0" fillId="5" borderId="0" xfId="0" applyFill="1" applyBorder="1" applyProtection="1"/>
    <xf numFmtId="0" fontId="0" fillId="5" borderId="35" xfId="0" applyFill="1" applyBorder="1" applyProtection="1"/>
    <xf numFmtId="0" fontId="0" fillId="5" borderId="3" xfId="0" applyFill="1" applyBorder="1" applyAlignment="1" applyProtection="1"/>
    <xf numFmtId="0" fontId="0" fillId="5" borderId="0" xfId="0" applyFill="1" applyBorder="1" applyAlignment="1" applyProtection="1"/>
    <xf numFmtId="0" fontId="0" fillId="5" borderId="35" xfId="0" applyFill="1" applyBorder="1" applyAlignment="1" applyProtection="1"/>
    <xf numFmtId="0" fontId="0" fillId="5" borderId="3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35" xfId="0" applyFill="1" applyBorder="1" applyAlignment="1" applyProtection="1">
      <alignment horizontal="center"/>
    </xf>
    <xf numFmtId="164" fontId="0" fillId="5" borderId="3" xfId="0" applyNumberFormat="1" applyFill="1" applyBorder="1" applyAlignment="1" applyProtection="1">
      <alignment horizontal="left" vertical="center"/>
    </xf>
    <xf numFmtId="164" fontId="0" fillId="5" borderId="0" xfId="0" applyNumberFormat="1" applyFill="1" applyBorder="1" applyAlignment="1" applyProtection="1">
      <alignment horizontal="left" vertical="center"/>
    </xf>
    <xf numFmtId="164" fontId="0" fillId="5" borderId="35" xfId="0" applyNumberFormat="1" applyFill="1" applyBorder="1" applyAlignment="1" applyProtection="1">
      <alignment horizontal="left" vertical="center"/>
    </xf>
    <xf numFmtId="166" fontId="32" fillId="6" borderId="41" xfId="0" applyNumberFormat="1" applyFont="1" applyFill="1" applyBorder="1" applyAlignment="1">
      <alignment horizontal="center" vertical="center"/>
    </xf>
    <xf numFmtId="166" fontId="32" fillId="6" borderId="40" xfId="0" applyNumberFormat="1" applyFont="1" applyFill="1" applyBorder="1" applyAlignment="1">
      <alignment horizontal="center" vertical="center"/>
    </xf>
    <xf numFmtId="183" fontId="32" fillId="6" borderId="40" xfId="0" applyNumberFormat="1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0" fontId="17" fillId="13" borderId="65" xfId="0" applyFont="1" applyFill="1" applyBorder="1" applyAlignment="1">
      <alignment horizontal="center" vertical="center"/>
    </xf>
    <xf numFmtId="0" fontId="0" fillId="4" borderId="19" xfId="0" applyFill="1" applyBorder="1" applyAlignment="1" applyProtection="1">
      <alignment horizontal="left" vertical="center" indent="1"/>
    </xf>
    <xf numFmtId="0" fontId="0" fillId="4" borderId="13" xfId="0" applyFill="1" applyBorder="1" applyAlignment="1" applyProtection="1">
      <alignment horizontal="left" vertical="center" indent="1"/>
    </xf>
    <xf numFmtId="0" fontId="0" fillId="4" borderId="14" xfId="0" applyFill="1" applyBorder="1" applyAlignment="1" applyProtection="1">
      <alignment horizontal="left" vertical="center" indent="1"/>
    </xf>
    <xf numFmtId="0" fontId="18" fillId="9" borderId="31" xfId="0" applyFont="1" applyFill="1" applyBorder="1" applyAlignment="1" applyProtection="1">
      <alignment horizontal="center" vertical="center" wrapText="1"/>
    </xf>
    <xf numFmtId="0" fontId="12" fillId="9" borderId="65" xfId="0" applyFont="1" applyFill="1" applyBorder="1" applyAlignment="1" applyProtection="1">
      <alignment horizontal="center" vertical="center"/>
    </xf>
    <xf numFmtId="0" fontId="12" fillId="9" borderId="32" xfId="0" applyFont="1" applyFill="1" applyBorder="1" applyAlignment="1" applyProtection="1">
      <alignment horizontal="center" vertical="center"/>
    </xf>
    <xf numFmtId="0" fontId="11" fillId="6" borderId="73" xfId="0" applyFont="1" applyFill="1" applyBorder="1" applyAlignment="1" applyProtection="1">
      <alignment horizontal="center" vertical="center"/>
    </xf>
    <xf numFmtId="0" fontId="11" fillId="6" borderId="67" xfId="0" applyFont="1" applyFill="1" applyBorder="1" applyAlignment="1" applyProtection="1">
      <alignment horizontal="center" vertical="center"/>
    </xf>
    <xf numFmtId="0" fontId="11" fillId="6" borderId="68" xfId="0" applyFont="1" applyFill="1" applyBorder="1" applyAlignment="1" applyProtection="1">
      <alignment horizontal="center" vertical="center"/>
    </xf>
    <xf numFmtId="0" fontId="24" fillId="8" borderId="69" xfId="0" applyFont="1" applyFill="1" applyBorder="1" applyAlignment="1" applyProtection="1">
      <alignment horizontal="center" vertical="center"/>
    </xf>
    <xf numFmtId="0" fontId="24" fillId="8" borderId="64" xfId="0" applyFont="1" applyFill="1" applyBorder="1" applyAlignment="1" applyProtection="1">
      <alignment horizontal="center" vertical="center"/>
    </xf>
    <xf numFmtId="0" fontId="24" fillId="8" borderId="70" xfId="0" applyFont="1" applyFill="1" applyBorder="1" applyAlignment="1" applyProtection="1">
      <alignment horizontal="center" vertical="center"/>
    </xf>
    <xf numFmtId="0" fontId="25" fillId="10" borderId="69" xfId="0" applyFont="1" applyFill="1" applyBorder="1" applyAlignment="1" applyProtection="1">
      <alignment horizontal="center" vertical="center"/>
    </xf>
    <xf numFmtId="0" fontId="25" fillId="10" borderId="64" xfId="0" applyFont="1" applyFill="1" applyBorder="1" applyAlignment="1" applyProtection="1">
      <alignment horizontal="center" vertical="center"/>
    </xf>
    <xf numFmtId="0" fontId="25" fillId="10" borderId="70" xfId="0" applyFont="1" applyFill="1" applyBorder="1" applyAlignment="1" applyProtection="1">
      <alignment horizontal="center" vertical="center"/>
    </xf>
    <xf numFmtId="0" fontId="11" fillId="6" borderId="73" xfId="0" applyFont="1" applyFill="1" applyBorder="1" applyAlignment="1" applyProtection="1">
      <alignment horizontal="center"/>
    </xf>
    <xf numFmtId="0" fontId="11" fillId="6" borderId="67" xfId="0" applyFont="1" applyFill="1" applyBorder="1" applyAlignment="1" applyProtection="1">
      <alignment horizontal="center"/>
    </xf>
    <xf numFmtId="0" fontId="11" fillId="6" borderId="68" xfId="0" applyFont="1" applyFill="1" applyBorder="1" applyAlignment="1" applyProtection="1">
      <alignment horizontal="center"/>
    </xf>
    <xf numFmtId="0" fontId="30" fillId="4" borderId="7" xfId="0" applyFont="1" applyFill="1" applyBorder="1" applyAlignment="1" applyProtection="1">
      <alignment horizontal="left" indent="1"/>
    </xf>
    <xf numFmtId="0" fontId="30" fillId="4" borderId="8" xfId="0" applyFont="1" applyFill="1" applyBorder="1" applyAlignment="1" applyProtection="1">
      <alignment horizontal="left" indent="1"/>
    </xf>
    <xf numFmtId="0" fontId="30" fillId="4" borderId="11" xfId="0" applyFont="1" applyFill="1" applyBorder="1" applyAlignment="1" applyProtection="1">
      <alignment horizontal="left" indent="1"/>
    </xf>
    <xf numFmtId="0" fontId="0" fillId="4" borderId="7" xfId="0" applyFill="1" applyBorder="1" applyAlignment="1" applyProtection="1">
      <alignment horizontal="left" vertical="center" indent="1"/>
    </xf>
    <xf numFmtId="0" fontId="0" fillId="4" borderId="7" xfId="0" applyFill="1" applyBorder="1" applyAlignment="1" applyProtection="1">
      <alignment horizontal="left" indent="1"/>
    </xf>
    <xf numFmtId="0" fontId="0" fillId="4" borderId="8" xfId="0" applyFill="1" applyBorder="1" applyAlignment="1" applyProtection="1">
      <alignment horizontal="left" indent="1"/>
    </xf>
    <xf numFmtId="0" fontId="0" fillId="4" borderId="11" xfId="0" applyFill="1" applyBorder="1" applyAlignment="1" applyProtection="1">
      <alignment horizontal="left" indent="1"/>
    </xf>
    <xf numFmtId="0" fontId="48" fillId="7" borderId="0" xfId="0" applyFont="1" applyFill="1" applyAlignment="1" applyProtection="1">
      <alignment horizontal="center"/>
    </xf>
    <xf numFmtId="0" fontId="48" fillId="7" borderId="56" xfId="0" applyFont="1" applyFill="1" applyBorder="1" applyAlignment="1">
      <alignment horizontal="center" wrapText="1"/>
    </xf>
    <xf numFmtId="0" fontId="48" fillId="7" borderId="57" xfId="0" applyFont="1" applyFill="1" applyBorder="1" applyAlignment="1">
      <alignment horizontal="center" wrapText="1"/>
    </xf>
    <xf numFmtId="0" fontId="48" fillId="7" borderId="58" xfId="0" applyFont="1" applyFill="1" applyBorder="1" applyAlignment="1">
      <alignment horizontal="center" wrapText="1"/>
    </xf>
    <xf numFmtId="0" fontId="48" fillId="7" borderId="59" xfId="0" applyFont="1" applyFill="1" applyBorder="1" applyAlignment="1">
      <alignment horizontal="center" wrapText="1"/>
    </xf>
    <xf numFmtId="49" fontId="48" fillId="7" borderId="56" xfId="0" applyNumberFormat="1" applyFont="1" applyFill="1" applyBorder="1" applyAlignment="1">
      <alignment horizontal="center" wrapText="1"/>
    </xf>
    <xf numFmtId="49" fontId="48" fillId="7" borderId="0" xfId="0" applyNumberFormat="1" applyFont="1" applyFill="1" applyBorder="1" applyAlignment="1">
      <alignment horizontal="center" wrapText="1"/>
    </xf>
    <xf numFmtId="0" fontId="9" fillId="6" borderId="67" xfId="0" applyFont="1" applyFill="1" applyBorder="1" applyAlignment="1" applyProtection="1">
      <alignment horizontal="center"/>
    </xf>
    <xf numFmtId="0" fontId="9" fillId="6" borderId="68" xfId="0" applyFont="1" applyFill="1" applyBorder="1" applyAlignment="1" applyProtection="1">
      <alignment horizontal="center"/>
    </xf>
    <xf numFmtId="0" fontId="17" fillId="8" borderId="65" xfId="0" applyFont="1" applyFill="1" applyBorder="1" applyAlignment="1" applyProtection="1">
      <alignment horizontal="center" vertical="center"/>
      <protection locked="0"/>
    </xf>
    <xf numFmtId="0" fontId="5" fillId="7" borderId="0" xfId="1" applyFill="1"/>
    <xf numFmtId="0" fontId="48" fillId="7" borderId="0" xfId="0" applyNumberFormat="1" applyFont="1" applyFill="1" applyAlignment="1" applyProtection="1">
      <alignment horizontal="center" vertical="center"/>
    </xf>
    <xf numFmtId="0" fontId="48" fillId="7" borderId="0" xfId="0" applyFont="1" applyFill="1" applyBorder="1" applyAlignment="1" applyProtection="1">
      <alignment horizontal="center" wrapText="1"/>
      <protection hidden="1"/>
    </xf>
    <xf numFmtId="0" fontId="28" fillId="7" borderId="40" xfId="0" applyFont="1" applyFill="1" applyBorder="1" applyAlignment="1" applyProtection="1">
      <alignment horizontal="left" vertical="top" wrapText="1"/>
    </xf>
    <xf numFmtId="0" fontId="28" fillId="7" borderId="0" xfId="0" applyFont="1" applyFill="1" applyAlignment="1" applyProtection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45">
    <dxf>
      <fill>
        <patternFill>
          <bgColor rgb="FFFF66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990000"/>
        </patternFill>
      </fill>
    </dxf>
    <dxf>
      <fill>
        <patternFill>
          <bgColor rgb="FF8E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00FF"/>
      </font>
      <numFmt numFmtId="184" formatCode="General\ &quot;Ω&quot;"/>
    </dxf>
    <dxf>
      <font>
        <color rgb="FF0000FF"/>
      </font>
      <numFmt numFmtId="185" formatCode="0.0\ &quot;kΩ&quot;"/>
    </dxf>
    <dxf>
      <font>
        <color auto="1"/>
      </font>
      <numFmt numFmtId="184" formatCode="General\ &quot;Ω&quot;"/>
    </dxf>
    <dxf>
      <font>
        <color auto="1"/>
      </font>
      <numFmt numFmtId="185" formatCode="0.0\ &quot;kΩ&quot;"/>
    </dxf>
    <dxf>
      <font>
        <color rgb="FF0000FF"/>
      </font>
      <numFmt numFmtId="184" formatCode="General\ &quot;Ω&quot;"/>
    </dxf>
    <dxf>
      <font>
        <color rgb="FF0000FF"/>
      </font>
      <numFmt numFmtId="185" formatCode="0.0\ &quot;kΩ&quot;"/>
    </dxf>
    <dxf>
      <font>
        <color rgb="FF0000FF"/>
      </font>
      <numFmt numFmtId="184" formatCode="General\ &quot;Ω&quot;"/>
    </dxf>
    <dxf>
      <font>
        <color rgb="FF0000FF"/>
      </font>
      <numFmt numFmtId="185" formatCode="0.0\ &quot;kΩ&quot;"/>
    </dxf>
    <dxf>
      <font>
        <color auto="1"/>
      </font>
      <numFmt numFmtId="184" formatCode="General\ &quot;Ω&quot;"/>
    </dxf>
    <dxf>
      <numFmt numFmtId="185" formatCode="0.0\ &quot;kΩ&quot;"/>
    </dxf>
    <dxf>
      <font>
        <color auto="1"/>
      </font>
      <numFmt numFmtId="184" formatCode="General\ &quot;Ω&quot;"/>
    </dxf>
    <dxf>
      <font>
        <color rgb="FF0000FF"/>
      </font>
      <numFmt numFmtId="184" formatCode="General\ &quot;Ω&quot;"/>
    </dxf>
    <dxf>
      <font>
        <color auto="1"/>
      </font>
      <numFmt numFmtId="184" formatCode="General\ &quot;Ω&quot;"/>
    </dxf>
    <dxf>
      <font>
        <color auto="1"/>
      </font>
      <numFmt numFmtId="184" formatCode="General\ &quot;Ω&quot;"/>
    </dxf>
    <dxf>
      <numFmt numFmtId="185" formatCode="0.0\ &quot;kΩ&quot;"/>
    </dxf>
    <dxf>
      <fill>
        <patternFill>
          <bgColor rgb="FFFF0000"/>
        </patternFill>
      </fill>
    </dxf>
    <dxf>
      <numFmt numFmtId="172" formatCode="General\ &quot;µF&quot;"/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  <color rgb="FF800000"/>
      <color rgb="FFFF9933"/>
      <color rgb="FF4A7E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Predicted TJ of ALT80802</a:t>
            </a:r>
            <a:r>
              <a:rPr lang="en-US" sz="1800" b="1" baseline="0">
                <a:solidFill>
                  <a:schemeClr val="tx1"/>
                </a:solidFill>
              </a:rPr>
              <a:t> </a:t>
            </a:r>
            <a:r>
              <a:rPr lang="en-US" sz="1800" b="1">
                <a:solidFill>
                  <a:schemeClr val="tx1"/>
                </a:solidFill>
              </a:rPr>
              <a:t>vs.</a:t>
            </a:r>
            <a:r>
              <a:rPr lang="en-US" sz="1800" b="1" baseline="0">
                <a:solidFill>
                  <a:schemeClr val="tx1"/>
                </a:solidFill>
              </a:rPr>
              <a:t> VIN at </a:t>
            </a:r>
            <a:r>
              <a:rPr lang="en-US"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25°C</a:t>
            </a:r>
          </a:p>
        </c:rich>
      </c:tx>
      <c:layout>
        <c:manualLayout>
          <c:xMode val="edge"/>
          <c:yMode val="edge"/>
          <c:x val="0.19965630336141427"/>
          <c:y val="2.3125081351648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0494313210846"/>
          <c:y val="0.12101487839700652"/>
          <c:w val="0.80702409594633984"/>
          <c:h val="0.7671370790328822"/>
        </c:manualLayout>
      </c:layout>
      <c:scatterChart>
        <c:scatterStyle val="lineMarker"/>
        <c:varyColors val="0"/>
        <c:ser>
          <c:idx val="0"/>
          <c:order val="0"/>
          <c:tx>
            <c:v>25degreeC</c:v>
          </c:tx>
          <c:spPr>
            <a:ln w="635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Efficiency!$B$6:$B$25</c:f>
              <c:numCache>
                <c:formatCode>0.00</c:formatCode>
                <c:ptCount val="20"/>
                <c:pt idx="0">
                  <c:v>10</c:v>
                </c:pt>
                <c:pt idx="1">
                  <c:v>10.421052631578947</c:v>
                </c:pt>
                <c:pt idx="2">
                  <c:v>10.842105263157894</c:v>
                </c:pt>
                <c:pt idx="3">
                  <c:v>11.263157894736841</c:v>
                </c:pt>
                <c:pt idx="4">
                  <c:v>11.684210526315788</c:v>
                </c:pt>
                <c:pt idx="5">
                  <c:v>12.105263157894735</c:v>
                </c:pt>
                <c:pt idx="6">
                  <c:v>12.526315789473681</c:v>
                </c:pt>
                <c:pt idx="7">
                  <c:v>12.947368421052628</c:v>
                </c:pt>
                <c:pt idx="8">
                  <c:v>13.368421052631575</c:v>
                </c:pt>
                <c:pt idx="9">
                  <c:v>13.789473684210522</c:v>
                </c:pt>
                <c:pt idx="10">
                  <c:v>14.210526315789469</c:v>
                </c:pt>
                <c:pt idx="11">
                  <c:v>14.631578947368416</c:v>
                </c:pt>
                <c:pt idx="12">
                  <c:v>15.052631578947363</c:v>
                </c:pt>
                <c:pt idx="13">
                  <c:v>15.47368421052631</c:v>
                </c:pt>
                <c:pt idx="14">
                  <c:v>15.894736842105257</c:v>
                </c:pt>
                <c:pt idx="15">
                  <c:v>16.315789473684205</c:v>
                </c:pt>
                <c:pt idx="16">
                  <c:v>16.736842105263154</c:v>
                </c:pt>
                <c:pt idx="17">
                  <c:v>17.157894736842103</c:v>
                </c:pt>
                <c:pt idx="18">
                  <c:v>17.578947368421051</c:v>
                </c:pt>
                <c:pt idx="19">
                  <c:v>18</c:v>
                </c:pt>
              </c:numCache>
            </c:numRef>
          </c:xVal>
          <c:yVal>
            <c:numRef>
              <c:f>Efficiency!$R$6:$R$25</c:f>
              <c:numCache>
                <c:formatCode>0.0</c:formatCode>
                <c:ptCount val="20"/>
                <c:pt idx="0">
                  <c:v>38.920111620697639</c:v>
                </c:pt>
                <c:pt idx="1">
                  <c:v>39.530907239818958</c:v>
                </c:pt>
                <c:pt idx="2">
                  <c:v>40.164719575389313</c:v>
                </c:pt>
                <c:pt idx="3">
                  <c:v>40.820823595844203</c:v>
                </c:pt>
                <c:pt idx="4">
                  <c:v>41.498607417486433</c:v>
                </c:pt>
                <c:pt idx="5">
                  <c:v>42.197550333577908</c:v>
                </c:pt>
                <c:pt idx="6">
                  <c:v>42.917205871678298</c:v>
                </c:pt>
                <c:pt idx="7">
                  <c:v>43.657188572798177</c:v>
                </c:pt>
                <c:pt idx="8">
                  <c:v>44.417163561365868</c:v>
                </c:pt>
                <c:pt idx="9">
                  <c:v>45.196838233288929</c:v>
                </c:pt>
                <c:pt idx="10">
                  <c:v>45.995955569691887</c:v>
                </c:pt>
                <c:pt idx="11">
                  <c:v>46.814288711503998</c:v>
                </c:pt>
                <c:pt idx="12">
                  <c:v>47.651636521527777</c:v>
                </c:pt>
                <c:pt idx="13">
                  <c:v>48.507819926964821</c:v>
                </c:pt>
                <c:pt idx="14">
                  <c:v>49.382678884052488</c:v>
                </c:pt>
                <c:pt idx="15">
                  <c:v>50.276069842559949</c:v>
                </c:pt>
                <c:pt idx="16">
                  <c:v>51.187863614926414</c:v>
                </c:pt>
                <c:pt idx="17">
                  <c:v>52.11794357526491</c:v>
                </c:pt>
                <c:pt idx="18">
                  <c:v>53.066204129048479</c:v>
                </c:pt>
                <c:pt idx="19">
                  <c:v>54.032549406292034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A2-4502-A653-1378056022D1}"/>
            </c:ext>
          </c:extLst>
        </c:ser>
        <c:ser>
          <c:idx val="1"/>
          <c:order val="1"/>
          <c:tx>
            <c:v>"TSD Limit"</c:v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Efficiency!$A$50:$A$51</c:f>
              <c:numCache>
                <c:formatCode>General</c:formatCode>
                <c:ptCount val="2"/>
                <c:pt idx="0">
                  <c:v>10</c:v>
                </c:pt>
                <c:pt idx="1">
                  <c:v>18</c:v>
                </c:pt>
              </c:numCache>
            </c:numRef>
          </c:xVal>
          <c:yVal>
            <c:numRef>
              <c:f>Efficiency!$B$50:$B$51</c:f>
              <c:numCache>
                <c:formatCode>General</c:formatCode>
                <c:ptCount val="2"/>
                <c:pt idx="0">
                  <c:v>170</c:v>
                </c:pt>
                <c:pt idx="1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A2-4502-A653-13780560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24992"/>
        <c:axId val="112452784"/>
      </c:scatterChart>
      <c:valAx>
        <c:axId val="107624992"/>
        <c:scaling>
          <c:orientation val="minMax"/>
          <c:max val="18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Input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Voltage</a:t>
                </a:r>
                <a:r>
                  <a:rPr lang="en-US" sz="1200" b="1">
                    <a:solidFill>
                      <a:schemeClr val="tx1"/>
                    </a:solidFill>
                  </a:rPr>
                  <a:t> (V)</a:t>
                </a:r>
              </a:p>
            </c:rich>
          </c:tx>
          <c:layout>
            <c:manualLayout>
              <c:xMode val="edge"/>
              <c:yMode val="edge"/>
              <c:x val="0.41010757133124298"/>
              <c:y val="0.95076541403603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784"/>
        <c:crosses val="autoZero"/>
        <c:crossBetween val="midCat"/>
      </c:valAx>
      <c:valAx>
        <c:axId val="112452784"/>
        <c:scaling>
          <c:orientation val="minMax"/>
          <c:max val="2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+mn-lt"/>
                  </a:rPr>
                  <a:t>Predicted  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Junction</a:t>
                </a:r>
                <a:r>
                  <a:rPr lang="en-US" sz="1200" b="1" baseline="0">
                    <a:solidFill>
                      <a:schemeClr val="tx1"/>
                    </a:solidFill>
                    <a:latin typeface="+mn-lt"/>
                  </a:rPr>
                  <a:t> Temperature 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US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(°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  <a:cs typeface="Times New Roman" panose="02020603050405020304" pitchFamily="18" charset="0"/>
                  </a:rPr>
                  <a:t>C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24992"/>
        <c:crosses val="autoZero"/>
        <c:crossBetween val="midCat"/>
      </c:valAx>
      <c:spPr>
        <a:noFill/>
        <a:ln>
          <a:solidFill>
            <a:schemeClr val="tx1">
              <a:alpha val="94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Predicted  Efficiency vs.</a:t>
            </a:r>
            <a:r>
              <a:rPr lang="en-US" sz="1800" b="1" baseline="0">
                <a:solidFill>
                  <a:schemeClr val="tx1"/>
                </a:solidFill>
              </a:rPr>
              <a:t> VIN at </a:t>
            </a:r>
            <a:r>
              <a:rPr lang="en-US"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25°C</a:t>
            </a:r>
          </a:p>
        </c:rich>
      </c:tx>
      <c:layout>
        <c:manualLayout>
          <c:xMode val="edge"/>
          <c:yMode val="edge"/>
          <c:x val="0.22043074316808292"/>
          <c:y val="2.857312489729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00197085094743"/>
          <c:y val="0.12101487839700652"/>
          <c:w val="0.79322700690542436"/>
          <c:h val="0.7586340769903761"/>
        </c:manualLayout>
      </c:layout>
      <c:scatterChart>
        <c:scatterStyle val="lineMarker"/>
        <c:varyColors val="0"/>
        <c:ser>
          <c:idx val="0"/>
          <c:order val="0"/>
          <c:tx>
            <c:v>25degreeC</c:v>
          </c:tx>
          <c:spPr>
            <a:ln w="635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Efficiency!$B$6:$B$25</c:f>
              <c:numCache>
                <c:formatCode>0.00</c:formatCode>
                <c:ptCount val="20"/>
                <c:pt idx="0">
                  <c:v>10</c:v>
                </c:pt>
                <c:pt idx="1">
                  <c:v>10.421052631578947</c:v>
                </c:pt>
                <c:pt idx="2">
                  <c:v>10.842105263157894</c:v>
                </c:pt>
                <c:pt idx="3">
                  <c:v>11.263157894736841</c:v>
                </c:pt>
                <c:pt idx="4">
                  <c:v>11.684210526315788</c:v>
                </c:pt>
                <c:pt idx="5">
                  <c:v>12.105263157894735</c:v>
                </c:pt>
                <c:pt idx="6">
                  <c:v>12.526315789473681</c:v>
                </c:pt>
                <c:pt idx="7">
                  <c:v>12.947368421052628</c:v>
                </c:pt>
                <c:pt idx="8">
                  <c:v>13.368421052631575</c:v>
                </c:pt>
                <c:pt idx="9">
                  <c:v>13.789473684210522</c:v>
                </c:pt>
                <c:pt idx="10">
                  <c:v>14.210526315789469</c:v>
                </c:pt>
                <c:pt idx="11">
                  <c:v>14.631578947368416</c:v>
                </c:pt>
                <c:pt idx="12">
                  <c:v>15.052631578947363</c:v>
                </c:pt>
                <c:pt idx="13">
                  <c:v>15.47368421052631</c:v>
                </c:pt>
                <c:pt idx="14">
                  <c:v>15.894736842105257</c:v>
                </c:pt>
                <c:pt idx="15">
                  <c:v>16.315789473684205</c:v>
                </c:pt>
                <c:pt idx="16">
                  <c:v>16.736842105263154</c:v>
                </c:pt>
                <c:pt idx="17">
                  <c:v>17.157894736842103</c:v>
                </c:pt>
                <c:pt idx="18">
                  <c:v>17.578947368421051</c:v>
                </c:pt>
                <c:pt idx="19">
                  <c:v>18</c:v>
                </c:pt>
              </c:numCache>
            </c:numRef>
          </c:xVal>
          <c:yVal>
            <c:numRef>
              <c:f>Efficiency!$Y$6:$Y$25</c:f>
              <c:numCache>
                <c:formatCode>0.00</c:formatCode>
                <c:ptCount val="20"/>
                <c:pt idx="0">
                  <c:v>0.86899181750794818</c:v>
                </c:pt>
                <c:pt idx="1">
                  <c:v>0.86477835784710366</c:v>
                </c:pt>
                <c:pt idx="2">
                  <c:v>0.86058862877821829</c:v>
                </c:pt>
                <c:pt idx="3">
                  <c:v>0.85641468941260468</c:v>
                </c:pt>
                <c:pt idx="4">
                  <c:v>0.85224997597980123</c:v>
                </c:pt>
                <c:pt idx="5">
                  <c:v>0.84808906923039662</c:v>
                </c:pt>
                <c:pt idx="6">
                  <c:v>0.84392750631726976</c:v>
                </c:pt>
                <c:pt idx="7">
                  <c:v>0.83976162765501061</c:v>
                </c:pt>
                <c:pt idx="8">
                  <c:v>0.83558845146488858</c:v>
                </c:pt>
                <c:pt idx="9">
                  <c:v>0.83140557037277119</c:v>
                </c:pt>
                <c:pt idx="10">
                  <c:v>0.82721106568247948</c:v>
                </c:pt>
                <c:pt idx="11">
                  <c:v>0.82300343590149494</c:v>
                </c:pt>
                <c:pt idx="12">
                  <c:v>0.81878153682605159</c:v>
                </c:pt>
                <c:pt idx="13">
                  <c:v>0.81454453105451652</c:v>
                </c:pt>
                <c:pt idx="14">
                  <c:v>0.81029184523292608</c:v>
                </c:pt>
                <c:pt idx="15">
                  <c:v>0.80602313367523526</c:v>
                </c:pt>
                <c:pt idx="16">
                  <c:v>0.80173824726605791</c:v>
                </c:pt>
                <c:pt idx="17">
                  <c:v>0.79743720676253482</c:v>
                </c:pt>
                <c:pt idx="18">
                  <c:v>0.7931201797773022</c:v>
                </c:pt>
                <c:pt idx="19">
                  <c:v>0.78878746085611495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45-4C25-8E62-DD2315D63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24992"/>
        <c:axId val="112452784"/>
      </c:scatterChart>
      <c:valAx>
        <c:axId val="107624992"/>
        <c:scaling>
          <c:orientation val="minMax"/>
          <c:max val="18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Input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Voltage</a:t>
                </a:r>
                <a:r>
                  <a:rPr lang="en-US" sz="1200" b="1">
                    <a:solidFill>
                      <a:schemeClr val="tx1"/>
                    </a:solidFill>
                  </a:rPr>
                  <a:t> (V)</a:t>
                </a:r>
              </a:p>
            </c:rich>
          </c:tx>
          <c:layout>
            <c:manualLayout>
              <c:xMode val="edge"/>
              <c:yMode val="edge"/>
              <c:x val="0.43079855967336023"/>
              <c:y val="0.93973908387801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784"/>
        <c:crosses val="autoZero"/>
        <c:crossBetween val="midCat"/>
      </c:valAx>
      <c:valAx>
        <c:axId val="1124527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 Predicted Efficiency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24992"/>
        <c:crosses val="autoZero"/>
        <c:crossBetween val="midCat"/>
      </c:valAx>
      <c:spPr>
        <a:noFill/>
        <a:ln>
          <a:solidFill>
            <a:schemeClr val="tx1">
              <a:alpha val="94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Predicted  Efficiency vs.</a:t>
            </a:r>
            <a:r>
              <a:rPr lang="en-US" sz="1800" b="1" baseline="0">
                <a:solidFill>
                  <a:schemeClr val="tx1"/>
                </a:solidFill>
              </a:rPr>
              <a:t> VIN at </a:t>
            </a:r>
            <a:r>
              <a:rPr lang="en-US"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85°C</a:t>
            </a:r>
          </a:p>
        </c:rich>
      </c:tx>
      <c:layout>
        <c:manualLayout>
          <c:xMode val="edge"/>
          <c:yMode val="edge"/>
          <c:x val="0.22043074316808292"/>
          <c:y val="2.857312489729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00197085094743"/>
          <c:y val="0.12101487839700652"/>
          <c:w val="0.79322700690542436"/>
          <c:h val="0.7586340769903761"/>
        </c:manualLayout>
      </c:layout>
      <c:scatterChart>
        <c:scatterStyle val="lineMarker"/>
        <c:varyColors val="0"/>
        <c:ser>
          <c:idx val="0"/>
          <c:order val="0"/>
          <c:tx>
            <c:v>25degreeC</c:v>
          </c:tx>
          <c:spPr>
            <a:ln w="635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Efficiency!$B$28:$B$47</c:f>
              <c:numCache>
                <c:formatCode>0.00</c:formatCode>
                <c:ptCount val="20"/>
                <c:pt idx="0">
                  <c:v>10</c:v>
                </c:pt>
                <c:pt idx="1">
                  <c:v>10.421052631578947</c:v>
                </c:pt>
                <c:pt idx="2">
                  <c:v>10.842105263157894</c:v>
                </c:pt>
                <c:pt idx="3">
                  <c:v>11.263157894736841</c:v>
                </c:pt>
                <c:pt idx="4">
                  <c:v>11.684210526315788</c:v>
                </c:pt>
                <c:pt idx="5">
                  <c:v>12.105263157894735</c:v>
                </c:pt>
                <c:pt idx="6">
                  <c:v>12.526315789473681</c:v>
                </c:pt>
                <c:pt idx="7">
                  <c:v>12.947368421052628</c:v>
                </c:pt>
                <c:pt idx="8">
                  <c:v>13.368421052631575</c:v>
                </c:pt>
                <c:pt idx="9">
                  <c:v>13.789473684210522</c:v>
                </c:pt>
                <c:pt idx="10">
                  <c:v>14.210526315789469</c:v>
                </c:pt>
                <c:pt idx="11">
                  <c:v>14.631578947368416</c:v>
                </c:pt>
                <c:pt idx="12">
                  <c:v>15.052631578947363</c:v>
                </c:pt>
                <c:pt idx="13">
                  <c:v>15.47368421052631</c:v>
                </c:pt>
                <c:pt idx="14">
                  <c:v>15.894736842105257</c:v>
                </c:pt>
                <c:pt idx="15">
                  <c:v>16.315789473684205</c:v>
                </c:pt>
                <c:pt idx="16">
                  <c:v>16.736842105263154</c:v>
                </c:pt>
                <c:pt idx="17">
                  <c:v>17.157894736842103</c:v>
                </c:pt>
                <c:pt idx="18">
                  <c:v>17.578947368421051</c:v>
                </c:pt>
                <c:pt idx="19">
                  <c:v>18</c:v>
                </c:pt>
              </c:numCache>
            </c:numRef>
          </c:xVal>
          <c:yVal>
            <c:numRef>
              <c:f>Efficiency!$Y$28:$Y$47</c:f>
              <c:numCache>
                <c:formatCode>0.00</c:formatCode>
                <c:ptCount val="20"/>
                <c:pt idx="0">
                  <c:v>0.86786681049901326</c:v>
                </c:pt>
                <c:pt idx="1">
                  <c:v>0.86395216577955125</c:v>
                </c:pt>
                <c:pt idx="2">
                  <c:v>0.86003438502808083</c:v>
                </c:pt>
                <c:pt idx="3">
                  <c:v>0.85610854340780163</c:v>
                </c:pt>
                <c:pt idx="4">
                  <c:v>0.85217064195421877</c:v>
                </c:pt>
                <c:pt idx="5">
                  <c:v>0.84821745858977815</c:v>
                </c:pt>
                <c:pt idx="6">
                  <c:v>0.84424642544545248</c:v>
                </c:pt>
                <c:pt idx="7">
                  <c:v>0.84025552747728405</c:v>
                </c:pt>
                <c:pt idx="8">
                  <c:v>0.83624321834107618</c:v>
                </c:pt>
                <c:pt idx="9">
                  <c:v>0.83220835028593687</c:v>
                </c:pt>
                <c:pt idx="10">
                  <c:v>0.82815011547010187</c:v>
                </c:pt>
                <c:pt idx="11">
                  <c:v>0.82406799661627494</c:v>
                </c:pt>
                <c:pt idx="12">
                  <c:v>0.81996172533288958</c:v>
                </c:pt>
                <c:pt idx="13">
                  <c:v>0.81583124675306129</c:v>
                </c:pt>
                <c:pt idx="14">
                  <c:v>0.81167668940181414</c:v>
                </c:pt>
                <c:pt idx="15">
                  <c:v>0.80749833940834215</c:v>
                </c:pt>
                <c:pt idx="16">
                  <c:v>0.80329661834467581</c:v>
                </c:pt>
                <c:pt idx="17">
                  <c:v>0.79907206410389231</c:v>
                </c:pt>
                <c:pt idx="18">
                  <c:v>0.79482531433682591</c:v>
                </c:pt>
                <c:pt idx="19">
                  <c:v>0.79055709205147906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9B-49F7-9351-09E64CD50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24992"/>
        <c:axId val="112452784"/>
      </c:scatterChart>
      <c:valAx>
        <c:axId val="107624992"/>
        <c:scaling>
          <c:orientation val="minMax"/>
          <c:max val="18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Input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Voltage</a:t>
                </a:r>
                <a:r>
                  <a:rPr lang="en-US" sz="1200" b="1">
                    <a:solidFill>
                      <a:schemeClr val="tx1"/>
                    </a:solidFill>
                  </a:rPr>
                  <a:t> (V)</a:t>
                </a:r>
              </a:p>
            </c:rich>
          </c:tx>
          <c:layout>
            <c:manualLayout>
              <c:xMode val="edge"/>
              <c:yMode val="edge"/>
              <c:x val="0.43079855967336023"/>
              <c:y val="0.93973908387801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784"/>
        <c:crosses val="autoZero"/>
        <c:crossBetween val="midCat"/>
      </c:valAx>
      <c:valAx>
        <c:axId val="1124527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 Predicted Efficiency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24992"/>
        <c:crosses val="autoZero"/>
        <c:crossBetween val="midCat"/>
      </c:valAx>
      <c:spPr>
        <a:noFill/>
        <a:ln>
          <a:solidFill>
            <a:schemeClr val="tx1">
              <a:alpha val="94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Predicted TJ of ALT80802</a:t>
            </a:r>
            <a:r>
              <a:rPr lang="en-US" sz="1800" b="1" baseline="0">
                <a:solidFill>
                  <a:schemeClr val="tx1"/>
                </a:solidFill>
              </a:rPr>
              <a:t> </a:t>
            </a:r>
            <a:r>
              <a:rPr lang="en-US" sz="1800" b="1">
                <a:solidFill>
                  <a:schemeClr val="tx1"/>
                </a:solidFill>
              </a:rPr>
              <a:t>vs.</a:t>
            </a:r>
            <a:r>
              <a:rPr lang="en-US" sz="1800" b="1" baseline="0">
                <a:solidFill>
                  <a:schemeClr val="tx1"/>
                </a:solidFill>
              </a:rPr>
              <a:t> VIN at </a:t>
            </a:r>
            <a:r>
              <a:rPr lang="en-US"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85°C</a:t>
            </a:r>
          </a:p>
        </c:rich>
      </c:tx>
      <c:layout>
        <c:manualLayout>
          <c:xMode val="edge"/>
          <c:yMode val="edge"/>
          <c:x val="0.19965630336141427"/>
          <c:y val="2.3125081351648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0494313210846"/>
          <c:y val="0.12101487839700652"/>
          <c:w val="0.80702409594633984"/>
          <c:h val="0.7671370790328822"/>
        </c:manualLayout>
      </c:layout>
      <c:scatterChart>
        <c:scatterStyle val="lineMarker"/>
        <c:varyColors val="0"/>
        <c:ser>
          <c:idx val="0"/>
          <c:order val="0"/>
          <c:tx>
            <c:v>25degreeC</c:v>
          </c:tx>
          <c:spPr>
            <a:ln w="635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Efficiency!$B$28:$B$47</c:f>
              <c:numCache>
                <c:formatCode>0.00</c:formatCode>
                <c:ptCount val="20"/>
                <c:pt idx="0">
                  <c:v>10</c:v>
                </c:pt>
                <c:pt idx="1">
                  <c:v>10.421052631578947</c:v>
                </c:pt>
                <c:pt idx="2">
                  <c:v>10.842105263157894</c:v>
                </c:pt>
                <c:pt idx="3">
                  <c:v>11.263157894736841</c:v>
                </c:pt>
                <c:pt idx="4">
                  <c:v>11.684210526315788</c:v>
                </c:pt>
                <c:pt idx="5">
                  <c:v>12.105263157894735</c:v>
                </c:pt>
                <c:pt idx="6">
                  <c:v>12.526315789473681</c:v>
                </c:pt>
                <c:pt idx="7">
                  <c:v>12.947368421052628</c:v>
                </c:pt>
                <c:pt idx="8">
                  <c:v>13.368421052631575</c:v>
                </c:pt>
                <c:pt idx="9">
                  <c:v>13.789473684210522</c:v>
                </c:pt>
                <c:pt idx="10">
                  <c:v>14.210526315789469</c:v>
                </c:pt>
                <c:pt idx="11">
                  <c:v>14.631578947368416</c:v>
                </c:pt>
                <c:pt idx="12">
                  <c:v>15.052631578947363</c:v>
                </c:pt>
                <c:pt idx="13">
                  <c:v>15.47368421052631</c:v>
                </c:pt>
                <c:pt idx="14">
                  <c:v>15.894736842105257</c:v>
                </c:pt>
                <c:pt idx="15">
                  <c:v>16.315789473684205</c:v>
                </c:pt>
                <c:pt idx="16">
                  <c:v>16.736842105263154</c:v>
                </c:pt>
                <c:pt idx="17">
                  <c:v>17.157894736842103</c:v>
                </c:pt>
                <c:pt idx="18">
                  <c:v>17.578947368421051</c:v>
                </c:pt>
                <c:pt idx="19">
                  <c:v>18</c:v>
                </c:pt>
              </c:numCache>
            </c:numRef>
          </c:xVal>
          <c:yVal>
            <c:numRef>
              <c:f>Efficiency!$R$28:$R$47</c:f>
              <c:numCache>
                <c:formatCode>0.0</c:formatCode>
                <c:ptCount val="20"/>
                <c:pt idx="0">
                  <c:v>99.800491943517287</c:v>
                </c:pt>
                <c:pt idx="1">
                  <c:v>100.37783281431517</c:v>
                </c:pt>
                <c:pt idx="2">
                  <c:v>100.980775636212</c:v>
                </c:pt>
                <c:pt idx="3">
                  <c:v>101.60829027485414</c:v>
                </c:pt>
                <c:pt idx="4">
                  <c:v>102.25950809931769</c:v>
                </c:pt>
                <c:pt idx="5">
                  <c:v>102.93369048746305</c:v>
                </c:pt>
                <c:pt idx="6">
                  <c:v>103.63020457082369</c:v>
                </c:pt>
                <c:pt idx="7">
                  <c:v>104.34850432921885</c:v>
                </c:pt>
                <c:pt idx="8">
                  <c:v>105.08811569108857</c:v>
                </c:pt>
                <c:pt idx="9">
                  <c:v>105.84862467014004</c:v>
                </c:pt>
                <c:pt idx="10">
                  <c:v>106.62966782982893</c:v>
                </c:pt>
                <c:pt idx="11">
                  <c:v>107.43092455150335</c:v>
                </c:pt>
                <c:pt idx="12">
                  <c:v>108.25211071392165</c:v>
                </c:pt>
                <c:pt idx="13">
                  <c:v>109.09297348738573</c:v>
                </c:pt>
                <c:pt idx="14">
                  <c:v>109.95328701572582</c:v>
                </c:pt>
                <c:pt idx="15">
                  <c:v>110.83284881121439</c:v>
                </c:pt>
                <c:pt idx="16">
                  <c:v>111.73147672627283</c:v>
                </c:pt>
                <c:pt idx="17">
                  <c:v>112.6490063951334</c:v>
                </c:pt>
                <c:pt idx="18">
                  <c:v>113.58528906095077</c:v>
                </c:pt>
                <c:pt idx="19">
                  <c:v>114.54018972102511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0C-4130-A269-935AEA607872}"/>
            </c:ext>
          </c:extLst>
        </c:ser>
        <c:ser>
          <c:idx val="1"/>
          <c:order val="1"/>
          <c:tx>
            <c:v>"TSD Limit"</c:v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Efficiency!$A$50:$A$51</c:f>
              <c:numCache>
                <c:formatCode>General</c:formatCode>
                <c:ptCount val="2"/>
                <c:pt idx="0">
                  <c:v>10</c:v>
                </c:pt>
                <c:pt idx="1">
                  <c:v>18</c:v>
                </c:pt>
              </c:numCache>
            </c:numRef>
          </c:xVal>
          <c:yVal>
            <c:numRef>
              <c:f>Efficiency!$B$50:$B$51</c:f>
              <c:numCache>
                <c:formatCode>General</c:formatCode>
                <c:ptCount val="2"/>
                <c:pt idx="0">
                  <c:v>170</c:v>
                </c:pt>
                <c:pt idx="1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0C-4130-A269-935AEA60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24992"/>
        <c:axId val="112452784"/>
      </c:scatterChart>
      <c:valAx>
        <c:axId val="107624992"/>
        <c:scaling>
          <c:orientation val="minMax"/>
          <c:max val="18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Input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Voltage</a:t>
                </a:r>
                <a:r>
                  <a:rPr lang="en-US" sz="1200" b="1">
                    <a:solidFill>
                      <a:schemeClr val="tx1"/>
                    </a:solidFill>
                  </a:rPr>
                  <a:t> (V)</a:t>
                </a:r>
              </a:p>
            </c:rich>
          </c:tx>
          <c:layout>
            <c:manualLayout>
              <c:xMode val="edge"/>
              <c:yMode val="edge"/>
              <c:x val="0.41010757133124298"/>
              <c:y val="0.95076541403603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784"/>
        <c:crosses val="autoZero"/>
        <c:crossBetween val="midCat"/>
      </c:valAx>
      <c:valAx>
        <c:axId val="112452784"/>
        <c:scaling>
          <c:orientation val="minMax"/>
          <c:max val="2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>
                    <a:solidFill>
                      <a:schemeClr val="tx1"/>
                    </a:solidFill>
                    <a:latin typeface="+mn-lt"/>
                  </a:rPr>
                  <a:t>Predicted  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Junction</a:t>
                </a:r>
                <a:r>
                  <a:rPr lang="en-US" sz="1200" b="1" baseline="0">
                    <a:solidFill>
                      <a:schemeClr val="tx1"/>
                    </a:solidFill>
                    <a:latin typeface="+mn-lt"/>
                  </a:rPr>
                  <a:t> Temperature 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 </a:t>
                </a:r>
                <a:r>
                  <a:rPr lang="en-US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(°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  <a:cs typeface="Times New Roman" panose="02020603050405020304" pitchFamily="18" charset="0"/>
                  </a:rPr>
                  <a:t>C</a:t>
                </a:r>
                <a:r>
                  <a:rPr lang="en-US" sz="1200" b="1">
                    <a:solidFill>
                      <a:schemeClr val="tx1"/>
                    </a:solidFill>
                    <a:latin typeface="+mn-lt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24992"/>
        <c:crosses val="autoZero"/>
        <c:crossBetween val="midCat"/>
      </c:valAx>
      <c:spPr>
        <a:noFill/>
        <a:ln>
          <a:solidFill>
            <a:schemeClr val="tx1">
              <a:alpha val="94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848515</xdr:colOff>
      <xdr:row>0</xdr:row>
      <xdr:rowOff>285749</xdr:rowOff>
    </xdr:from>
    <xdr:to>
      <xdr:col>12</xdr:col>
      <xdr:colOff>252080</xdr:colOff>
      <xdr:row>15</xdr:row>
      <xdr:rowOff>149342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1323" y="285749"/>
          <a:ext cx="3196714" cy="34039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20</xdr:row>
          <xdr:rowOff>133350</xdr:rowOff>
        </xdr:from>
        <xdr:to>
          <xdr:col>20</xdr:col>
          <xdr:colOff>314325</xdr:colOff>
          <xdr:row>43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841562</xdr:colOff>
      <xdr:row>75</xdr:row>
      <xdr:rowOff>19050</xdr:rowOff>
    </xdr:from>
    <xdr:to>
      <xdr:col>13</xdr:col>
      <xdr:colOff>564300</xdr:colOff>
      <xdr:row>88</xdr:row>
      <xdr:rowOff>167745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5012" y="16287750"/>
          <a:ext cx="5075788" cy="268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781050</xdr:colOff>
      <xdr:row>73</xdr:row>
      <xdr:rowOff>180975</xdr:rowOff>
    </xdr:from>
    <xdr:to>
      <xdr:col>14</xdr:col>
      <xdr:colOff>19050</xdr:colOff>
      <xdr:row>89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34500" y="16049625"/>
          <a:ext cx="5448300" cy="31242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50</xdr:row>
          <xdr:rowOff>19050</xdr:rowOff>
        </xdr:from>
        <xdr:to>
          <xdr:col>5</xdr:col>
          <xdr:colOff>466725</xdr:colOff>
          <xdr:row>53</xdr:row>
          <xdr:rowOff>47625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358140</xdr:colOff>
      <xdr:row>49</xdr:row>
      <xdr:rowOff>83820</xdr:rowOff>
    </xdr:from>
    <xdr:to>
      <xdr:col>25</xdr:col>
      <xdr:colOff>153924</xdr:colOff>
      <xdr:row>76</xdr:row>
      <xdr:rowOff>1524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457200</xdr:colOff>
      <xdr:row>49</xdr:row>
      <xdr:rowOff>91440</xdr:rowOff>
    </xdr:from>
    <xdr:to>
      <xdr:col>15</xdr:col>
      <xdr:colOff>229945</xdr:colOff>
      <xdr:row>76</xdr:row>
      <xdr:rowOff>5827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472440</xdr:colOff>
      <xdr:row>76</xdr:row>
      <xdr:rowOff>83820</xdr:rowOff>
    </xdr:from>
    <xdr:to>
      <xdr:col>15</xdr:col>
      <xdr:colOff>245185</xdr:colOff>
      <xdr:row>102</xdr:row>
      <xdr:rowOff>181087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365760</xdr:colOff>
      <xdr:row>76</xdr:row>
      <xdr:rowOff>91440</xdr:rowOff>
    </xdr:from>
    <xdr:to>
      <xdr:col>25</xdr:col>
      <xdr:colOff>161544</xdr:colOff>
      <xdr:row>103</xdr:row>
      <xdr:rowOff>9144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2</xdr:row>
      <xdr:rowOff>228601</xdr:rowOff>
    </xdr:from>
    <xdr:to>
      <xdr:col>15</xdr:col>
      <xdr:colOff>28575</xdr:colOff>
      <xdr:row>15</xdr:row>
      <xdr:rowOff>6645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809626"/>
          <a:ext cx="3657600" cy="29498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C104"/>
  <sheetViews>
    <sheetView tabSelected="1" zoomScaleNormal="100" workbookViewId="0">
      <selection activeCell="C4" sqref="C4"/>
    </sheetView>
  </sheetViews>
  <sheetFormatPr defaultColWidth="9.140625" defaultRowHeight="15" x14ac:dyDescent="0.25"/>
  <cols>
    <col min="1" max="1" width="23.140625" style="61" customWidth="1"/>
    <col min="2" max="4" width="12.7109375" style="56" customWidth="1"/>
    <col min="5" max="5" width="15.7109375" style="59" customWidth="1"/>
    <col min="6" max="6" width="51.28515625" style="56" customWidth="1"/>
    <col min="7" max="7" width="12.85546875" style="56" customWidth="1"/>
    <col min="8" max="8" width="10.42578125" style="156" customWidth="1"/>
    <col min="9" max="11" width="10.42578125" style="56" customWidth="1"/>
    <col min="12" max="14" width="12.85546875" style="56" customWidth="1"/>
    <col min="15" max="15" width="10.28515625" style="87" customWidth="1"/>
    <col min="16" max="16" width="10.28515625" style="135" customWidth="1"/>
    <col min="17" max="55" width="9.140625" style="88"/>
    <col min="56" max="16384" width="9.140625" style="57"/>
  </cols>
  <sheetData>
    <row r="1" spans="1:55" ht="24" customHeight="1" thickBot="1" x14ac:dyDescent="0.3">
      <c r="A1" s="427" t="s">
        <v>309</v>
      </c>
      <c r="B1" s="428"/>
      <c r="C1" s="428"/>
      <c r="D1" s="428"/>
      <c r="E1" s="428"/>
      <c r="F1" s="429"/>
      <c r="H1" s="145"/>
      <c r="I1" s="90"/>
      <c r="J1" s="90"/>
      <c r="K1" s="90"/>
      <c r="L1" s="90"/>
      <c r="M1" s="90"/>
      <c r="N1" s="90"/>
      <c r="O1" s="90"/>
      <c r="P1" s="90"/>
    </row>
    <row r="2" spans="1:55" ht="37.5" customHeight="1" thickBot="1" x14ac:dyDescent="0.3">
      <c r="A2" s="452" t="s">
        <v>189</v>
      </c>
      <c r="B2" s="453"/>
      <c r="C2" s="453"/>
      <c r="D2" s="453"/>
      <c r="E2" s="453"/>
      <c r="F2" s="454"/>
      <c r="H2" s="146"/>
      <c r="I2" s="91"/>
      <c r="J2" s="91"/>
      <c r="K2" s="91"/>
      <c r="L2" s="91"/>
      <c r="M2" s="91"/>
      <c r="N2" s="91"/>
      <c r="O2" s="91"/>
      <c r="P2" s="91"/>
    </row>
    <row r="3" spans="1:55" s="58" customFormat="1" ht="18" customHeight="1" thickBot="1" x14ac:dyDescent="0.35">
      <c r="A3" s="64" t="s">
        <v>67</v>
      </c>
      <c r="B3" s="203" t="s">
        <v>25</v>
      </c>
      <c r="C3" s="65" t="s">
        <v>26</v>
      </c>
      <c r="D3" s="65" t="s">
        <v>27</v>
      </c>
      <c r="E3" s="66" t="s">
        <v>28</v>
      </c>
      <c r="F3" s="67" t="s">
        <v>30</v>
      </c>
      <c r="G3" s="56"/>
      <c r="H3" s="147"/>
      <c r="I3" s="124"/>
      <c r="J3" s="92"/>
      <c r="K3" s="92"/>
      <c r="L3" s="92"/>
      <c r="M3" s="92"/>
      <c r="N3" s="92"/>
      <c r="O3" s="92"/>
      <c r="P3" s="124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55" ht="15.75" thickBot="1" x14ac:dyDescent="0.3">
      <c r="A4" s="13" t="s">
        <v>61</v>
      </c>
      <c r="B4" s="204">
        <v>10</v>
      </c>
      <c r="C4" s="205">
        <v>13.5</v>
      </c>
      <c r="D4" s="205">
        <v>18</v>
      </c>
      <c r="E4" s="9" t="s">
        <v>2</v>
      </c>
      <c r="F4" s="52" t="str">
        <f ca="1">IF(COUNTIF(Efficiency!Z5:Z48,"dropout")&lt;1,IF(B4&lt;Constants!B3,"Vin_min is lower than minimum VIN level",IF(D4&gt;Constants!D3,"Vin_max is higher than maximum VIN level","Steady-state input operating voltages")),"Circuit may operate in dropout condition")</f>
        <v>Steady-state input operating voltages</v>
      </c>
      <c r="H4" s="148"/>
      <c r="I4" s="111"/>
      <c r="J4" s="93"/>
      <c r="K4" s="93"/>
      <c r="L4" s="93"/>
      <c r="M4" s="93"/>
      <c r="N4" s="93"/>
      <c r="O4" s="93"/>
      <c r="P4" s="111"/>
    </row>
    <row r="5" spans="1:55" ht="15.75" thickBot="1" x14ac:dyDescent="0.3">
      <c r="A5" s="13" t="s">
        <v>191</v>
      </c>
      <c r="B5" s="206" t="s">
        <v>19</v>
      </c>
      <c r="C5" s="208">
        <v>0.7</v>
      </c>
      <c r="D5" s="209" t="s">
        <v>19</v>
      </c>
      <c r="E5" s="9" t="s">
        <v>10</v>
      </c>
      <c r="F5" s="53" t="str">
        <f ca="1">IF(COUNTIF(Efficiency!Z5:Z48,"TSD")&gt;0,"IC may overheat!","Desired output Current")</f>
        <v>Desired output Current</v>
      </c>
      <c r="H5" s="148"/>
      <c r="I5" s="111"/>
      <c r="J5" s="94"/>
      <c r="K5" s="94"/>
      <c r="L5" s="94"/>
      <c r="M5" s="94"/>
      <c r="N5" s="94"/>
      <c r="O5" s="94"/>
      <c r="P5" s="111"/>
    </row>
    <row r="6" spans="1:55" ht="15.75" thickBot="1" x14ac:dyDescent="0.3">
      <c r="A6" s="13" t="s">
        <v>192</v>
      </c>
      <c r="B6" s="10" t="s">
        <v>19</v>
      </c>
      <c r="C6" s="8">
        <v>2</v>
      </c>
      <c r="D6" s="210" t="s">
        <v>19</v>
      </c>
      <c r="E6" s="9" t="s">
        <v>19</v>
      </c>
      <c r="F6" s="53"/>
      <c r="H6" s="148"/>
      <c r="I6" s="111"/>
      <c r="J6" s="94"/>
      <c r="K6" s="94"/>
      <c r="L6" s="94"/>
      <c r="M6" s="94"/>
      <c r="N6" s="94"/>
      <c r="O6" s="94"/>
      <c r="P6" s="111"/>
    </row>
    <row r="7" spans="1:55" ht="15.75" thickBot="1" x14ac:dyDescent="0.3">
      <c r="A7" s="13" t="s">
        <v>193</v>
      </c>
      <c r="B7" s="10" t="s">
        <v>19</v>
      </c>
      <c r="C7" s="207">
        <v>3.05</v>
      </c>
      <c r="D7" s="2" t="s">
        <v>19</v>
      </c>
      <c r="E7" s="9" t="s">
        <v>2</v>
      </c>
      <c r="F7" s="53" t="s">
        <v>320</v>
      </c>
      <c r="H7" s="148"/>
      <c r="I7" s="111"/>
      <c r="J7" s="94"/>
      <c r="K7" s="94"/>
      <c r="L7" s="94"/>
      <c r="M7" s="94"/>
      <c r="N7" s="94"/>
      <c r="O7" s="94"/>
      <c r="P7" s="111"/>
    </row>
    <row r="8" spans="1:55" ht="15.75" thickBot="1" x14ac:dyDescent="0.3">
      <c r="A8" s="13" t="s">
        <v>225</v>
      </c>
      <c r="B8" s="10" t="s">
        <v>19</v>
      </c>
      <c r="C8" s="211">
        <v>0.9</v>
      </c>
      <c r="D8" s="212" t="s">
        <v>19</v>
      </c>
      <c r="E8" s="41" t="s">
        <v>44</v>
      </c>
      <c r="F8" s="53" t="s">
        <v>217</v>
      </c>
      <c r="H8" s="148"/>
      <c r="I8" s="111"/>
      <c r="J8" s="94"/>
      <c r="K8" s="94"/>
      <c r="L8" s="94"/>
      <c r="M8" s="94"/>
      <c r="N8" s="94"/>
      <c r="O8" s="94"/>
      <c r="P8" s="111"/>
    </row>
    <row r="9" spans="1:55" ht="15.75" thickBot="1" x14ac:dyDescent="0.3">
      <c r="A9" s="13" t="s">
        <v>194</v>
      </c>
      <c r="B9" s="215" t="s">
        <v>19</v>
      </c>
      <c r="C9" s="206">
        <v>1</v>
      </c>
      <c r="D9" s="214">
        <v>1.6</v>
      </c>
      <c r="E9" s="213" t="s">
        <v>21</v>
      </c>
      <c r="F9" s="53" t="s">
        <v>82</v>
      </c>
      <c r="H9" s="148"/>
      <c r="I9" s="111"/>
      <c r="J9" s="94"/>
      <c r="K9" s="94"/>
      <c r="L9" s="94"/>
      <c r="M9" s="94"/>
      <c r="N9" s="94"/>
      <c r="O9" s="94"/>
      <c r="P9" s="111"/>
    </row>
    <row r="10" spans="1:55" ht="15.75" thickBot="1" x14ac:dyDescent="0.3">
      <c r="A10" s="13" t="s">
        <v>68</v>
      </c>
      <c r="B10" s="214">
        <v>-20</v>
      </c>
      <c r="C10" s="217" t="s">
        <v>19</v>
      </c>
      <c r="D10" s="214">
        <v>20</v>
      </c>
      <c r="E10" s="213" t="s">
        <v>21</v>
      </c>
      <c r="F10" s="53" t="s">
        <v>38</v>
      </c>
      <c r="H10" s="148"/>
      <c r="I10" s="111"/>
      <c r="J10" s="94"/>
      <c r="K10" s="94"/>
      <c r="L10" s="94"/>
      <c r="M10" s="94"/>
      <c r="N10" s="94"/>
      <c r="O10" s="94"/>
      <c r="P10" s="111"/>
    </row>
    <row r="11" spans="1:55" ht="18.75" thickBot="1" x14ac:dyDescent="0.3">
      <c r="A11" s="44" t="s">
        <v>75</v>
      </c>
      <c r="B11" s="216" t="s">
        <v>19</v>
      </c>
      <c r="C11" s="219">
        <v>45</v>
      </c>
      <c r="D11" s="218" t="s">
        <v>19</v>
      </c>
      <c r="E11" s="160" t="s">
        <v>20</v>
      </c>
      <c r="F11" s="54" t="s">
        <v>143</v>
      </c>
      <c r="H11" s="150"/>
      <c r="I11" s="125"/>
      <c r="J11" s="96"/>
      <c r="K11" s="96"/>
      <c r="L11" s="96"/>
      <c r="M11" s="96"/>
      <c r="N11" s="96"/>
      <c r="O11" s="96"/>
      <c r="P11" s="125"/>
    </row>
    <row r="12" spans="1:55" ht="18.75" thickBot="1" x14ac:dyDescent="0.3">
      <c r="A12" s="227" t="s">
        <v>333</v>
      </c>
      <c r="B12" s="220" t="s">
        <v>19</v>
      </c>
      <c r="C12" s="221">
        <v>2</v>
      </c>
      <c r="D12" s="223" t="s">
        <v>19</v>
      </c>
      <c r="E12" s="11" t="s">
        <v>14</v>
      </c>
      <c r="F12" s="161" t="s">
        <v>197</v>
      </c>
      <c r="H12" s="150"/>
      <c r="I12" s="125"/>
      <c r="J12" s="96"/>
      <c r="K12" s="96"/>
      <c r="L12" s="96"/>
      <c r="M12" s="96"/>
      <c r="N12" s="96"/>
      <c r="O12" s="96"/>
      <c r="P12" s="125"/>
    </row>
    <row r="13" spans="1:55" ht="18.75" thickBot="1" x14ac:dyDescent="0.3">
      <c r="A13" s="159" t="s">
        <v>58</v>
      </c>
      <c r="B13" s="162" t="s">
        <v>19</v>
      </c>
      <c r="C13" s="222" t="s">
        <v>19</v>
      </c>
      <c r="D13" s="224">
        <v>85</v>
      </c>
      <c r="E13" s="14" t="s">
        <v>57</v>
      </c>
      <c r="F13" s="55" t="s">
        <v>86</v>
      </c>
      <c r="H13" s="149"/>
      <c r="I13" s="112"/>
      <c r="J13" s="95"/>
      <c r="K13" s="95"/>
      <c r="L13" s="95"/>
      <c r="M13" s="95"/>
      <c r="N13" s="95"/>
      <c r="O13" s="95"/>
      <c r="P13" s="112"/>
    </row>
    <row r="14" spans="1:55" ht="18" customHeight="1" thickBot="1" x14ac:dyDescent="0.3">
      <c r="A14" s="459" t="s">
        <v>137</v>
      </c>
      <c r="B14" s="460"/>
      <c r="C14" s="461"/>
      <c r="D14" s="225" t="s">
        <v>28</v>
      </c>
      <c r="E14" s="462" t="s">
        <v>30</v>
      </c>
      <c r="F14" s="463"/>
      <c r="H14" s="151"/>
      <c r="I14" s="108"/>
      <c r="J14" s="97"/>
      <c r="K14" s="97"/>
      <c r="L14" s="97"/>
      <c r="M14" s="97"/>
      <c r="N14" s="97"/>
      <c r="O14" s="97"/>
      <c r="P14" s="108"/>
    </row>
    <row r="15" spans="1:55" ht="15.75" thickBot="1" x14ac:dyDescent="0.3">
      <c r="A15" s="31" t="s">
        <v>198</v>
      </c>
      <c r="B15" s="45">
        <v>0.35</v>
      </c>
      <c r="C15" s="63">
        <v>0.42</v>
      </c>
      <c r="D15" s="36" t="s">
        <v>130</v>
      </c>
      <c r="E15" s="198" t="s">
        <v>199</v>
      </c>
      <c r="F15" s="197"/>
      <c r="H15" s="149"/>
      <c r="I15" s="112"/>
      <c r="J15" s="95"/>
      <c r="K15" s="95"/>
      <c r="L15" s="95"/>
      <c r="M15" s="95"/>
      <c r="N15" s="95"/>
      <c r="O15" s="95"/>
      <c r="P15" s="112"/>
    </row>
    <row r="16" spans="1:55" ht="15.75" thickBot="1" x14ac:dyDescent="0.3">
      <c r="A16" s="31" t="s">
        <v>155</v>
      </c>
      <c r="B16" s="455">
        <v>-1</v>
      </c>
      <c r="C16" s="456"/>
      <c r="D16" s="36" t="s">
        <v>131</v>
      </c>
      <c r="E16" s="464" t="s">
        <v>286</v>
      </c>
      <c r="F16" s="465"/>
      <c r="H16" s="149"/>
      <c r="M16" s="60"/>
      <c r="N16" s="60"/>
      <c r="O16" s="60"/>
      <c r="P16" s="110"/>
    </row>
    <row r="17" spans="1:55" ht="18.75" thickBot="1" x14ac:dyDescent="0.3">
      <c r="A17" s="44" t="s">
        <v>156</v>
      </c>
      <c r="B17" s="457">
        <v>55</v>
      </c>
      <c r="C17" s="458"/>
      <c r="D17" s="11" t="s">
        <v>20</v>
      </c>
      <c r="E17" s="201" t="s">
        <v>157</v>
      </c>
      <c r="F17" s="43"/>
      <c r="H17" s="152"/>
      <c r="I17" s="433" t="s">
        <v>184</v>
      </c>
      <c r="J17" s="433"/>
      <c r="K17" s="433"/>
      <c r="L17" s="433"/>
      <c r="O17" s="98"/>
      <c r="P17" s="126"/>
    </row>
    <row r="18" spans="1:55" s="58" customFormat="1" ht="32.25" customHeight="1" thickBot="1" x14ac:dyDescent="0.35">
      <c r="A18" s="469" t="s">
        <v>263</v>
      </c>
      <c r="B18" s="470"/>
      <c r="C18" s="470"/>
      <c r="D18" s="470"/>
      <c r="E18" s="470"/>
      <c r="F18" s="471"/>
      <c r="G18" s="56"/>
      <c r="H18" s="143"/>
      <c r="I18" s="99"/>
      <c r="J18" s="99"/>
      <c r="K18" s="99"/>
      <c r="L18" s="99"/>
      <c r="M18" s="99"/>
      <c r="N18" s="99"/>
      <c r="O18" s="99"/>
      <c r="P18" s="9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</row>
    <row r="19" spans="1:55" ht="18.75" x14ac:dyDescent="0.25">
      <c r="A19" s="101" t="s">
        <v>24</v>
      </c>
      <c r="B19" s="193" t="s">
        <v>23</v>
      </c>
      <c r="C19" s="193" t="s">
        <v>28</v>
      </c>
      <c r="D19" s="446" t="s">
        <v>30</v>
      </c>
      <c r="E19" s="447"/>
      <c r="F19" s="448"/>
      <c r="H19" s="142"/>
      <c r="I19" s="109"/>
      <c r="J19" s="113"/>
      <c r="K19" s="113"/>
      <c r="M19" s="113"/>
      <c r="N19" s="113"/>
      <c r="O19" s="113"/>
      <c r="P19" s="109"/>
    </row>
    <row r="20" spans="1:55" ht="15.75" x14ac:dyDescent="0.25">
      <c r="A20" s="466" t="s">
        <v>264</v>
      </c>
      <c r="B20" s="467"/>
      <c r="C20" s="467"/>
      <c r="D20" s="467"/>
      <c r="E20" s="467"/>
      <c r="F20" s="468"/>
      <c r="H20" s="153"/>
      <c r="I20" s="127"/>
      <c r="J20" s="114"/>
      <c r="K20" s="114"/>
      <c r="L20" s="114"/>
      <c r="M20" s="114"/>
      <c r="N20" s="114"/>
      <c r="O20" s="114"/>
      <c r="P20" s="128"/>
    </row>
    <row r="21" spans="1:55" ht="16.5" thickBot="1" x14ac:dyDescent="0.3">
      <c r="A21" s="169" t="s">
        <v>257</v>
      </c>
      <c r="B21" s="19">
        <f>(Constants!C4)/(Design!C5)</f>
        <v>0.28571428571428575</v>
      </c>
      <c r="C21" s="49" t="s">
        <v>44</v>
      </c>
      <c r="D21" s="194" t="s">
        <v>287</v>
      </c>
      <c r="E21" s="3"/>
      <c r="F21" s="102"/>
      <c r="H21" s="144"/>
      <c r="I21" s="127"/>
      <c r="J21" s="114"/>
      <c r="K21" s="114"/>
      <c r="L21" s="114"/>
      <c r="M21" s="114"/>
      <c r="N21" s="114"/>
      <c r="O21" s="114"/>
      <c r="P21" s="128"/>
    </row>
    <row r="22" spans="1:55" ht="16.5" thickBot="1" x14ac:dyDescent="0.3">
      <c r="A22" s="228" t="s">
        <v>256</v>
      </c>
      <c r="B22" s="47">
        <v>0.28599999999999998</v>
      </c>
      <c r="C22" s="22" t="s">
        <v>44</v>
      </c>
      <c r="D22" s="194" t="s">
        <v>288</v>
      </c>
      <c r="E22" s="3"/>
      <c r="F22" s="102"/>
      <c r="H22" s="152"/>
      <c r="I22" s="127"/>
      <c r="J22" s="114"/>
      <c r="K22" s="114"/>
      <c r="L22" s="114"/>
      <c r="M22" s="114"/>
      <c r="N22" s="114"/>
      <c r="O22" s="114"/>
      <c r="P22" s="128"/>
    </row>
    <row r="23" spans="1:55" ht="16.5" thickBot="1" x14ac:dyDescent="0.3">
      <c r="A23" s="103"/>
      <c r="B23" s="25"/>
      <c r="C23" s="104"/>
      <c r="D23" s="105"/>
      <c r="E23" s="106"/>
      <c r="F23" s="107"/>
      <c r="H23" s="152"/>
      <c r="I23" s="109"/>
      <c r="J23" s="113"/>
      <c r="K23" s="113"/>
      <c r="L23" s="113"/>
      <c r="M23" s="113"/>
      <c r="N23" s="113"/>
      <c r="O23" s="113"/>
      <c r="P23" s="109"/>
    </row>
    <row r="24" spans="1:55" ht="15.75" x14ac:dyDescent="0.25">
      <c r="A24" s="430" t="s">
        <v>195</v>
      </c>
      <c r="B24" s="431"/>
      <c r="C24" s="431"/>
      <c r="D24" s="431"/>
      <c r="E24" s="431"/>
      <c r="F24" s="432"/>
      <c r="H24" s="153"/>
      <c r="I24" s="128"/>
      <c r="J24" s="114"/>
      <c r="K24" s="114"/>
      <c r="L24" s="114"/>
      <c r="M24" s="114"/>
      <c r="N24" s="114"/>
      <c r="O24" s="114"/>
      <c r="P24" s="128"/>
    </row>
    <row r="25" spans="1:55" ht="15.75" customHeight="1" x14ac:dyDescent="0.25">
      <c r="A25" s="169" t="s">
        <v>196</v>
      </c>
      <c r="B25" s="42">
        <f>Constants!B4/(RFB_1*(1+C9/100))</f>
        <v>0.66468185280066472</v>
      </c>
      <c r="C25" s="42">
        <f>Constants!C4/RFB_1</f>
        <v>0.69930069930069938</v>
      </c>
      <c r="D25" s="42">
        <f>Constants!D4/(RFB_1*(1-C9/100))</f>
        <v>0.73461891643709831</v>
      </c>
      <c r="E25" s="194" t="s">
        <v>80</v>
      </c>
      <c r="F25" s="102"/>
      <c r="H25" s="152"/>
      <c r="I25" s="129"/>
      <c r="J25" s="115"/>
      <c r="K25" s="115"/>
      <c r="L25" s="115"/>
      <c r="M25" s="115"/>
      <c r="N25" s="115"/>
      <c r="O25" s="115"/>
      <c r="P25" s="129"/>
    </row>
    <row r="26" spans="1:55" ht="15.75" customHeight="1" x14ac:dyDescent="0.25">
      <c r="A26" s="169" t="s">
        <v>308</v>
      </c>
      <c r="B26" s="42" t="s">
        <v>19</v>
      </c>
      <c r="C26" s="42">
        <f>C6*C7+V_cs</f>
        <v>6.3</v>
      </c>
      <c r="D26" s="42" t="s">
        <v>19</v>
      </c>
      <c r="E26" s="194"/>
      <c r="F26" s="102"/>
      <c r="H26" s="152"/>
      <c r="I26" s="129"/>
      <c r="J26" s="115"/>
      <c r="K26" s="115"/>
      <c r="L26" s="115"/>
      <c r="M26" s="115"/>
      <c r="N26" s="115"/>
      <c r="O26" s="115"/>
      <c r="P26" s="129"/>
    </row>
    <row r="27" spans="1:55" ht="15.75" customHeight="1" thickBot="1" x14ac:dyDescent="0.3">
      <c r="A27" s="169" t="s">
        <v>135</v>
      </c>
      <c r="B27" s="165">
        <f ca="1">MIN(Efficiency!D6:D25)</f>
        <v>0.37338372781804174</v>
      </c>
      <c r="C27" s="165">
        <f ca="1">Efficiency!D26</f>
        <v>0.4950674905179242</v>
      </c>
      <c r="D27" s="165">
        <f ca="1">MAX(Efficiency!D6:D24)</f>
        <v>0.66319934809175851</v>
      </c>
      <c r="E27" s="194" t="s">
        <v>136</v>
      </c>
      <c r="F27" s="229"/>
      <c r="H27" s="154"/>
      <c r="I27" s="109"/>
      <c r="J27" s="113"/>
      <c r="K27" s="113"/>
      <c r="L27" s="113"/>
      <c r="M27" s="113"/>
      <c r="N27" s="296"/>
      <c r="O27" s="113"/>
      <c r="P27" s="109"/>
    </row>
    <row r="28" spans="1:55" ht="15.75" x14ac:dyDescent="0.25">
      <c r="A28" s="430" t="s">
        <v>69</v>
      </c>
      <c r="B28" s="431"/>
      <c r="C28" s="431"/>
      <c r="D28" s="431"/>
      <c r="E28" s="431"/>
      <c r="F28" s="432"/>
      <c r="H28" s="153"/>
      <c r="I28" s="130"/>
      <c r="J28" s="116"/>
      <c r="K28" s="116"/>
      <c r="L28" s="116"/>
      <c r="M28" s="116"/>
      <c r="N28" s="116"/>
      <c r="O28" s="116"/>
      <c r="P28" s="130"/>
    </row>
    <row r="29" spans="1:55" ht="15.75" x14ac:dyDescent="0.25">
      <c r="A29" s="169" t="s">
        <v>175</v>
      </c>
      <c r="B29" s="19">
        <f ca="1">MIN($B$27/Constants!D$19/0.000000001/1000000, Constants!D16)</f>
        <v>2.5</v>
      </c>
      <c r="C29" s="3" t="s">
        <v>14</v>
      </c>
      <c r="D29" s="437" t="s">
        <v>104</v>
      </c>
      <c r="E29" s="438"/>
      <c r="F29" s="439"/>
      <c r="H29" s="148"/>
      <c r="I29" s="131"/>
      <c r="J29" s="117"/>
      <c r="K29" s="117"/>
      <c r="L29" s="117"/>
      <c r="M29" s="117"/>
      <c r="N29" s="117"/>
      <c r="O29" s="117"/>
      <c r="P29" s="131"/>
    </row>
    <row r="30" spans="1:55" ht="15.75" x14ac:dyDescent="0.25">
      <c r="A30" s="169" t="s">
        <v>174</v>
      </c>
      <c r="B30" s="4">
        <f>C12</f>
        <v>2</v>
      </c>
      <c r="C30" s="3" t="s">
        <v>14</v>
      </c>
      <c r="D30" s="199" t="s">
        <v>200</v>
      </c>
      <c r="E30" s="434" t="str">
        <f ca="1">IF(D27&gt;B34," See the DROPOUT tab for operation approaching Vin_min "," ")</f>
        <v xml:space="preserve"> </v>
      </c>
      <c r="F30" s="435"/>
      <c r="H30" s="155"/>
      <c r="I30" s="130"/>
      <c r="J30" s="116"/>
      <c r="K30" s="116"/>
      <c r="L30" s="116"/>
      <c r="M30" s="116"/>
      <c r="N30" s="116"/>
      <c r="O30" s="116"/>
      <c r="P30" s="130"/>
    </row>
    <row r="31" spans="1:55" ht="18" x14ac:dyDescent="0.35">
      <c r="A31" s="228" t="s">
        <v>334</v>
      </c>
      <c r="B31" s="426">
        <f>(IF((10^(LOG(16.256*fsw^(-1.025))-INT(LOG(16.256*fsw^(-1.025))))*100)-VLOOKUP((10^(LOG(16.256*fsw^(-1.025))-INT(LOG(16.256*fsw^(-1.025))))*100),E96_s:E96_f,1)&lt;VLOOKUP((10^(LOG(16.256*fsw^(-1.025))-INT(LOG(16.256*fsw^(-1.025))))*100),E96_s:E96_f,2)-(10^(LOG(16.256*fsw^(-1.025))-INT(LOG(16.256*fsw^(-1.025))))*100),VLOOKUP((10^(LOG(16.256*fsw^(-1.025))-INT(LOG(16.256*fsw^(-1.025))))*100),E96_s:E96_f,1),VLOOKUP((10^(LOG(16.256*fsw^(-1.025))-INT(LOG(16.256*fsw^(-1.025))))*100),E96_s:E96_f,2)))*10^INT(LOG(16.256*fsw^(-1.025)))/100</f>
        <v>8.06</v>
      </c>
      <c r="C31" s="257" t="s">
        <v>335</v>
      </c>
      <c r="D31" s="437" t="s">
        <v>290</v>
      </c>
      <c r="E31" s="438"/>
      <c r="F31" s="439"/>
      <c r="H31" s="144"/>
      <c r="I31" s="130"/>
      <c r="J31" s="116"/>
      <c r="K31" s="116"/>
      <c r="L31" s="116"/>
      <c r="M31" s="116"/>
      <c r="N31" s="116"/>
      <c r="O31" s="116"/>
      <c r="P31" s="130"/>
    </row>
    <row r="32" spans="1:55" ht="15.75" x14ac:dyDescent="0.25">
      <c r="A32" s="169" t="s">
        <v>213</v>
      </c>
      <c r="B32" s="25">
        <f>1000*1/fsw</f>
        <v>500</v>
      </c>
      <c r="C32" s="25" t="s">
        <v>4</v>
      </c>
      <c r="D32" s="256" t="s">
        <v>321</v>
      </c>
      <c r="E32" s="195"/>
      <c r="F32" s="196"/>
      <c r="H32" s="144"/>
      <c r="I32" s="130"/>
      <c r="J32" s="116"/>
      <c r="K32" s="116"/>
      <c r="L32" s="116"/>
      <c r="M32" s="116"/>
      <c r="N32" s="116"/>
      <c r="O32" s="136"/>
      <c r="P32" s="130"/>
    </row>
    <row r="33" spans="1:16" ht="15.75" customHeight="1" x14ac:dyDescent="0.35">
      <c r="A33" s="169" t="s">
        <v>134</v>
      </c>
      <c r="B33" s="163">
        <f>fsw*mega*Constants!C19*nano</f>
        <v>0.16</v>
      </c>
      <c r="C33" s="163">
        <f>fsw*mega*Constants!D19*nano</f>
        <v>0.2</v>
      </c>
      <c r="D33" s="437" t="s">
        <v>158</v>
      </c>
      <c r="E33" s="438"/>
      <c r="F33" s="439"/>
      <c r="H33" s="148"/>
      <c r="I33" s="130"/>
      <c r="J33" s="116"/>
      <c r="K33" s="116"/>
      <c r="L33" s="116"/>
      <c r="M33" s="116"/>
      <c r="N33" s="116"/>
      <c r="O33" s="123"/>
      <c r="P33" s="130"/>
    </row>
    <row r="34" spans="1:16" ht="18.75" thickBot="1" x14ac:dyDescent="0.4">
      <c r="A34" s="169" t="s">
        <v>133</v>
      </c>
      <c r="B34" s="164">
        <f>(Tsw-Min_tOFF_typ)/Tsw</f>
        <v>0.8</v>
      </c>
      <c r="C34" s="25" t="s">
        <v>19</v>
      </c>
      <c r="D34" s="437" t="s">
        <v>159</v>
      </c>
      <c r="E34" s="438"/>
      <c r="F34" s="439"/>
      <c r="H34" s="148"/>
      <c r="I34" s="130"/>
      <c r="J34" s="119"/>
      <c r="K34" s="113"/>
      <c r="L34" s="113"/>
      <c r="M34" s="113"/>
      <c r="N34" s="113"/>
      <c r="O34" s="113"/>
      <c r="P34" s="109"/>
    </row>
    <row r="35" spans="1:16" ht="15.75" x14ac:dyDescent="0.25">
      <c r="A35" s="430" t="s">
        <v>73</v>
      </c>
      <c r="B35" s="431"/>
      <c r="C35" s="431"/>
      <c r="D35" s="431"/>
      <c r="E35" s="431"/>
      <c r="F35" s="432"/>
      <c r="H35" s="153"/>
      <c r="I35" s="130"/>
      <c r="J35" s="116"/>
      <c r="K35" s="116"/>
      <c r="L35" s="116"/>
      <c r="M35" s="116"/>
      <c r="N35" s="116"/>
      <c r="O35" s="116"/>
      <c r="P35" s="130"/>
    </row>
    <row r="36" spans="1:16" ht="15.75" x14ac:dyDescent="0.25">
      <c r="A36" s="169" t="s">
        <v>166</v>
      </c>
      <c r="B36" s="4">
        <f>Se_2MHz*(1/(2*mega)-0.0000001)/(1/(fsw*mega)-0.0000001)</f>
        <v>3.1</v>
      </c>
      <c r="C36" s="3" t="s">
        <v>204</v>
      </c>
      <c r="D36" s="437" t="s">
        <v>203</v>
      </c>
      <c r="E36" s="438"/>
      <c r="F36" s="439"/>
      <c r="H36" s="153"/>
      <c r="I36" s="130"/>
      <c r="J36" s="116"/>
      <c r="K36" s="116"/>
      <c r="L36" s="116"/>
      <c r="M36" s="116"/>
      <c r="N36" s="116"/>
      <c r="O36" s="116"/>
      <c r="P36" s="130"/>
    </row>
    <row r="37" spans="1:16" ht="15.75" x14ac:dyDescent="0.25">
      <c r="A37" s="169" t="s">
        <v>205</v>
      </c>
      <c r="B37" s="4">
        <f>(MAX(VOUT/(2*Se_p),VOUT*(1-B33)/(2*IOUT*fsw)))/(1+B10/100)</f>
        <v>2.3624999999999998</v>
      </c>
      <c r="C37" s="3" t="s">
        <v>41</v>
      </c>
      <c r="D37" s="194" t="s">
        <v>289</v>
      </c>
      <c r="E37" s="195"/>
      <c r="F37" s="196"/>
      <c r="H37" s="153"/>
      <c r="I37" s="130"/>
      <c r="J37" s="116"/>
      <c r="K37" s="116"/>
      <c r="L37" s="116"/>
      <c r="M37" s="116"/>
      <c r="N37" s="116"/>
      <c r="O37" s="116"/>
      <c r="P37" s="130"/>
    </row>
    <row r="38" spans="1:16" ht="15.75" x14ac:dyDescent="0.25">
      <c r="A38" s="169" t="s">
        <v>206</v>
      </c>
      <c r="B38" s="4">
        <f>2.5*VOUT/(Se_p)</f>
        <v>5.0806451612903221</v>
      </c>
      <c r="C38" s="3" t="s">
        <v>41</v>
      </c>
      <c r="D38" s="194" t="s">
        <v>322</v>
      </c>
      <c r="E38" s="195"/>
      <c r="F38" s="196"/>
      <c r="H38" s="153"/>
      <c r="I38" s="130"/>
      <c r="J38" s="116"/>
      <c r="K38" s="116"/>
      <c r="L38" s="116"/>
      <c r="M38" s="116"/>
      <c r="N38" s="116"/>
      <c r="O38" s="116"/>
      <c r="P38" s="130"/>
    </row>
    <row r="39" spans="1:16" ht="16.5" thickBot="1" x14ac:dyDescent="0.3">
      <c r="A39" s="169" t="s">
        <v>87</v>
      </c>
      <c r="B39" s="4">
        <f>VOUT/Se_p*(1-0.18/D_max)</f>
        <v>1.575</v>
      </c>
      <c r="C39" s="3" t="s">
        <v>41</v>
      </c>
      <c r="D39" s="437" t="s">
        <v>266</v>
      </c>
      <c r="E39" s="438"/>
      <c r="F39" s="439"/>
      <c r="H39" s="148"/>
      <c r="I39" s="130"/>
      <c r="J39" s="116"/>
      <c r="K39" s="120"/>
      <c r="L39" s="116"/>
      <c r="M39" s="116"/>
      <c r="N39" s="116"/>
      <c r="O39" s="116"/>
      <c r="P39" s="130"/>
    </row>
    <row r="40" spans="1:16" ht="16.5" thickBot="1" x14ac:dyDescent="0.3">
      <c r="A40" s="228" t="s">
        <v>31</v>
      </c>
      <c r="B40" s="47">
        <v>3.3</v>
      </c>
      <c r="C40" s="257" t="s">
        <v>100</v>
      </c>
      <c r="D40" s="437" t="s">
        <v>91</v>
      </c>
      <c r="E40" s="438"/>
      <c r="F40" s="439"/>
      <c r="H40" s="148"/>
      <c r="I40" s="130"/>
      <c r="J40" s="118"/>
      <c r="K40" s="116"/>
      <c r="L40" s="122"/>
      <c r="M40" s="116"/>
      <c r="N40" s="116"/>
      <c r="O40" s="116"/>
      <c r="P40" s="130"/>
    </row>
    <row r="41" spans="1:16" ht="18.75" thickBot="1" x14ac:dyDescent="0.4">
      <c r="A41" s="228" t="s">
        <v>310</v>
      </c>
      <c r="B41" s="327">
        <v>22.36</v>
      </c>
      <c r="C41" s="257" t="s">
        <v>311</v>
      </c>
      <c r="D41" s="449" t="s">
        <v>106</v>
      </c>
      <c r="E41" s="450"/>
      <c r="F41" s="451"/>
      <c r="H41" s="148"/>
      <c r="I41" s="130"/>
      <c r="J41" s="116"/>
      <c r="K41" s="116"/>
      <c r="L41" s="116"/>
      <c r="M41" s="116"/>
      <c r="N41" s="116"/>
      <c r="O41" s="116"/>
      <c r="P41" s="130"/>
    </row>
    <row r="42" spans="1:16" ht="18" x14ac:dyDescent="0.35">
      <c r="A42" s="169" t="s">
        <v>35</v>
      </c>
      <c r="B42" s="4">
        <f ca="1">(Vin_nom-VOUT)/(Lout*micro)*$C$27*Tsw*nano</f>
        <v>0.54007362601955378</v>
      </c>
      <c r="C42" s="3" t="s">
        <v>39</v>
      </c>
      <c r="D42" s="437" t="s">
        <v>214</v>
      </c>
      <c r="E42" s="438"/>
      <c r="F42" s="439"/>
      <c r="H42" s="148"/>
      <c r="I42" s="130"/>
      <c r="J42" s="116"/>
      <c r="K42" s="116"/>
      <c r="L42" s="116"/>
      <c r="M42" s="116"/>
      <c r="N42" s="116"/>
      <c r="O42" s="116"/>
      <c r="P42" s="130"/>
    </row>
    <row r="43" spans="1:16" ht="15.75" customHeight="1" x14ac:dyDescent="0.35">
      <c r="A43" s="169" t="s">
        <v>34</v>
      </c>
      <c r="B43" s="4">
        <f ca="1">VOUT/((1+B10/100)*Lout*micro)*(1-Design!B27)/((1+Constants!B17/100)*(1-Constants!C18/100)*fsw*mega)</f>
        <v>0.87446449467179177</v>
      </c>
      <c r="C43" s="3" t="s">
        <v>39</v>
      </c>
      <c r="D43" s="437" t="s">
        <v>74</v>
      </c>
      <c r="E43" s="438"/>
      <c r="F43" s="439"/>
      <c r="H43" s="148"/>
      <c r="I43" s="130"/>
      <c r="J43" s="121"/>
      <c r="K43" s="121"/>
      <c r="L43" s="121"/>
      <c r="M43" s="121"/>
      <c r="N43" s="121"/>
      <c r="O43" s="121"/>
      <c r="P43" s="132"/>
    </row>
    <row r="44" spans="1:16" ht="15.75" customHeight="1" x14ac:dyDescent="0.35">
      <c r="A44" s="169" t="s">
        <v>265</v>
      </c>
      <c r="B44" s="4">
        <f ca="1">B25-B43/2</f>
        <v>0.22744960546476883</v>
      </c>
      <c r="C44" s="3" t="s">
        <v>267</v>
      </c>
      <c r="D44" s="253" t="s">
        <v>323</v>
      </c>
      <c r="E44" s="254"/>
      <c r="F44" s="255"/>
      <c r="H44" s="148"/>
      <c r="I44" s="130"/>
      <c r="J44" s="121"/>
      <c r="K44" s="121"/>
      <c r="L44" s="121"/>
      <c r="M44" s="121"/>
      <c r="N44" s="121"/>
      <c r="O44" s="121"/>
      <c r="P44" s="132"/>
    </row>
    <row r="45" spans="1:16" ht="15.75" customHeight="1" x14ac:dyDescent="0.35">
      <c r="A45" s="169" t="s">
        <v>95</v>
      </c>
      <c r="B45" s="4">
        <f ca="1">IOUT+B43/2</f>
        <v>1.1372322473358958</v>
      </c>
      <c r="C45" s="3" t="s">
        <v>40</v>
      </c>
      <c r="D45" s="437" t="s">
        <v>81</v>
      </c>
      <c r="E45" s="438"/>
      <c r="F45" s="439"/>
      <c r="H45" s="148"/>
      <c r="I45" s="132"/>
      <c r="J45" s="100"/>
      <c r="K45" s="436" t="s">
        <v>183</v>
      </c>
      <c r="L45" s="436"/>
      <c r="M45" s="436"/>
      <c r="N45" s="436"/>
      <c r="O45" s="100"/>
      <c r="P45" s="109"/>
    </row>
    <row r="46" spans="1:16" ht="15.75" customHeight="1" thickBot="1" x14ac:dyDescent="0.3">
      <c r="A46" s="230" t="s">
        <v>79</v>
      </c>
      <c r="B46" s="231">
        <f ca="1">Constants!C30+Constants!C29*B27-B45</f>
        <v>3.8117098851492326</v>
      </c>
      <c r="C46" s="232" t="s">
        <v>10</v>
      </c>
      <c r="D46" s="472" t="s">
        <v>88</v>
      </c>
      <c r="E46" s="473"/>
      <c r="F46" s="474"/>
      <c r="H46" s="149"/>
      <c r="I46" s="109"/>
      <c r="J46" s="95"/>
      <c r="K46" s="95"/>
      <c r="L46" s="95"/>
      <c r="M46" s="95"/>
      <c r="N46" s="95"/>
      <c r="O46" s="95"/>
      <c r="P46" s="112"/>
    </row>
    <row r="47" spans="1:16" ht="16.5" thickBot="1" x14ac:dyDescent="0.3">
      <c r="A47" s="430" t="s">
        <v>70</v>
      </c>
      <c r="B47" s="431"/>
      <c r="C47" s="431"/>
      <c r="D47" s="431"/>
      <c r="E47" s="431"/>
      <c r="F47" s="432"/>
      <c r="H47" s="153"/>
      <c r="I47" s="133">
        <f>-0.000003*Vreg^4 + 0.000383*Vreg^3 - 0.015135*Vreg^2 + 0.018088*Vreg + 9.964811</f>
        <v>9.9701888693840406</v>
      </c>
      <c r="J47" s="95"/>
      <c r="K47" s="95"/>
      <c r="L47" s="95"/>
      <c r="M47" s="95"/>
      <c r="N47" s="95"/>
      <c r="O47" s="95"/>
      <c r="P47" s="112"/>
    </row>
    <row r="48" spans="1:16" ht="15.75" thickBot="1" x14ac:dyDescent="0.3">
      <c r="A48" s="316" t="s">
        <v>268</v>
      </c>
      <c r="B48" s="325">
        <v>50</v>
      </c>
      <c r="C48" s="22" t="s">
        <v>220</v>
      </c>
      <c r="D48" s="443" t="s">
        <v>272</v>
      </c>
      <c r="E48" s="444"/>
      <c r="F48" s="445"/>
      <c r="I48" s="137"/>
      <c r="J48" s="95"/>
      <c r="K48" s="95"/>
      <c r="L48" s="95"/>
      <c r="M48" s="95"/>
      <c r="N48" s="95"/>
      <c r="O48" s="95"/>
      <c r="P48" s="112"/>
    </row>
    <row r="49" spans="1:16" ht="15.75" thickBot="1" x14ac:dyDescent="0.3">
      <c r="A49" s="168" t="s">
        <v>224</v>
      </c>
      <c r="B49" s="20">
        <f ca="1">ΔILo_typ/(8*fsw*B48*milli*C8*C6)</f>
        <v>0.37505112918024563</v>
      </c>
      <c r="C49" s="26" t="s">
        <v>66</v>
      </c>
      <c r="D49" s="199" t="s">
        <v>269</v>
      </c>
      <c r="E49" s="200"/>
      <c r="F49" s="166"/>
      <c r="I49" s="137"/>
      <c r="J49" s="95"/>
      <c r="K49" s="95"/>
      <c r="L49" s="95"/>
      <c r="M49" s="95"/>
      <c r="N49" s="95"/>
      <c r="O49" s="95"/>
      <c r="P49" s="112"/>
    </row>
    <row r="50" spans="1:16" ht="15.75" thickBot="1" x14ac:dyDescent="0.3">
      <c r="A50" s="316" t="s">
        <v>172</v>
      </c>
      <c r="B50" s="326">
        <v>1</v>
      </c>
      <c r="C50" s="21" t="s">
        <v>101</v>
      </c>
      <c r="D50" s="443" t="s">
        <v>270</v>
      </c>
      <c r="E50" s="444"/>
      <c r="F50" s="445"/>
      <c r="I50" s="134">
        <f xml:space="preserve"> IF(ISBLANK(B51),3,B51)</f>
        <v>3</v>
      </c>
      <c r="J50" s="95"/>
      <c r="K50" s="95"/>
      <c r="L50" s="95"/>
      <c r="M50" s="95"/>
      <c r="N50" s="95"/>
      <c r="O50" s="95"/>
      <c r="P50" s="112"/>
    </row>
    <row r="51" spans="1:16" ht="15.75" thickBot="1" x14ac:dyDescent="0.3">
      <c r="A51" s="316" t="s">
        <v>171</v>
      </c>
      <c r="B51" s="325">
        <v>3</v>
      </c>
      <c r="C51" s="22" t="s">
        <v>173</v>
      </c>
      <c r="D51" s="443" t="s">
        <v>324</v>
      </c>
      <c r="E51" s="444"/>
      <c r="F51" s="445"/>
      <c r="I51" s="112"/>
      <c r="J51" s="93"/>
      <c r="K51" s="93"/>
      <c r="L51" s="93"/>
      <c r="M51" s="93"/>
      <c r="N51" s="93"/>
      <c r="O51" s="93"/>
      <c r="P51" s="111"/>
    </row>
    <row r="52" spans="1:16" x14ac:dyDescent="0.25">
      <c r="A52" s="168" t="s">
        <v>218</v>
      </c>
      <c r="B52" s="50">
        <f ca="1">B42*B51+B42/(8*fsw*mega*Cout*nano)</f>
        <v>35.374822504280772</v>
      </c>
      <c r="C52" s="167" t="s">
        <v>17</v>
      </c>
      <c r="D52" s="199" t="s">
        <v>271</v>
      </c>
      <c r="E52" s="200"/>
      <c r="F52" s="166"/>
      <c r="I52" s="112"/>
      <c r="J52" s="93"/>
      <c r="K52" s="93"/>
      <c r="L52" s="93"/>
      <c r="M52" s="93"/>
      <c r="N52" s="93"/>
      <c r="O52" s="93"/>
      <c r="P52" s="111"/>
    </row>
    <row r="53" spans="1:16" ht="15.75" thickBot="1" x14ac:dyDescent="0.3">
      <c r="A53" s="230" t="s">
        <v>219</v>
      </c>
      <c r="B53" s="233">
        <f ca="1">B52/(RLED*C6)</f>
        <v>19.652679169044873</v>
      </c>
      <c r="C53" s="106" t="s">
        <v>220</v>
      </c>
      <c r="D53" s="440" t="s">
        <v>325</v>
      </c>
      <c r="E53" s="441"/>
      <c r="F53" s="442"/>
      <c r="H53" s="148"/>
      <c r="I53" s="87"/>
      <c r="J53" s="60"/>
      <c r="K53" s="60"/>
      <c r="L53" s="60"/>
      <c r="M53" s="60"/>
      <c r="N53" s="60"/>
      <c r="O53" s="60"/>
      <c r="P53" s="110"/>
    </row>
    <row r="54" spans="1:16" ht="15.75" customHeight="1" x14ac:dyDescent="0.25">
      <c r="A54" s="234" t="s">
        <v>98</v>
      </c>
      <c r="B54" s="20"/>
      <c r="C54" s="3"/>
      <c r="D54" s="195"/>
      <c r="E54" s="3"/>
      <c r="F54" s="102"/>
      <c r="H54" s="148"/>
      <c r="I54" s="87"/>
      <c r="J54" s="94"/>
      <c r="K54" s="94"/>
      <c r="L54" s="94"/>
      <c r="M54" s="94"/>
      <c r="N54" s="94"/>
      <c r="O54" s="94"/>
      <c r="P54" s="111"/>
    </row>
    <row r="55" spans="1:16" ht="15.75" customHeight="1" x14ac:dyDescent="0.25">
      <c r="A55" s="279" t="s">
        <v>312</v>
      </c>
      <c r="B55" s="317">
        <f>Constants!D3*1.2</f>
        <v>60</v>
      </c>
      <c r="C55" s="23"/>
      <c r="D55" s="438" t="s">
        <v>226</v>
      </c>
      <c r="E55" s="438"/>
      <c r="F55" s="439"/>
      <c r="H55" s="148"/>
      <c r="I55" s="87"/>
      <c r="J55" s="94"/>
      <c r="K55" s="94"/>
      <c r="L55" s="94"/>
      <c r="M55" s="94"/>
      <c r="N55" s="94"/>
      <c r="O55" s="94"/>
      <c r="P55" s="111"/>
    </row>
    <row r="56" spans="1:16" ht="18.75" thickBot="1" x14ac:dyDescent="0.4">
      <c r="A56" s="279" t="s">
        <v>313</v>
      </c>
      <c r="B56" s="318">
        <f ca="1">Iout_typ*SQRT(1-B27)*SQRT(1+(B43/Iout_typ)^2*1/12)</f>
        <v>0.58852299242292005</v>
      </c>
      <c r="C56" s="23" t="s">
        <v>314</v>
      </c>
      <c r="D56" s="440" t="s">
        <v>96</v>
      </c>
      <c r="E56" s="441"/>
      <c r="F56" s="442"/>
      <c r="H56" s="152"/>
      <c r="I56" s="87"/>
      <c r="J56" s="100"/>
      <c r="K56" s="100"/>
      <c r="L56" s="100"/>
      <c r="M56" s="100"/>
      <c r="N56" s="100"/>
      <c r="O56" s="100"/>
      <c r="P56" s="109"/>
    </row>
    <row r="57" spans="1:16" ht="16.5" thickBot="1" x14ac:dyDescent="0.3">
      <c r="A57" s="430" t="s">
        <v>71</v>
      </c>
      <c r="B57" s="431"/>
      <c r="C57" s="431"/>
      <c r="D57" s="431"/>
      <c r="E57" s="431"/>
      <c r="F57" s="432"/>
      <c r="H57" s="148"/>
      <c r="I57" s="109"/>
      <c r="J57" s="94"/>
      <c r="K57" s="94"/>
      <c r="L57" s="94"/>
      <c r="M57" s="94"/>
      <c r="N57" s="94"/>
      <c r="O57" s="94"/>
      <c r="P57" s="111"/>
    </row>
    <row r="58" spans="1:16" ht="16.5" thickBot="1" x14ac:dyDescent="0.3">
      <c r="A58" s="320" t="s">
        <v>273</v>
      </c>
      <c r="B58" s="325">
        <v>50</v>
      </c>
      <c r="C58" s="321" t="s">
        <v>17</v>
      </c>
      <c r="D58" s="443" t="s">
        <v>274</v>
      </c>
      <c r="E58" s="444"/>
      <c r="F58" s="445"/>
      <c r="H58" s="148"/>
      <c r="I58" s="109"/>
      <c r="J58" s="94"/>
      <c r="K58" s="94"/>
      <c r="L58" s="94"/>
      <c r="M58" s="94"/>
      <c r="N58" s="94"/>
      <c r="O58" s="94"/>
      <c r="P58" s="111"/>
    </row>
    <row r="59" spans="1:16" ht="15.75" thickBot="1" x14ac:dyDescent="0.3">
      <c r="A59" s="169" t="s">
        <v>32</v>
      </c>
      <c r="B59" s="319">
        <f ca="1">IF(D27&gt;=0.5,IF(B27&lt;=0.5,IOUT/(4*0.8*fsw*B58*10^-3),IOUT*(B27)*(1-B27)/(0.8*fsw*B58*10^-3)),IOUT*(D27)*(1-D27)/(0.8*fsw*B58*10^-3))</f>
        <v>2.1875</v>
      </c>
      <c r="C59" s="23" t="s">
        <v>315</v>
      </c>
      <c r="D59" s="437" t="s">
        <v>222</v>
      </c>
      <c r="E59" s="438"/>
      <c r="F59" s="439"/>
      <c r="H59" s="153"/>
      <c r="I59" s="111"/>
      <c r="J59" s="94"/>
      <c r="K59" s="94"/>
      <c r="L59" s="94"/>
      <c r="M59" s="94"/>
      <c r="N59" s="94"/>
      <c r="O59" s="94"/>
      <c r="P59" s="111"/>
    </row>
    <row r="60" spans="1:16" ht="15.75" thickBot="1" x14ac:dyDescent="0.3">
      <c r="A60" s="228" t="s">
        <v>221</v>
      </c>
      <c r="B60" s="40">
        <v>4.7</v>
      </c>
      <c r="C60" s="21" t="s">
        <v>101</v>
      </c>
      <c r="D60" s="194" t="s">
        <v>223</v>
      </c>
      <c r="E60" s="195"/>
      <c r="F60" s="196"/>
      <c r="H60" s="153"/>
      <c r="I60" s="111"/>
      <c r="J60" s="94"/>
      <c r="K60" s="94"/>
      <c r="L60" s="94"/>
      <c r="M60" s="94"/>
      <c r="N60" s="94"/>
      <c r="O60" s="94"/>
      <c r="P60" s="111"/>
    </row>
    <row r="61" spans="1:16" ht="18.75" thickBot="1" x14ac:dyDescent="0.4">
      <c r="A61" s="235" t="s">
        <v>97</v>
      </c>
      <c r="B61" s="236">
        <f ca="1">IF(D27&gt;=0.5,IF(B27&lt;=0.5,SQRT(IOUT^2*0.25+0.5*B43^2/12),SQRT(IOUT^2*B27*(1-B27)+B27*B43^2/12)),SQRT(IOUT^2*D27*(1-D27)+D27*B43^2/12))</f>
        <v>0.39288930546877066</v>
      </c>
      <c r="C61" s="106" t="s">
        <v>42</v>
      </c>
      <c r="D61" s="440" t="s">
        <v>326</v>
      </c>
      <c r="E61" s="441"/>
      <c r="F61" s="442"/>
      <c r="H61" s="148"/>
      <c r="I61" s="111"/>
      <c r="J61" s="100"/>
      <c r="K61" s="100"/>
      <c r="L61" s="100"/>
      <c r="M61" s="100"/>
      <c r="N61" s="100"/>
      <c r="O61" s="100"/>
      <c r="P61" s="109"/>
    </row>
    <row r="62" spans="1:16" ht="15.75" x14ac:dyDescent="0.25">
      <c r="A62" s="430" t="s">
        <v>72</v>
      </c>
      <c r="B62" s="431"/>
      <c r="C62" s="431"/>
      <c r="D62" s="431"/>
      <c r="E62" s="431"/>
      <c r="F62" s="432"/>
      <c r="H62" s="148"/>
      <c r="I62" s="109"/>
      <c r="J62" s="94"/>
      <c r="K62" s="94"/>
      <c r="L62" s="94"/>
      <c r="M62" s="94"/>
      <c r="N62" s="94"/>
      <c r="O62" s="94"/>
      <c r="P62" s="111"/>
    </row>
    <row r="63" spans="1:16" ht="18.75" thickBot="1" x14ac:dyDescent="0.4">
      <c r="A63" s="169" t="s">
        <v>43</v>
      </c>
      <c r="B63" s="18">
        <f>MIN(1000*IF(ISBLANK(B30),B29,B30)/11,75)</f>
        <v>75</v>
      </c>
      <c r="C63" s="3" t="s">
        <v>169</v>
      </c>
      <c r="D63" s="437" t="s">
        <v>48</v>
      </c>
      <c r="E63" s="438"/>
      <c r="F63" s="439"/>
      <c r="H63" s="153"/>
      <c r="I63" s="111"/>
      <c r="J63" s="94"/>
      <c r="K63" s="94"/>
      <c r="L63" s="94"/>
      <c r="M63" s="94"/>
      <c r="N63" s="94"/>
      <c r="O63" s="94"/>
      <c r="P63" s="111"/>
    </row>
    <row r="64" spans="1:16" ht="18.75" thickBot="1" x14ac:dyDescent="0.4">
      <c r="A64" s="228" t="s">
        <v>33</v>
      </c>
      <c r="B64" s="324">
        <v>60</v>
      </c>
      <c r="C64" s="21" t="s">
        <v>169</v>
      </c>
      <c r="D64" s="437" t="s">
        <v>144</v>
      </c>
      <c r="E64" s="438"/>
      <c r="F64" s="439"/>
      <c r="H64" s="148"/>
      <c r="I64" s="111"/>
      <c r="J64" s="94"/>
      <c r="K64" s="94"/>
      <c r="L64" s="94"/>
      <c r="M64" s="94"/>
      <c r="N64" s="94"/>
      <c r="O64" s="94"/>
      <c r="P64" s="111"/>
    </row>
    <row r="65" spans="1:16" ht="18" x14ac:dyDescent="0.35">
      <c r="A65" s="169" t="s">
        <v>47</v>
      </c>
      <c r="B65" s="6">
        <f>RLED</f>
        <v>0.9</v>
      </c>
      <c r="C65" s="7" t="s">
        <v>44</v>
      </c>
      <c r="D65" s="437" t="s">
        <v>49</v>
      </c>
      <c r="E65" s="438"/>
      <c r="F65" s="439"/>
      <c r="H65" s="148"/>
      <c r="I65" s="111"/>
      <c r="J65" s="94"/>
      <c r="K65" s="94"/>
      <c r="L65" s="94"/>
      <c r="M65" s="94"/>
      <c r="N65" s="94"/>
      <c r="O65" s="94"/>
      <c r="P65" s="111"/>
    </row>
    <row r="66" spans="1:16" ht="18" x14ac:dyDescent="0.35">
      <c r="A66" s="169" t="s">
        <v>229</v>
      </c>
      <c r="B66" s="4">
        <f>1000/(2*PI()*RLED*Cout)</f>
        <v>176.83882565766149</v>
      </c>
      <c r="C66" s="7" t="s">
        <v>169</v>
      </c>
      <c r="D66" s="437" t="s">
        <v>151</v>
      </c>
      <c r="E66" s="438"/>
      <c r="F66" s="439"/>
      <c r="H66" s="148"/>
      <c r="I66" s="111"/>
      <c r="J66" s="94"/>
      <c r="K66" s="94"/>
      <c r="L66" s="94"/>
      <c r="M66" s="94"/>
      <c r="N66" s="94"/>
      <c r="O66" s="94"/>
      <c r="P66" s="111"/>
    </row>
    <row r="67" spans="1:16" x14ac:dyDescent="0.25">
      <c r="A67" s="169" t="s">
        <v>228</v>
      </c>
      <c r="B67" s="4">
        <f>20*LOG10(gm_POWER)+20*LOG10(RFB_1)+Constants!C10</f>
        <v>68.212170851367361</v>
      </c>
      <c r="C67" s="7"/>
      <c r="D67" s="194" t="s">
        <v>282</v>
      </c>
      <c r="E67" s="195"/>
      <c r="F67" s="196"/>
      <c r="H67" s="148"/>
      <c r="I67" s="111"/>
      <c r="J67" s="94"/>
      <c r="K67" s="94"/>
      <c r="L67" s="94"/>
      <c r="M67" s="94"/>
      <c r="N67" s="94"/>
      <c r="O67" s="94"/>
      <c r="P67" s="111"/>
    </row>
    <row r="68" spans="1:16" ht="18" x14ac:dyDescent="0.35">
      <c r="A68" s="169" t="s">
        <v>230</v>
      </c>
      <c r="B68" s="4">
        <f>fc*kilo/(10^(B67/20))</f>
        <v>23.310023310023301</v>
      </c>
      <c r="C68" s="7"/>
      <c r="D68" s="194" t="s">
        <v>231</v>
      </c>
      <c r="E68" s="195"/>
      <c r="F68" s="196"/>
      <c r="H68" s="148"/>
      <c r="I68" s="111"/>
      <c r="J68" s="94"/>
      <c r="K68" s="94"/>
      <c r="L68" s="94"/>
      <c r="M68" s="94"/>
      <c r="N68" s="94"/>
      <c r="O68" s="94"/>
      <c r="P68" s="111"/>
    </row>
    <row r="69" spans="1:16" ht="15.75" thickBot="1" x14ac:dyDescent="0.3">
      <c r="A69" s="169" t="s">
        <v>11</v>
      </c>
      <c r="B69" s="6">
        <f>1000/(2*PI()*B72*B66)</f>
        <v>1.0975609756097562</v>
      </c>
      <c r="C69" s="49" t="s">
        <v>170</v>
      </c>
      <c r="D69" s="437" t="s">
        <v>152</v>
      </c>
      <c r="E69" s="438"/>
      <c r="F69" s="439"/>
      <c r="H69" s="148"/>
      <c r="I69" s="111"/>
      <c r="J69" s="94"/>
      <c r="K69" s="94"/>
      <c r="L69" s="94"/>
      <c r="M69" s="94"/>
      <c r="N69" s="94"/>
      <c r="O69" s="94"/>
      <c r="P69" s="111"/>
    </row>
    <row r="70" spans="1:16" ht="15.75" thickBot="1" x14ac:dyDescent="0.3">
      <c r="A70" s="228" t="s">
        <v>176</v>
      </c>
      <c r="B70" s="47">
        <v>1.1000000000000001</v>
      </c>
      <c r="C70" s="22" t="s">
        <v>170</v>
      </c>
      <c r="D70" s="437" t="s">
        <v>50</v>
      </c>
      <c r="E70" s="438"/>
      <c r="F70" s="439"/>
      <c r="H70" s="144"/>
      <c r="I70" s="111"/>
      <c r="J70" s="94"/>
      <c r="K70" s="94"/>
      <c r="L70" s="94"/>
      <c r="M70" s="94"/>
      <c r="N70" s="94"/>
      <c r="O70" s="94"/>
      <c r="P70" s="111"/>
    </row>
    <row r="71" spans="1:16" ht="15.75" thickBot="1" x14ac:dyDescent="0.3">
      <c r="A71" s="169" t="s">
        <v>12</v>
      </c>
      <c r="B71" s="319">
        <f>1*giga/(2*PI()*Constants!C12*mega*Design!B68)</f>
        <v>0.81932964703707778</v>
      </c>
      <c r="C71" s="23" t="s">
        <v>15</v>
      </c>
      <c r="D71" s="437" t="s">
        <v>51</v>
      </c>
      <c r="E71" s="438"/>
      <c r="F71" s="439"/>
      <c r="H71" s="148"/>
      <c r="I71" s="111"/>
      <c r="J71" s="94"/>
      <c r="K71" s="94"/>
      <c r="L71" s="94"/>
      <c r="M71" s="94"/>
      <c r="N71" s="94"/>
      <c r="O71" s="94"/>
      <c r="P71" s="111"/>
    </row>
    <row r="72" spans="1:16" ht="15.75" thickBot="1" x14ac:dyDescent="0.3">
      <c r="A72" s="228" t="s">
        <v>167</v>
      </c>
      <c r="B72" s="47">
        <v>0.82</v>
      </c>
      <c r="C72" s="21" t="s">
        <v>15</v>
      </c>
      <c r="D72" s="437" t="s">
        <v>283</v>
      </c>
      <c r="E72" s="438"/>
      <c r="F72" s="439"/>
      <c r="H72" s="415"/>
      <c r="I72" s="416"/>
      <c r="J72" s="416"/>
      <c r="K72" s="416"/>
      <c r="L72" s="416"/>
      <c r="M72" s="94"/>
      <c r="N72" s="94"/>
      <c r="O72" s="94"/>
      <c r="P72" s="111"/>
    </row>
    <row r="73" spans="1:16" ht="15.75" thickBot="1" x14ac:dyDescent="0.3">
      <c r="A73" s="169" t="s">
        <v>13</v>
      </c>
      <c r="B73" s="322">
        <v>22</v>
      </c>
      <c r="C73" s="23" t="s">
        <v>16</v>
      </c>
      <c r="D73" s="437" t="s">
        <v>52</v>
      </c>
      <c r="E73" s="438"/>
      <c r="F73" s="439"/>
      <c r="H73" s="415"/>
      <c r="I73" s="416"/>
      <c r="J73" s="416"/>
      <c r="K73" s="416"/>
      <c r="L73" s="416"/>
      <c r="M73" s="94"/>
      <c r="N73" s="94"/>
      <c r="O73" s="138"/>
      <c r="P73" s="138"/>
    </row>
    <row r="74" spans="1:16" ht="15.75" thickBot="1" x14ac:dyDescent="0.3">
      <c r="A74" s="103" t="s">
        <v>168</v>
      </c>
      <c r="B74" s="47">
        <v>22</v>
      </c>
      <c r="C74" s="104" t="s">
        <v>16</v>
      </c>
      <c r="D74" s="440" t="s">
        <v>284</v>
      </c>
      <c r="E74" s="441"/>
      <c r="F74" s="442"/>
      <c r="H74" s="415"/>
      <c r="I74" s="416"/>
      <c r="J74" s="416"/>
      <c r="K74" s="416"/>
      <c r="L74" s="416"/>
      <c r="M74" s="94"/>
      <c r="N74" s="94"/>
      <c r="O74" s="138"/>
      <c r="P74" s="138"/>
    </row>
    <row r="75" spans="1:16" ht="15.75" x14ac:dyDescent="0.25">
      <c r="A75" s="430" t="s">
        <v>291</v>
      </c>
      <c r="B75" s="431"/>
      <c r="C75" s="431"/>
      <c r="D75" s="431"/>
      <c r="E75" s="431"/>
      <c r="F75" s="432"/>
      <c r="G75" s="139"/>
      <c r="H75" s="404"/>
      <c r="I75" s="403"/>
      <c r="J75" s="403"/>
      <c r="K75" s="403"/>
      <c r="L75" s="403"/>
      <c r="O75" s="139"/>
      <c r="P75" s="139"/>
    </row>
    <row r="76" spans="1:16" ht="15.75" thickBot="1" x14ac:dyDescent="0.3">
      <c r="A76" s="268" t="s">
        <v>292</v>
      </c>
      <c r="B76" s="269">
        <v>100</v>
      </c>
      <c r="C76" s="3" t="s">
        <v>21</v>
      </c>
      <c r="D76" s="475" t="s">
        <v>293</v>
      </c>
      <c r="E76" s="476"/>
      <c r="F76" s="477"/>
      <c r="G76" s="139"/>
      <c r="H76" s="404"/>
      <c r="I76" s="403"/>
      <c r="J76" s="403"/>
      <c r="K76" s="403"/>
      <c r="L76" s="403"/>
      <c r="O76" s="139"/>
      <c r="P76" s="139"/>
    </row>
    <row r="77" spans="1:16" ht="15.75" thickBot="1" x14ac:dyDescent="0.3">
      <c r="A77" s="272" t="s">
        <v>245</v>
      </c>
      <c r="B77" s="273">
        <v>90</v>
      </c>
      <c r="C77" s="21" t="s">
        <v>21</v>
      </c>
      <c r="D77" s="475" t="s">
        <v>327</v>
      </c>
      <c r="E77" s="476"/>
      <c r="F77" s="477"/>
      <c r="H77" s="403"/>
      <c r="I77" s="403"/>
      <c r="J77" s="404"/>
      <c r="K77" s="403"/>
      <c r="L77" s="403"/>
      <c r="O77" s="139"/>
      <c r="P77" s="139"/>
    </row>
    <row r="78" spans="1:16" ht="15.75" thickBot="1" x14ac:dyDescent="0.3">
      <c r="A78" s="272" t="s">
        <v>246</v>
      </c>
      <c r="B78" s="273">
        <v>80</v>
      </c>
      <c r="C78" s="21" t="s">
        <v>21</v>
      </c>
      <c r="D78" s="475" t="s">
        <v>327</v>
      </c>
      <c r="E78" s="476"/>
      <c r="F78" s="477"/>
      <c r="H78" s="403"/>
      <c r="I78" s="403"/>
      <c r="J78" s="404"/>
      <c r="K78" s="403"/>
      <c r="L78" s="403"/>
      <c r="O78" s="139"/>
      <c r="P78" s="139"/>
    </row>
    <row r="79" spans="1:16" ht="15.75" thickBot="1" x14ac:dyDescent="0.3">
      <c r="A79" s="272" t="s">
        <v>294</v>
      </c>
      <c r="B79" s="273">
        <v>70</v>
      </c>
      <c r="C79" s="21" t="s">
        <v>21</v>
      </c>
      <c r="D79" s="475" t="s">
        <v>327</v>
      </c>
      <c r="E79" s="476"/>
      <c r="F79" s="477"/>
      <c r="G79" s="274"/>
      <c r="H79" s="414"/>
      <c r="I79" s="405"/>
      <c r="K79" s="403"/>
      <c r="L79" s="403"/>
      <c r="O79" s="139"/>
      <c r="P79" s="139"/>
    </row>
    <row r="80" spans="1:16" ht="15.75" thickBot="1" x14ac:dyDescent="0.3">
      <c r="A80" s="272" t="s">
        <v>328</v>
      </c>
      <c r="B80" s="275">
        <v>0.95</v>
      </c>
      <c r="C80" s="276"/>
      <c r="D80" s="475" t="s">
        <v>295</v>
      </c>
      <c r="E80" s="476"/>
      <c r="F80" s="477"/>
      <c r="G80" s="274"/>
      <c r="H80" s="414"/>
      <c r="I80" s="405"/>
      <c r="J80" s="407"/>
      <c r="K80" s="403"/>
      <c r="L80" s="403"/>
      <c r="O80" s="139"/>
      <c r="P80" s="139"/>
    </row>
    <row r="81" spans="1:16" ht="15.75" thickBot="1" x14ac:dyDescent="0.3">
      <c r="A81" s="277" t="s">
        <v>240</v>
      </c>
      <c r="B81" s="278">
        <v>2</v>
      </c>
      <c r="C81" s="22" t="s">
        <v>170</v>
      </c>
      <c r="D81" s="484" t="s">
        <v>296</v>
      </c>
      <c r="E81" s="485"/>
      <c r="F81" s="486"/>
      <c r="G81" s="274"/>
      <c r="H81" s="414"/>
      <c r="I81" s="405"/>
      <c r="J81" s="417">
        <f>R_3</f>
        <v>118.00000000000001</v>
      </c>
      <c r="K81" s="403"/>
      <c r="L81" s="403"/>
      <c r="M81" s="62"/>
      <c r="N81" s="62"/>
      <c r="O81" s="139"/>
      <c r="P81" s="139"/>
    </row>
    <row r="82" spans="1:16" x14ac:dyDescent="0.25">
      <c r="A82" s="279"/>
      <c r="B82" s="280"/>
      <c r="C82" s="281"/>
      <c r="D82" s="475"/>
      <c r="E82" s="476"/>
      <c r="F82" s="477"/>
      <c r="G82" s="282"/>
      <c r="H82" s="282"/>
      <c r="I82" s="405"/>
      <c r="J82" s="405"/>
      <c r="K82" s="405"/>
      <c r="L82" s="403"/>
      <c r="O82" s="139"/>
      <c r="P82" s="139"/>
    </row>
    <row r="83" spans="1:16" x14ac:dyDescent="0.25">
      <c r="A83" s="323" t="s">
        <v>252</v>
      </c>
      <c r="B83" s="425">
        <f>IF(I91&lt;1,I91*1000,I91)</f>
        <v>1</v>
      </c>
      <c r="C83" s="5"/>
      <c r="D83" s="478"/>
      <c r="E83" s="479"/>
      <c r="F83" s="480"/>
      <c r="G83" s="282"/>
      <c r="H83" s="282"/>
      <c r="I83" s="405"/>
      <c r="J83" s="405"/>
      <c r="K83" s="406">
        <f>R_1</f>
        <v>1</v>
      </c>
      <c r="L83" s="403"/>
      <c r="O83" s="139"/>
      <c r="P83" s="139"/>
    </row>
    <row r="84" spans="1:16" x14ac:dyDescent="0.25">
      <c r="A84" s="323" t="s">
        <v>253</v>
      </c>
      <c r="B84" s="283">
        <f>IF(B81&lt;1,B81*1000,B81)</f>
        <v>2</v>
      </c>
      <c r="C84" s="5"/>
      <c r="D84" s="478"/>
      <c r="E84" s="479"/>
      <c r="F84" s="480"/>
      <c r="G84" s="282"/>
      <c r="H84" s="282"/>
      <c r="I84" s="405"/>
      <c r="J84" s="405"/>
      <c r="K84" s="408"/>
      <c r="L84" s="409"/>
      <c r="O84" s="139"/>
      <c r="P84" s="139"/>
    </row>
    <row r="85" spans="1:16" x14ac:dyDescent="0.25">
      <c r="A85" s="323" t="s">
        <v>254</v>
      </c>
      <c r="B85" s="283">
        <f>IF(I92&lt;1,I92*1000,I92)</f>
        <v>118.00000000000001</v>
      </c>
      <c r="C85" s="5"/>
      <c r="D85" s="478"/>
      <c r="E85" s="479"/>
      <c r="F85" s="480"/>
      <c r="G85" s="282"/>
      <c r="H85" s="282"/>
      <c r="I85" s="405"/>
      <c r="J85" s="417">
        <f>R_2</f>
        <v>2</v>
      </c>
      <c r="K85" s="405"/>
      <c r="L85" s="403"/>
      <c r="O85" s="139"/>
      <c r="P85" s="139"/>
    </row>
    <row r="86" spans="1:16" x14ac:dyDescent="0.25">
      <c r="A86" s="323" t="s">
        <v>329</v>
      </c>
      <c r="B86" s="284">
        <f>((I91+B81)/B81*V_cs)/Iout_typ</f>
        <v>0.42899999999999999</v>
      </c>
      <c r="C86" s="3"/>
      <c r="D86" s="481"/>
      <c r="E86" s="482"/>
      <c r="F86" s="483"/>
      <c r="G86" s="282"/>
      <c r="H86" s="282"/>
      <c r="I86" s="405"/>
      <c r="J86" s="405"/>
      <c r="K86" s="405"/>
      <c r="L86" s="403"/>
      <c r="O86" s="139"/>
      <c r="P86" s="139"/>
    </row>
    <row r="87" spans="1:16" x14ac:dyDescent="0.25">
      <c r="A87" s="323" t="s">
        <v>275</v>
      </c>
      <c r="B87" s="286">
        <f>MAX(E90:E93)</f>
        <v>0.20979020979020982</v>
      </c>
      <c r="C87" s="5"/>
      <c r="D87" s="475"/>
      <c r="E87" s="476"/>
      <c r="F87" s="477"/>
      <c r="G87" s="282"/>
      <c r="H87" s="282"/>
      <c r="I87" s="410"/>
      <c r="J87" s="411"/>
      <c r="K87" s="423">
        <f>Rsense</f>
        <v>0.42899999999999999</v>
      </c>
      <c r="L87" s="403"/>
      <c r="O87" s="139"/>
      <c r="P87" s="139"/>
    </row>
    <row r="88" spans="1:16" x14ac:dyDescent="0.25">
      <c r="A88" s="169"/>
      <c r="B88" s="5"/>
      <c r="C88" s="5"/>
      <c r="D88" s="5"/>
      <c r="E88" s="3"/>
      <c r="F88" s="102"/>
      <c r="G88" s="282"/>
      <c r="H88" s="282"/>
      <c r="I88" s="412"/>
      <c r="J88" s="413"/>
      <c r="K88" s="424">
        <f>B87</f>
        <v>0.20979020979020982</v>
      </c>
      <c r="L88" s="403"/>
      <c r="O88" s="139"/>
      <c r="P88" s="139"/>
    </row>
    <row r="89" spans="1:16" x14ac:dyDescent="0.25">
      <c r="A89" s="287" t="s">
        <v>297</v>
      </c>
      <c r="B89" s="281"/>
      <c r="C89" s="280" t="s">
        <v>242</v>
      </c>
      <c r="D89" s="280" t="s">
        <v>298</v>
      </c>
      <c r="E89" s="280" t="s">
        <v>243</v>
      </c>
      <c r="F89" s="229" t="s">
        <v>299</v>
      </c>
      <c r="G89" s="282"/>
      <c r="H89" s="282"/>
      <c r="I89" s="412"/>
      <c r="J89" s="405"/>
      <c r="K89" s="405"/>
      <c r="L89" s="403"/>
      <c r="O89" s="139"/>
      <c r="P89" s="139"/>
    </row>
    <row r="90" spans="1:16" x14ac:dyDescent="0.25">
      <c r="A90" s="279" t="s">
        <v>300</v>
      </c>
      <c r="B90" s="288" t="s">
        <v>244</v>
      </c>
      <c r="C90" s="289">
        <f>(I91+B81)/B81*V_cs/Rsense</f>
        <v>0.69930069930069938</v>
      </c>
      <c r="D90" s="290">
        <v>1</v>
      </c>
      <c r="E90" s="291">
        <f>C90^2*Rsense</f>
        <v>0.20979020979020982</v>
      </c>
      <c r="F90" s="292">
        <f>C90*Rsense</f>
        <v>0.30000000000000004</v>
      </c>
      <c r="G90" s="110"/>
      <c r="H90" s="110"/>
      <c r="I90" s="397"/>
      <c r="J90" s="398" t="s">
        <v>255</v>
      </c>
      <c r="K90" s="405"/>
      <c r="L90" s="403"/>
      <c r="O90" s="140"/>
      <c r="P90" s="140"/>
    </row>
    <row r="91" spans="1:16" x14ac:dyDescent="0.25">
      <c r="A91" s="279" t="s">
        <v>301</v>
      </c>
      <c r="B91" s="293">
        <f>IF(I93&lt;1,I93*1000,I93)</f>
        <v>2.21</v>
      </c>
      <c r="C91" s="289">
        <f>((I91*(I93+I92))/(I91+I93+I92)+B81)/B81*V_cs/Rsense</f>
        <v>0.62925856195086971</v>
      </c>
      <c r="D91" s="294">
        <f>1+(C91-C90)/C90</f>
        <v>0.89983974358974361</v>
      </c>
      <c r="E91" s="291">
        <f>C91^2*Rsense</f>
        <v>0.16986955891125641</v>
      </c>
      <c r="F91" s="292">
        <f>C91*Rsense</f>
        <v>0.26995192307692312</v>
      </c>
      <c r="G91" s="399" t="s">
        <v>239</v>
      </c>
      <c r="H91" s="400">
        <f>(1-BIN4_Coeff)/BIN4_Coeff*R_2k</f>
        <v>1.0075187969924815</v>
      </c>
      <c r="I91" s="401">
        <f>(IF((10^(LOG(H91)-INT(LOG(H91)))*100)-VLOOKUP((10^(LOG(H91)-INT(LOG(H91)))*100),E96_s:E96_f,1)&lt;VLOOKUP((10^(LOG(H91)-INT(LOG(H91)))*100),E96_s:E96_f,2)-(10^(LOG(H91)-INT(LOG(H91)))*100),VLOOKUP((10^(LOG(H91)-INT(LOG(H91)))*100),E96_s:E96_f,1),VLOOKUP((10^(LOG(H91)-INT(LOG(H91)))*100),E96_s:E96_f,2)))*10^INT(LOG(H91))/100</f>
        <v>1</v>
      </c>
      <c r="J91" s="87"/>
      <c r="K91" s="139"/>
      <c r="L91" s="139"/>
      <c r="M91" s="139"/>
      <c r="O91" s="139"/>
      <c r="P91" s="139"/>
    </row>
    <row r="92" spans="1:16" x14ac:dyDescent="0.25">
      <c r="A92" s="279" t="s">
        <v>302</v>
      </c>
      <c r="B92" s="293">
        <f>IF(I94&lt;1,I94*1000,I94)</f>
        <v>549</v>
      </c>
      <c r="C92" s="289">
        <f>((I91*(I94+I92))/(I91+I94+I92)+B81)/B81*V_cs/Rsense</f>
        <v>0.55946852587524454</v>
      </c>
      <c r="D92" s="294">
        <f>1+(C92-C90)/C90</f>
        <v>0.80003999200159959</v>
      </c>
      <c r="E92" s="291">
        <f>C92^2*Rsense</f>
        <v>0.13427915848991323</v>
      </c>
      <c r="F92" s="292">
        <f>C92*Rsense</f>
        <v>0.24001199760047989</v>
      </c>
      <c r="G92" s="399" t="s">
        <v>241</v>
      </c>
      <c r="H92" s="400">
        <f>(1-Bin_Coeff)/Bin_Coeff*R_2k*R_1k/(R_1k-(1-Bin_Coeff)/Bin_Coeff*R_2k)</f>
        <v>0.11764705882352955</v>
      </c>
      <c r="I92" s="401">
        <f>(IF((10^(LOG(H92)-INT(LOG(H92)))*100)-VLOOKUP((10^(LOG(H92)-INT(LOG(H92)))*100),E96_s:E96_f,1)&lt;VLOOKUP((10^(LOG(H92)-INT(LOG(H92)))*100),E96_s:E96_f,2)-(10^(LOG(H92)-INT(LOG(H92)))*100),VLOOKUP((10^(LOG(H92)-INT(LOG(H92)))*100),E96_s:E96_f,1),VLOOKUP((10^(LOG(H92)-INT(LOG(H92)))*100),E96_s:E96_f,2)))*10^INT(LOG(H92))/100</f>
        <v>0.11800000000000001</v>
      </c>
      <c r="J92" s="402">
        <f>BIN_4/100*Bin_Coeff</f>
        <v>0.66499999999999992</v>
      </c>
      <c r="K92" s="139"/>
      <c r="L92" s="139"/>
      <c r="M92" s="139"/>
      <c r="O92" s="139"/>
      <c r="P92" s="139"/>
    </row>
    <row r="93" spans="1:16" x14ac:dyDescent="0.25">
      <c r="A93" s="279" t="s">
        <v>303</v>
      </c>
      <c r="B93" s="288" t="s">
        <v>247</v>
      </c>
      <c r="C93" s="289">
        <f>((I91*I92)/(I91+I92)+B81)/B81*V_cs/Rsense</f>
        <v>0.49080317416632269</v>
      </c>
      <c r="D93" s="294">
        <f>1+(C93-C90)/C90</f>
        <v>0.70184853905784128</v>
      </c>
      <c r="E93" s="291">
        <f>C93^2*Rsense</f>
        <v>0.10334084722607546</v>
      </c>
      <c r="F93" s="292">
        <f>C93*Rsense</f>
        <v>0.21055456171735243</v>
      </c>
      <c r="G93" s="399" t="s">
        <v>304</v>
      </c>
      <c r="H93" s="400">
        <f>(1-BIN2_Coeff)/BIN2_Coeff*R_2k*R_1k/(R_1k-(1-BIN2_Coeff)/BIN2_Coeff*R_2k)-R_3k</f>
        <v>2.2153333333333354</v>
      </c>
      <c r="I93" s="401">
        <f>(IF((10^(LOG(H93)-INT(LOG(H93)))*100)-VLOOKUP((10^(LOG(H93)-INT(LOG(H93)))*100),E96_s:E96_f,1)&lt;VLOOKUP((10^(LOG(H93)-INT(LOG(H93)))*100),E96_s:E96_f,2)-(10^(LOG(H93)-INT(LOG(H93)))*100),VLOOKUP((10^(LOG(H93)-INT(LOG(H93)))*100),E96_s:E96_f,1),VLOOKUP((10^(LOG(H93)-INT(LOG(H93)))*100),E96_s:E96_f,2)))*10^INT(LOG(H93))/100</f>
        <v>2.21</v>
      </c>
      <c r="J93" s="402">
        <f>R_2k/(R_2k+R_1k)/(BIN_2/100)</f>
        <v>0.7407407407407407</v>
      </c>
      <c r="K93" s="139"/>
      <c r="L93" s="139"/>
      <c r="M93" s="139"/>
      <c r="O93" s="139"/>
      <c r="P93" s="139"/>
    </row>
    <row r="94" spans="1:16" ht="15.75" thickBot="1" x14ac:dyDescent="0.3">
      <c r="A94" s="230"/>
      <c r="B94" s="295"/>
      <c r="C94" s="295"/>
      <c r="D94" s="295"/>
      <c r="E94" s="295"/>
      <c r="F94" s="107"/>
      <c r="G94" s="399" t="s">
        <v>305</v>
      </c>
      <c r="H94" s="400">
        <f>(1-J94)/J94*R_2k*R_1k/(R_1k-(1-J94)/J94*R_2k)-R_3k</f>
        <v>0.54866666666666719</v>
      </c>
      <c r="I94" s="401">
        <f>(IF((10^(LOG(H94)-INT(LOG(H94)))*100)-VLOOKUP((10^(LOG(H94)-INT(LOG(H94)))*100),E96_s:E96_f,1)&lt;VLOOKUP((10^(LOG(H94)-INT(LOG(H94)))*100),E96_s:E96_f,2)-(10^(LOG(H94)-INT(LOG(H94)))*100),VLOOKUP((10^(LOG(H94)-INT(LOG(H94)))*100),E96_s:E96_f,1),VLOOKUP((10^(LOG(H94)-INT(LOG(H94)))*100),E96_s:E96_f,2)))*10^INT(LOG(H94))/100</f>
        <v>0.54900000000000004</v>
      </c>
      <c r="J94" s="402">
        <f>R_2k/(R_2k+R_1k)/(BIN_3/100)</f>
        <v>0.83333333333333326</v>
      </c>
      <c r="K94" s="139"/>
      <c r="L94" s="139"/>
      <c r="M94" s="139"/>
      <c r="O94" s="139"/>
      <c r="P94" s="139"/>
    </row>
    <row r="95" spans="1:16" x14ac:dyDescent="0.25">
      <c r="A95" s="530" t="s">
        <v>285</v>
      </c>
      <c r="B95" s="530"/>
      <c r="C95" s="530"/>
      <c r="D95" s="530"/>
      <c r="E95" s="530"/>
      <c r="F95" s="530"/>
      <c r="G95" s="139"/>
      <c r="I95" s="139"/>
      <c r="J95" s="139"/>
      <c r="K95" s="139"/>
      <c r="L95" s="139"/>
      <c r="M95" s="139"/>
      <c r="O95" s="139"/>
      <c r="P95" s="139"/>
    </row>
    <row r="96" spans="1:16" x14ac:dyDescent="0.25">
      <c r="A96" s="531"/>
      <c r="B96" s="531"/>
      <c r="C96" s="531"/>
      <c r="D96" s="531"/>
      <c r="E96" s="531"/>
      <c r="F96" s="531"/>
      <c r="O96" s="139"/>
      <c r="P96" s="139"/>
    </row>
    <row r="97" spans="1:16" x14ac:dyDescent="0.25">
      <c r="A97" s="531"/>
      <c r="B97" s="531"/>
      <c r="C97" s="531"/>
      <c r="D97" s="531"/>
      <c r="E97" s="531"/>
      <c r="F97" s="531"/>
      <c r="O97" s="139"/>
      <c r="P97" s="139"/>
    </row>
    <row r="98" spans="1:16" x14ac:dyDescent="0.25">
      <c r="A98" s="531"/>
      <c r="B98" s="531"/>
      <c r="C98" s="531"/>
      <c r="D98" s="531"/>
      <c r="E98" s="531"/>
      <c r="F98" s="531"/>
      <c r="O98" s="139"/>
      <c r="P98" s="141"/>
    </row>
    <row r="99" spans="1:16" x14ac:dyDescent="0.25">
      <c r="O99" s="139"/>
      <c r="P99" s="141"/>
    </row>
    <row r="100" spans="1:16" x14ac:dyDescent="0.25">
      <c r="O100" s="139"/>
      <c r="P100" s="141"/>
    </row>
    <row r="101" spans="1:16" x14ac:dyDescent="0.25">
      <c r="O101" s="139"/>
      <c r="P101" s="141"/>
    </row>
    <row r="102" spans="1:16" x14ac:dyDescent="0.25">
      <c r="O102" s="139"/>
      <c r="P102" s="141"/>
    </row>
    <row r="103" spans="1:16" x14ac:dyDescent="0.25">
      <c r="O103" s="139"/>
      <c r="P103" s="141"/>
    </row>
    <row r="104" spans="1:16" x14ac:dyDescent="0.25">
      <c r="O104" s="139"/>
      <c r="P104" s="141"/>
    </row>
  </sheetData>
  <sheetProtection algorithmName="SHA-512" hashValue="2QdsPqhFRZ18Y61fD426+U/h0LSvsOHDyu9HYmXNh+sSuvv5/qf2SM8gy/k/ulG7BOYjHinxjkcl+13a7DXqAA==" saltValue="bTKzRd3+Pbjeyp0PBcf1gw==" spinCount="100000" sheet="1" selectLockedCells="1"/>
  <mergeCells count="64">
    <mergeCell ref="D85:F85"/>
    <mergeCell ref="D86:F86"/>
    <mergeCell ref="D87:F87"/>
    <mergeCell ref="D80:F80"/>
    <mergeCell ref="D81:F81"/>
    <mergeCell ref="D82:F82"/>
    <mergeCell ref="D83:F83"/>
    <mergeCell ref="D84:F84"/>
    <mergeCell ref="D65:F65"/>
    <mergeCell ref="D66:F66"/>
    <mergeCell ref="D69:F69"/>
    <mergeCell ref="D70:F70"/>
    <mergeCell ref="A75:F75"/>
    <mergeCell ref="D78:F78"/>
    <mergeCell ref="D79:F79"/>
    <mergeCell ref="D71:F71"/>
    <mergeCell ref="D72:F72"/>
    <mergeCell ref="D73:F73"/>
    <mergeCell ref="D74:F74"/>
    <mergeCell ref="D76:F76"/>
    <mergeCell ref="D77:F77"/>
    <mergeCell ref="D43:F43"/>
    <mergeCell ref="D46:F46"/>
    <mergeCell ref="D58:F58"/>
    <mergeCell ref="D64:F64"/>
    <mergeCell ref="D51:F51"/>
    <mergeCell ref="D53:F53"/>
    <mergeCell ref="D61:F61"/>
    <mergeCell ref="D63:F63"/>
    <mergeCell ref="D59:F59"/>
    <mergeCell ref="D55:F55"/>
    <mergeCell ref="A47:F47"/>
    <mergeCell ref="A95:F98"/>
    <mergeCell ref="A62:F62"/>
    <mergeCell ref="D36:F36"/>
    <mergeCell ref="A2:F2"/>
    <mergeCell ref="B16:C16"/>
    <mergeCell ref="D39:F39"/>
    <mergeCell ref="D40:F40"/>
    <mergeCell ref="B17:C17"/>
    <mergeCell ref="D29:F29"/>
    <mergeCell ref="D31:F31"/>
    <mergeCell ref="D33:F33"/>
    <mergeCell ref="A14:C14"/>
    <mergeCell ref="E14:F14"/>
    <mergeCell ref="E16:F16"/>
    <mergeCell ref="A20:F20"/>
    <mergeCell ref="A18:F18"/>
    <mergeCell ref="A1:F1"/>
    <mergeCell ref="A57:F57"/>
    <mergeCell ref="A24:F24"/>
    <mergeCell ref="I17:L17"/>
    <mergeCell ref="E30:F30"/>
    <mergeCell ref="K45:N45"/>
    <mergeCell ref="D45:F45"/>
    <mergeCell ref="A28:F28"/>
    <mergeCell ref="A35:F35"/>
    <mergeCell ref="D34:F34"/>
    <mergeCell ref="D56:F56"/>
    <mergeCell ref="D48:F48"/>
    <mergeCell ref="D50:F50"/>
    <mergeCell ref="D19:F19"/>
    <mergeCell ref="D41:F41"/>
    <mergeCell ref="D42:F42"/>
  </mergeCells>
  <conditionalFormatting sqref="B46">
    <cfRule type="cellIs" dxfId="44" priority="28" operator="lessThan">
      <formula>0</formula>
    </cfRule>
    <cfRule type="cellIs" dxfId="43" priority="29" operator="lessThan">
      <formula>0</formula>
    </cfRule>
    <cfRule type="cellIs" dxfId="42" priority="30" operator="lessThan">
      <formula>0</formula>
    </cfRule>
  </conditionalFormatting>
  <conditionalFormatting sqref="O32">
    <cfRule type="expression" dxfId="41" priority="31">
      <formula>#REF!="Custom"</formula>
    </cfRule>
  </conditionalFormatting>
  <conditionalFormatting sqref="F4 D4">
    <cfRule type="expression" dxfId="40" priority="22">
      <formula>$F$4&lt;&gt;"Steady-state input operating voltages"</formula>
    </cfRule>
  </conditionalFormatting>
  <conditionalFormatting sqref="B84">
    <cfRule type="expression" dxfId="39" priority="12">
      <formula>$B$81&gt;9.99</formula>
    </cfRule>
    <cfRule type="expression" dxfId="38" priority="13">
      <formula>$B$81&lt;1</formula>
    </cfRule>
  </conditionalFormatting>
  <conditionalFormatting sqref="B92">
    <cfRule type="expression" dxfId="37" priority="14">
      <formula>$I$94&lt;1</formula>
    </cfRule>
  </conditionalFormatting>
  <conditionalFormatting sqref="K84">
    <cfRule type="expression" dxfId="36" priority="11">
      <formula>$E$5&lt;1</formula>
    </cfRule>
  </conditionalFormatting>
  <conditionalFormatting sqref="B91">
    <cfRule type="expression" dxfId="35" priority="15">
      <formula>$I$93&lt;1</formula>
    </cfRule>
  </conditionalFormatting>
  <conditionalFormatting sqref="B85">
    <cfRule type="expression" dxfId="34" priority="18">
      <formula>$I$92&gt;9.99</formula>
    </cfRule>
    <cfRule type="expression" dxfId="33" priority="19">
      <formula>$I$92&lt;1</formula>
    </cfRule>
  </conditionalFormatting>
  <conditionalFormatting sqref="J85">
    <cfRule type="expression" dxfId="32" priority="5">
      <formula>$B$81&gt;9.99</formula>
    </cfRule>
    <cfRule type="expression" dxfId="31" priority="6">
      <formula>$B$81&lt;1</formula>
    </cfRule>
  </conditionalFormatting>
  <conditionalFormatting sqref="J81">
    <cfRule type="expression" dxfId="30" priority="3">
      <formula>$I$92&gt;9.99</formula>
    </cfRule>
    <cfRule type="expression" dxfId="29" priority="4">
      <formula>$I$92&lt;1</formula>
    </cfRule>
  </conditionalFormatting>
  <conditionalFormatting sqref="B83">
    <cfRule type="expression" dxfId="28" priority="16" stopIfTrue="1">
      <formula>$I$91&gt;9.99</formula>
    </cfRule>
    <cfRule type="expression" dxfId="27" priority="17" stopIfTrue="1">
      <formula>$I$91&lt;1</formula>
    </cfRule>
  </conditionalFormatting>
  <conditionalFormatting sqref="K83">
    <cfRule type="expression" dxfId="26" priority="1" stopIfTrue="1">
      <formula>$I$91&gt;9.99</formula>
    </cfRule>
    <cfRule type="expression" dxfId="25" priority="2" stopIfTrue="1">
      <formula>$I$91&lt;1</formula>
    </cfRule>
  </conditionalFormatting>
  <printOptions horizontalCentered="1"/>
  <pageMargins left="0.7" right="0.7" top="0.75" bottom="0.75" header="0.3" footer="0.3"/>
  <pageSetup scale="39" fitToHeight="2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Visio.Drawing.11" shapeId="1026" r:id="rId4">
          <objectPr defaultSize="0" autoPict="0" r:id="rId5">
            <anchor moveWithCells="1">
              <from>
                <xdr:col>6</xdr:col>
                <xdr:colOff>752475</xdr:colOff>
                <xdr:row>20</xdr:row>
                <xdr:rowOff>133350</xdr:rowOff>
              </from>
              <to>
                <xdr:col>20</xdr:col>
                <xdr:colOff>314325</xdr:colOff>
                <xdr:row>43</xdr:row>
                <xdr:rowOff>19050</xdr:rowOff>
              </to>
            </anchor>
          </objectPr>
        </oleObject>
      </mc:Choice>
      <mc:Fallback>
        <oleObject progId="Visio.Drawing.11" shapeId="1026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2C117CD3-DBA5-4E6A-AA1F-81882870D46F}">
            <xm:f>COUNTIF(Efficiency!$Z$6:$Z$48,"TSD")&gt;0</xm:f>
            <x14:dxf>
              <fill>
                <patternFill>
                  <bgColor rgb="FFFF0000"/>
                </patternFill>
              </fill>
            </x14:dxf>
          </x14:cfRule>
          <xm:sqref>F5 C5:C6 D13 B22</xm:sqref>
        </x14:conditionalFormatting>
        <x14:conditionalFormatting xmlns:xm="http://schemas.microsoft.com/office/excel/2006/main">
          <x14:cfRule type="expression" priority="20" id="{42104D77-15A3-4834-A31A-F29DF154B67B}">
            <xm:f>COUNTIF(Efficiency!$Z$5:$Z$48,"Dropout")&gt;0</xm:f>
            <x14:dxf>
              <fill>
                <patternFill>
                  <bgColor rgb="FFFF0000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D166"/>
  <sheetViews>
    <sheetView zoomScale="90" zoomScaleNormal="90" workbookViewId="0">
      <selection activeCell="N3" sqref="N3"/>
    </sheetView>
  </sheetViews>
  <sheetFormatPr defaultRowHeight="15" x14ac:dyDescent="0.25"/>
  <cols>
    <col min="1" max="2" width="6.7109375" style="158" customWidth="1"/>
    <col min="3" max="3" width="9.42578125" style="158" customWidth="1"/>
    <col min="4" max="4" width="7.85546875" style="158" customWidth="1"/>
    <col min="5" max="5" width="10.85546875" style="158" customWidth="1"/>
    <col min="6" max="6" width="10" style="158" customWidth="1"/>
    <col min="7" max="7" width="7.7109375" style="158" customWidth="1"/>
    <col min="8" max="8" width="9.7109375" style="202" customWidth="1"/>
    <col min="9" max="9" width="6.7109375" style="202" customWidth="1"/>
    <col min="10" max="11" width="8.5703125" style="202" bestFit="1" customWidth="1"/>
    <col min="12" max="12" width="8.28515625" style="202" bestFit="1" customWidth="1"/>
    <col min="13" max="13" width="9.28515625" style="202" bestFit="1" customWidth="1"/>
    <col min="14" max="14" width="7.42578125" style="202" bestFit="1" customWidth="1"/>
    <col min="15" max="15" width="9.28515625" style="202" bestFit="1" customWidth="1"/>
    <col min="16" max="16" width="9.28515625" style="202" customWidth="1"/>
    <col min="17" max="17" width="7.7109375" style="202" customWidth="1"/>
    <col min="18" max="18" width="8.28515625" style="202" bestFit="1" customWidth="1"/>
    <col min="19" max="19" width="6.7109375" style="202" customWidth="1"/>
    <col min="20" max="20" width="7.140625" style="202" bestFit="1" customWidth="1"/>
    <col min="21" max="21" width="6.7109375" style="202" customWidth="1"/>
    <col min="22" max="23" width="8.5703125" style="202" bestFit="1" customWidth="1"/>
    <col min="24" max="24" width="8.5703125" style="202" customWidth="1"/>
    <col min="25" max="25" width="11.7109375" style="57" customWidth="1"/>
    <col min="26" max="26" width="19.7109375" style="57" customWidth="1"/>
    <col min="27" max="16384" width="9.140625" style="57"/>
  </cols>
  <sheetData>
    <row r="1" spans="1:30" ht="24" customHeight="1" x14ac:dyDescent="0.25">
      <c r="A1" s="490" t="s">
        <v>89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</row>
    <row r="2" spans="1:30" ht="24" customHeight="1" thickBot="1" x14ac:dyDescent="0.3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181">
        <v>0</v>
      </c>
    </row>
    <row r="3" spans="1:30" ht="24" customHeight="1" thickBot="1" x14ac:dyDescent="0.3">
      <c r="A3" s="491" t="s">
        <v>258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357" t="s">
        <v>259</v>
      </c>
      <c r="N3" s="258">
        <v>0</v>
      </c>
      <c r="O3" s="357"/>
      <c r="P3" s="357" t="s">
        <v>319</v>
      </c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181">
        <v>1</v>
      </c>
    </row>
    <row r="4" spans="1:30" s="353" customFormat="1" ht="18" customHeight="1" thickBot="1" x14ac:dyDescent="0.3">
      <c r="A4" s="358"/>
      <c r="B4" s="487">
        <f>IOUT</f>
        <v>0.7</v>
      </c>
      <c r="C4" s="488"/>
      <c r="D4" s="489">
        <f>IF($I$4="None",VOUT,VOUT-V_cs+VLOOKUP($I$4,Design!A90:F93,6))</f>
        <v>6.3999999999999995</v>
      </c>
      <c r="E4" s="489"/>
      <c r="F4" s="489"/>
      <c r="G4" s="489"/>
      <c r="H4" s="237" t="s">
        <v>249</v>
      </c>
      <c r="I4" s="259" t="s">
        <v>300</v>
      </c>
      <c r="J4" s="237"/>
      <c r="K4" s="359"/>
      <c r="L4" s="360"/>
      <c r="M4" s="237"/>
      <c r="N4" s="361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</row>
    <row r="5" spans="1:30" s="354" customFormat="1" thickBot="1" x14ac:dyDescent="0.3">
      <c r="A5" s="239" t="s">
        <v>107</v>
      </c>
      <c r="B5" s="362" t="s">
        <v>190</v>
      </c>
      <c r="C5" s="362" t="s">
        <v>128</v>
      </c>
      <c r="D5" s="363" t="s">
        <v>126</v>
      </c>
      <c r="E5" s="363" t="s">
        <v>236</v>
      </c>
      <c r="F5" s="363" t="s">
        <v>235</v>
      </c>
      <c r="G5" s="363" t="s">
        <v>127</v>
      </c>
      <c r="H5" s="363" t="s">
        <v>233</v>
      </c>
      <c r="I5" s="363" t="s">
        <v>53</v>
      </c>
      <c r="J5" s="363" t="s">
        <v>54</v>
      </c>
      <c r="K5" s="363" t="s">
        <v>103</v>
      </c>
      <c r="L5" s="363" t="s">
        <v>138</v>
      </c>
      <c r="M5" s="363" t="s">
        <v>140</v>
      </c>
      <c r="N5" s="363" t="s">
        <v>141</v>
      </c>
      <c r="O5" s="363" t="s">
        <v>150</v>
      </c>
      <c r="P5" s="363" t="s">
        <v>248</v>
      </c>
      <c r="Q5" s="363" t="s">
        <v>153</v>
      </c>
      <c r="R5" s="363" t="s">
        <v>154</v>
      </c>
      <c r="S5" s="363" t="s">
        <v>65</v>
      </c>
      <c r="T5" s="363" t="s">
        <v>132</v>
      </c>
      <c r="U5" s="363" t="s">
        <v>139</v>
      </c>
      <c r="V5" s="363" t="s">
        <v>234</v>
      </c>
      <c r="W5" s="363" t="s">
        <v>142</v>
      </c>
      <c r="X5" s="363" t="s">
        <v>260</v>
      </c>
      <c r="Y5" s="363" t="s">
        <v>238</v>
      </c>
      <c r="Z5" s="240" t="s">
        <v>237</v>
      </c>
      <c r="AA5" s="395"/>
      <c r="AB5" s="395"/>
      <c r="AC5" s="395"/>
      <c r="AD5" s="395"/>
    </row>
    <row r="6" spans="1:30" s="355" customFormat="1" ht="14.45" customHeight="1" x14ac:dyDescent="0.2">
      <c r="A6" s="364">
        <v>25</v>
      </c>
      <c r="B6" s="170">
        <f>Design!B4</f>
        <v>10</v>
      </c>
      <c r="C6" s="170">
        <f ca="1">IF(RESET=1,VF,VF+(Q6-25)*Design!$B$16/1000)</f>
        <v>0.41462364767885967</v>
      </c>
      <c r="D6" s="183">
        <f t="shared" ref="D6:D26" ca="1" si="0">IF(RESET=1,$D$4/B6,MIN(($D$4+C6+IOUT*DCR*(1+(R6-25)*TCR_Cu/100)/1000)/(B6-IOUT*S6/1000+C6),(Tsw-Min_tOFF_typ)/Tsw))</f>
        <v>0.66319934809175851</v>
      </c>
      <c r="E6" s="175">
        <f ca="1">IF(D6&gt;=(Tsw-Min_tOFF_typ)/Tsw,Tsw-Min_tOFF_typ,IF(Tsw*D6&gt;Constants!$C$19,Tsw*D6,Constants!$C$19))</f>
        <v>331.59967404587928</v>
      </c>
      <c r="F6" s="175">
        <f ca="1">IF(E6=Constants!$C$19,Tsw-Constants!$C$19,IF(Tsw*(1-Efficiency!D6)&gt;Min_tOFF_typ,Tsw*(1-Efficiency!D6),Min_tOFF_typ))</f>
        <v>168.40032595412075</v>
      </c>
      <c r="G6" s="28">
        <f t="shared" ref="G6:G26" ca="1" si="1">(B6-VOUT)/(Lout*micro)*D6*Tsw*nano</f>
        <v>0.37179357393022833</v>
      </c>
      <c r="H6" s="241">
        <f t="shared" ref="H6:H26" si="2">B6*Iq*milli</f>
        <v>0.05</v>
      </c>
      <c r="I6" s="242">
        <f t="shared" ref="I6:I25" si="3">B6*$B$4*(B6/(Slew_rise*10^9)*fsw*10^6/2+B6/(Slew_fall*10^9)*fsw*10^6/2)</f>
        <v>0.105</v>
      </c>
      <c r="J6" s="242">
        <f ca="1">(D6*($B$4^2+G6^2/12))*S6*10^-3</f>
        <v>5.4335813793280813E-2</v>
      </c>
      <c r="K6" s="242">
        <f t="shared" ref="K6:K26" si="4">Qg*10^-9*B6*fsw*10^6</f>
        <v>9.9999999999999992E-2</v>
      </c>
      <c r="L6" s="242">
        <f ca="1">SUM(H6:K6)</f>
        <v>0.30933581379328079</v>
      </c>
      <c r="M6" s="242">
        <f ca="1">($B$4)*C6*(1-D6)</f>
        <v>9.7751860384369088E-2</v>
      </c>
      <c r="N6" s="242">
        <f ca="1">($B$4^2+G6^2/12)*DCR/1000+($B$4^2+G6^2/12)^2*DCR/1000*(R6-25)*(Constants!$C$32/100)</f>
        <v>1.1521637338937799E-2</v>
      </c>
      <c r="O6" s="242">
        <f t="shared" ref="O6:O25" si="5">0.5*C_SNUB*10^-12*B6^2*fsw*10^6</f>
        <v>4.7000000000000007E-2</v>
      </c>
      <c r="P6" s="242">
        <f>IF($I$4="None",V_cs^2/RFB_1,VLOOKUP($I$4,Design!$A$90:$F$93,5))</f>
        <v>0.20979020979020982</v>
      </c>
      <c r="Q6" s="182">
        <f t="shared" ref="Q6:Q25" ca="1" si="6">$A6+M6*RthJA</f>
        <v>30.376352321140299</v>
      </c>
      <c r="R6" s="182">
        <f t="shared" ref="R6:R26" ca="1" si="7">MIN(L6*RthJA_IC+$A6,190)</f>
        <v>38.920111620697639</v>
      </c>
      <c r="S6" s="35">
        <f ca="1">IF(RESET=1,Rdson,Rdson+Rdson*TCR_RdsON/100*(Efficiency!R6-25))</f>
        <v>163.36330715586973</v>
      </c>
      <c r="T6" s="365">
        <f t="shared" ref="T6:T26" ca="1" si="8">(1-Min_tOFF_typ*10^-9*fsw*10^6) * (B6+C6-$B$4*S6/1000) - (C6+$B$4*DCR/1000)</f>
        <v>7.8099398184569413</v>
      </c>
      <c r="U6" s="365">
        <f ca="1">IF(T6&gt;$D$4,$D$4,T6)</f>
        <v>6.3999999999999995</v>
      </c>
      <c r="V6" s="242">
        <f ca="1">SUM(L6:P6)</f>
        <v>0.67539952130679748</v>
      </c>
      <c r="W6" s="365">
        <f t="shared" ref="W6:W26" ca="1" si="9">U6*$B$4</f>
        <v>4.4799999999999995</v>
      </c>
      <c r="X6" s="365">
        <f ca="1">V6+W6</f>
        <v>5.1553995213067969</v>
      </c>
      <c r="Y6" s="366">
        <f t="shared" ref="Y6:Y26" ca="1" si="10">W6/(W6+V6)</f>
        <v>0.86899181750794818</v>
      </c>
      <c r="Z6" s="173" t="str">
        <f ca="1">IF(R6&gt;Constants!$C$31,"TSD",IF(OR(E6=Constants!$C$19,Efficiency!F6=Min_tOFF_typ),IF(E6=Constants!$C$19,"Pulse Skip","Dropout"),"Normal"))</f>
        <v>Normal</v>
      </c>
      <c r="AA6" s="393"/>
      <c r="AB6" s="393"/>
      <c r="AC6" s="393"/>
      <c r="AD6" s="394"/>
    </row>
    <row r="7" spans="1:30" ht="12.6" customHeight="1" x14ac:dyDescent="0.25">
      <c r="A7" s="367">
        <f>25</f>
        <v>25</v>
      </c>
      <c r="B7" s="27">
        <f>($B$25-$B$6)/19+B6</f>
        <v>10.421052631578947</v>
      </c>
      <c r="C7" s="27">
        <f ca="1">IF(RESET=1,VF,VF+(Q7-25)*Design!$B$16/1000)</f>
        <v>0.41421383229262188</v>
      </c>
      <c r="D7" s="171">
        <f t="shared" ca="1" si="0"/>
        <v>0.63716791037693432</v>
      </c>
      <c r="E7" s="175">
        <f ca="1">IF(F7=Min_tOFF_typ,Tsw-Min_tOFF_typ,IF(Tsw*Efficiency!D7&gt;Constants!$C$19,Tsw*Efficiency!D7,Constants!$C$19))</f>
        <v>318.58395518846714</v>
      </c>
      <c r="F7" s="175">
        <f ca="1">IF(E7=Constants!$C$19,Tsw-Constants!$C$19,IF(Tsw*(1-Efficiency!D7)&gt;Min_tOFF_typ,Tsw*(1-Efficiency!D7),Min_tOFF_typ))</f>
        <v>181.41604481153283</v>
      </c>
      <c r="G7" s="28">
        <f t="shared" ca="1" si="1"/>
        <v>0.39784886269947334</v>
      </c>
      <c r="H7" s="172">
        <f t="shared" si="2"/>
        <v>5.2105263157894731E-2</v>
      </c>
      <c r="I7" s="34">
        <f t="shared" si="3"/>
        <v>0.11402825484764541</v>
      </c>
      <c r="J7" s="34">
        <f t="shared" ref="J7:J25" ca="1" si="11">(D7*($B$4^2+G7^2/12))*S7*10^-3</f>
        <v>5.2565005452425137E-2</v>
      </c>
      <c r="K7" s="34">
        <f t="shared" si="4"/>
        <v>0.10421052631578946</v>
      </c>
      <c r="L7" s="34">
        <f t="shared" ref="L7:L25" ca="1" si="12">SUM(H7:K7)</f>
        <v>0.32290904977375473</v>
      </c>
      <c r="M7" s="34">
        <f t="shared" ref="M7:M26" ca="1" si="13">($B$4)*C7*(1-D7)</f>
        <v>0.10520304922505704</v>
      </c>
      <c r="N7" s="34">
        <f ca="1">($B$4^2+G7^2/12)*DCR/1000+($B$4^2+G7^2/12)^2*DCR/1000*(R7-A7)*(Constants!$C$32/100)</f>
        <v>1.1574647173697368E-2</v>
      </c>
      <c r="O7" s="34">
        <f t="shared" si="5"/>
        <v>5.1041218836565101E-2</v>
      </c>
      <c r="P7" s="34">
        <f>IF($I$4="None",V_cs^2/RFB_1,VLOOKUP($I$4,Design!$A$90:$F$93,5))</f>
        <v>0.20979020979020982</v>
      </c>
      <c r="Q7" s="35">
        <f t="shared" ca="1" si="6"/>
        <v>30.786167707378137</v>
      </c>
      <c r="R7" s="35">
        <f t="shared" ca="1" si="7"/>
        <v>39.530907239818958</v>
      </c>
      <c r="S7" s="35">
        <f ca="1">IF(RESET=1,Rdson,Rdson+Rdson*TCR_RdsON/100*(Efficiency!R7-25))</f>
        <v>163.94967095022619</v>
      </c>
      <c r="T7" s="366">
        <f t="shared" ca="1" si="8"/>
        <v>8.1465355230725081</v>
      </c>
      <c r="U7" s="366">
        <f t="shared" ref="U7:U26" ca="1" si="14">IF(T7&gt;$D$4,$D$4,T7)</f>
        <v>6.3999999999999995</v>
      </c>
      <c r="V7" s="34">
        <f t="shared" ref="V7:V25" ca="1" si="15">SUM(L7:P7)</f>
        <v>0.70051817479928402</v>
      </c>
      <c r="W7" s="366">
        <f t="shared" ca="1" si="9"/>
        <v>4.4799999999999995</v>
      </c>
      <c r="X7" s="366">
        <f t="shared" ref="X7:X26" ca="1" si="16">V7+W7</f>
        <v>5.1805181747992837</v>
      </c>
      <c r="Y7" s="366">
        <f t="shared" ca="1" si="10"/>
        <v>0.86477835784710366</v>
      </c>
      <c r="Z7" s="174" t="str">
        <f ca="1">IF(R7&gt;Constants!$C$31,"TSD",IF(OR(E7=Constants!$C$19,Efficiency!F7=Min_tOFF_typ),IF(E7=Constants!$C$19,"Pulse Skip","Dropout"),"Normal"))</f>
        <v>Normal</v>
      </c>
      <c r="AA7" s="393"/>
      <c r="AB7" s="393"/>
      <c r="AC7" s="393"/>
      <c r="AD7" s="394"/>
    </row>
    <row r="8" spans="1:30" ht="12.6" customHeight="1" x14ac:dyDescent="0.25">
      <c r="A8" s="367">
        <f>25</f>
        <v>25</v>
      </c>
      <c r="B8" s="27">
        <f t="shared" ref="B8:B24" si="17">($B$25-$B$6)/19+B7</f>
        <v>10.842105263157894</v>
      </c>
      <c r="C8" s="27">
        <f ca="1">IF(RESET=1,VF,VF+(Q8-25)*Design!$B$16/1000)</f>
        <v>0.41383568638630597</v>
      </c>
      <c r="D8" s="171">
        <f t="shared" ca="1" si="0"/>
        <v>0.61310238053112442</v>
      </c>
      <c r="E8" s="175">
        <f ca="1">IF(F8=Min_tOFF_typ,Tsw-Min_tOFF_typ,IF(Tsw*Efficiency!D8&gt;Constants!$C$19,Tsw*Efficiency!D8,Constants!$C$19))</f>
        <v>306.55119026556224</v>
      </c>
      <c r="F8" s="175">
        <f ca="1">IF(E8=Constants!$C$19,Tsw-Constants!$C$19,IF(Tsw*(1-Efficiency!D8)&gt;Min_tOFF_typ,Tsw*(1-Efficiency!D8),Min_tOFF_typ))</f>
        <v>193.44880973443779</v>
      </c>
      <c r="G8" s="28">
        <f t="shared" ca="1" si="1"/>
        <v>0.42193568931288711</v>
      </c>
      <c r="H8" s="172">
        <f t="shared" si="2"/>
        <v>5.4210526315789466E-2</v>
      </c>
      <c r="I8" s="34">
        <f t="shared" si="3"/>
        <v>0.1234288088642659</v>
      </c>
      <c r="J8" s="34">
        <f t="shared" ca="1" si="11"/>
        <v>5.093338053035041E-2</v>
      </c>
      <c r="K8" s="34">
        <f t="shared" si="4"/>
        <v>0.10842105263157893</v>
      </c>
      <c r="L8" s="34">
        <f t="shared" ca="1" si="12"/>
        <v>0.33699376834198469</v>
      </c>
      <c r="M8" s="34">
        <f t="shared" ca="1" si="13"/>
        <v>0.11207842933989094</v>
      </c>
      <c r="N8" s="34">
        <f ca="1">($B$4^2+G8^2/12)*DCR/1000+($B$4^2+G8^2/12)^2*DCR/1000*(R8-A8)*(Constants!$C$32/100)</f>
        <v>1.1627753245520716E-2</v>
      </c>
      <c r="O8" s="34">
        <f t="shared" si="5"/>
        <v>5.5249085872576167E-2</v>
      </c>
      <c r="P8" s="34">
        <f>IF($I$4="None",V_cs^2/RFB_1,VLOOKUP($I$4,Design!$A$90:$F$93,5))</f>
        <v>0.20979020979020982</v>
      </c>
      <c r="Q8" s="35">
        <f t="shared" ca="1" si="6"/>
        <v>31.164313613694002</v>
      </c>
      <c r="R8" s="35">
        <f t="shared" ca="1" si="7"/>
        <v>40.164719575389313</v>
      </c>
      <c r="S8" s="35">
        <f ca="1">IF(RESET=1,Rdson,Rdson+Rdson*TCR_RdsON/100*(Efficiency!R8-25))</f>
        <v>164.55813079237373</v>
      </c>
      <c r="T8" s="366">
        <f t="shared" ca="1" si="8"/>
        <v>8.4831125200053261</v>
      </c>
      <c r="U8" s="366">
        <f t="shared" ca="1" si="14"/>
        <v>6.3999999999999995</v>
      </c>
      <c r="V8" s="34">
        <f t="shared" ca="1" si="15"/>
        <v>0.7257392465901823</v>
      </c>
      <c r="W8" s="366">
        <f t="shared" ca="1" si="9"/>
        <v>4.4799999999999995</v>
      </c>
      <c r="X8" s="366">
        <f t="shared" ca="1" si="16"/>
        <v>5.2057392465901815</v>
      </c>
      <c r="Y8" s="366">
        <f t="shared" ca="1" si="10"/>
        <v>0.86058862877821829</v>
      </c>
      <c r="Z8" s="174" t="str">
        <f ca="1">IF(R8&gt;Constants!$C$31,"TSD",IF(OR(E8=Constants!$C$19,Efficiency!F8=Min_tOFF_typ),IF(E8=Constants!$C$19,"Pulse Skip","Dropout"),"Normal"))</f>
        <v>Normal</v>
      </c>
      <c r="AA8" s="393"/>
      <c r="AB8" s="393"/>
      <c r="AC8" s="393"/>
      <c r="AD8" s="394"/>
    </row>
    <row r="9" spans="1:30" ht="12.6" customHeight="1" x14ac:dyDescent="0.25">
      <c r="A9" s="367">
        <f>25</f>
        <v>25</v>
      </c>
      <c r="B9" s="27">
        <f t="shared" si="17"/>
        <v>11.263157894736841</v>
      </c>
      <c r="C9" s="27">
        <f ca="1">IF(RESET=1,VF,VF+(Q9-25)*Design!$B$16/1000)</f>
        <v>0.41348567800830927</v>
      </c>
      <c r="D9" s="171">
        <f t="shared" ca="1" si="0"/>
        <v>0.59078832081835075</v>
      </c>
      <c r="E9" s="175">
        <f ca="1">IF(F9=Min_tOFF_typ,Tsw-Min_tOFF_typ,IF(Tsw*Efficiency!D9&gt;Constants!$C$19,Tsw*Efficiency!D9,Constants!$C$19))</f>
        <v>295.39416040917536</v>
      </c>
      <c r="F9" s="175">
        <f ca="1">IF(E9=Constants!$C$19,Tsw-Constants!$C$19,IF(Tsw*(1-Efficiency!D9)&gt;Min_tOFF_typ,Tsw*(1-Efficiency!D9),Min_tOFF_typ))</f>
        <v>204.60583959082462</v>
      </c>
      <c r="G9" s="28">
        <f t="shared" ca="1" si="1"/>
        <v>0.44426904827089686</v>
      </c>
      <c r="H9" s="172">
        <f t="shared" si="2"/>
        <v>5.6315789473684208E-2</v>
      </c>
      <c r="I9" s="34">
        <f t="shared" si="3"/>
        <v>0.13320166204986145</v>
      </c>
      <c r="J9" s="34">
        <f t="shared" ca="1" si="11"/>
        <v>4.9424827214512759E-2</v>
      </c>
      <c r="K9" s="34">
        <f t="shared" si="4"/>
        <v>0.11263157894736842</v>
      </c>
      <c r="L9" s="34">
        <f t="shared" ca="1" si="12"/>
        <v>0.35157385768542682</v>
      </c>
      <c r="M9" s="34">
        <f t="shared" ca="1" si="13"/>
        <v>0.11844221803074007</v>
      </c>
      <c r="N9" s="34">
        <f ca="1">($B$4^2+G9^2/12)*DCR/1000+($B$4^2+G9^2/12)^2*DCR/1000*(R9-A9)*(Constants!$C$32/100)</f>
        <v>1.1680760346503168E-2</v>
      </c>
      <c r="O9" s="34">
        <f t="shared" si="5"/>
        <v>5.9623601108033226E-2</v>
      </c>
      <c r="P9" s="34">
        <f>IF($I$4="None",V_cs^2/RFB_1,VLOOKUP($I$4,Design!$A$90:$F$93,5))</f>
        <v>0.20979020979020982</v>
      </c>
      <c r="Q9" s="35">
        <f t="shared" ca="1" si="6"/>
        <v>31.514321991690704</v>
      </c>
      <c r="R9" s="35">
        <f t="shared" ca="1" si="7"/>
        <v>40.820823595844203</v>
      </c>
      <c r="S9" s="35">
        <f ca="1">IF(RESET=1,Rdson,Rdson+Rdson*TCR_RdsON/100*(Efficiency!R9-25))</f>
        <v>165.18799065201043</v>
      </c>
      <c r="T9" s="366">
        <f t="shared" ca="1" si="8"/>
        <v>8.819671905422684</v>
      </c>
      <c r="U9" s="366">
        <f t="shared" ca="1" si="14"/>
        <v>6.3999999999999995</v>
      </c>
      <c r="V9" s="34">
        <f t="shared" ca="1" si="15"/>
        <v>0.75111064696091312</v>
      </c>
      <c r="W9" s="366">
        <f t="shared" ca="1" si="9"/>
        <v>4.4799999999999995</v>
      </c>
      <c r="X9" s="366">
        <f t="shared" ca="1" si="16"/>
        <v>5.2311106469609125</v>
      </c>
      <c r="Y9" s="366">
        <f t="shared" ca="1" si="10"/>
        <v>0.85641468941260468</v>
      </c>
      <c r="Z9" s="174" t="str">
        <f ca="1">IF(R9&gt;Constants!$C$31,"TSD",IF(OR(E9=Constants!$C$19,Efficiency!F9=Min_tOFF_typ),IF(E9=Constants!$C$19,"Pulse Skip","Dropout"),"Normal"))</f>
        <v>Normal</v>
      </c>
      <c r="AA9" s="393"/>
      <c r="AB9" s="393"/>
      <c r="AC9" s="393"/>
      <c r="AD9" s="394"/>
    </row>
    <row r="10" spans="1:30" ht="12.6" customHeight="1" x14ac:dyDescent="0.25">
      <c r="A10" s="367">
        <f>25</f>
        <v>25</v>
      </c>
      <c r="B10" s="27">
        <f t="shared" si="17"/>
        <v>11.684210526315788</v>
      </c>
      <c r="C10" s="27">
        <f ca="1">IF(RESET=1,VF,VF+(Q10-25)*Design!$B$16/1000)</f>
        <v>0.4131607812793352</v>
      </c>
      <c r="D10" s="171">
        <f t="shared" ca="1" si="0"/>
        <v>0.57004136708588182</v>
      </c>
      <c r="E10" s="175">
        <f ca="1">IF(F10=Min_tOFF_typ,Tsw-Min_tOFF_typ,IF(Tsw*Efficiency!D10&gt;Constants!$C$19,Tsw*Efficiency!D10,Constants!$C$19))</f>
        <v>285.0206835429409</v>
      </c>
      <c r="F10" s="175">
        <f ca="1">IF(E10=Constants!$C$19,Tsw-Constants!$C$19,IF(Tsw*(1-Efficiency!D10)&gt;Min_tOFF_typ,Tsw*(1-Efficiency!D10),Min_tOFF_typ))</f>
        <v>214.9793164570591</v>
      </c>
      <c r="G10" s="28">
        <f t="shared" ca="1" si="1"/>
        <v>0.46503374683321924</v>
      </c>
      <c r="H10" s="172">
        <f t="shared" si="2"/>
        <v>5.8421052631578936E-2</v>
      </c>
      <c r="I10" s="34">
        <f t="shared" si="3"/>
        <v>0.14334681440443209</v>
      </c>
      <c r="J10" s="34">
        <f t="shared" ca="1" si="11"/>
        <v>4.8025748089418459E-2</v>
      </c>
      <c r="K10" s="34">
        <f t="shared" si="4"/>
        <v>0.11684210526315789</v>
      </c>
      <c r="L10" s="34">
        <f t="shared" ca="1" si="12"/>
        <v>0.36663572038858738</v>
      </c>
      <c r="M10" s="34">
        <f t="shared" ca="1" si="13"/>
        <v>0.12434943128481435</v>
      </c>
      <c r="N10" s="34">
        <f ca="1">($B$4^2+G10^2/12)*DCR/1000+($B$4^2+G10^2/12)^2*DCR/1000*(R10-A10)*(Constants!$C$32/100)</f>
        <v>1.1733533443549615E-2</v>
      </c>
      <c r="O10" s="34">
        <f t="shared" si="5"/>
        <v>6.4164764542936265E-2</v>
      </c>
      <c r="P10" s="34">
        <f>IF($I$4="None",V_cs^2/RFB_1,VLOOKUP($I$4,Design!$A$90:$F$93,5))</f>
        <v>0.20979020979020982</v>
      </c>
      <c r="Q10" s="35">
        <f t="shared" ca="1" si="6"/>
        <v>31.839218720664789</v>
      </c>
      <c r="R10" s="35">
        <f t="shared" ca="1" si="7"/>
        <v>41.498607417486433</v>
      </c>
      <c r="S10" s="35">
        <f ca="1">IF(RESET=1,Rdson,Rdson+Rdson*TCR_RdsON/100*(Efficiency!R10-25))</f>
        <v>165.83866312078698</v>
      </c>
      <c r="T10" s="366">
        <f t="shared" ca="1" si="8"/>
        <v>9.1562146134491229</v>
      </c>
      <c r="U10" s="366">
        <f t="shared" ca="1" si="14"/>
        <v>6.3999999999999995</v>
      </c>
      <c r="V10" s="34">
        <f t="shared" ca="1" si="15"/>
        <v>0.77667365945009748</v>
      </c>
      <c r="W10" s="366">
        <f t="shared" ca="1" si="9"/>
        <v>4.4799999999999995</v>
      </c>
      <c r="X10" s="366">
        <f t="shared" ca="1" si="16"/>
        <v>5.2566736594500973</v>
      </c>
      <c r="Y10" s="366">
        <f t="shared" ca="1" si="10"/>
        <v>0.85224997597980123</v>
      </c>
      <c r="Z10" s="174" t="str">
        <f ca="1">IF(R10&gt;Constants!$C$31,"TSD",IF(OR(E10=Constants!$C$19,Efficiency!F10=Min_tOFF_typ),IF(E10=Constants!$C$19,"Pulse Skip","Dropout"),"Normal"))</f>
        <v>Normal</v>
      </c>
      <c r="AA10" s="393"/>
      <c r="AB10" s="393"/>
      <c r="AC10" s="393"/>
      <c r="AD10" s="394"/>
    </row>
    <row r="11" spans="1:30" ht="12.6" customHeight="1" x14ac:dyDescent="0.25">
      <c r="A11" s="367">
        <f>25</f>
        <v>25</v>
      </c>
      <c r="B11" s="27">
        <f t="shared" si="17"/>
        <v>12.105263157894735</v>
      </c>
      <c r="C11" s="27">
        <f ca="1">IF(RESET=1,VF,VF+(Q11-25)*Design!$B$16/1000)</f>
        <v>0.41285838893503241</v>
      </c>
      <c r="D11" s="171">
        <f t="shared" ca="1" si="0"/>
        <v>0.55070213838612525</v>
      </c>
      <c r="E11" s="175">
        <f ca="1">IF(F11=Min_tOFF_typ,Tsw-Min_tOFF_typ,IF(Tsw*Efficiency!D11&gt;Constants!$C$19,Tsw*Efficiency!D11,Constants!$C$19))</f>
        <v>275.35106919306264</v>
      </c>
      <c r="F11" s="175">
        <f ca="1">IF(E11=Constants!$C$19,Tsw-Constants!$C$19,IF(Tsw*(1-Efficiency!D11)&gt;Min_tOFF_typ,Tsw*(1-Efficiency!D11),Min_tOFF_typ))</f>
        <v>224.64893080693739</v>
      </c>
      <c r="G11" s="28">
        <f t="shared" ca="1" si="1"/>
        <v>0.48438952044648803</v>
      </c>
      <c r="H11" s="172">
        <f t="shared" si="2"/>
        <v>6.0526315789473671E-2</v>
      </c>
      <c r="I11" s="34">
        <f t="shared" si="3"/>
        <v>0.15386426592797778</v>
      </c>
      <c r="J11" s="34">
        <f t="shared" ca="1" si="11"/>
        <v>4.6724571894221419E-2</v>
      </c>
      <c r="K11" s="34">
        <f t="shared" si="4"/>
        <v>0.12105263157894734</v>
      </c>
      <c r="L11" s="34">
        <f t="shared" ca="1" si="12"/>
        <v>0.38216778519062022</v>
      </c>
      <c r="M11" s="34">
        <f t="shared" ca="1" si="13"/>
        <v>0.1298474739085016</v>
      </c>
      <c r="N11" s="34">
        <f ca="1">($B$4^2+G11^2/12)*DCR/1000+($B$4^2+G11^2/12)^2*DCR/1000*(R11-A11)*(Constants!$C$32/100)</f>
        <v>1.1785982049547014E-2</v>
      </c>
      <c r="O11" s="34">
        <f t="shared" si="5"/>
        <v>6.8872576177285302E-2</v>
      </c>
      <c r="P11" s="34">
        <f>IF($I$4="None",V_cs^2/RFB_1,VLOOKUP($I$4,Design!$A$90:$F$93,5))</f>
        <v>0.20979020979020982</v>
      </c>
      <c r="Q11" s="35">
        <f t="shared" ca="1" si="6"/>
        <v>32.141611064967591</v>
      </c>
      <c r="R11" s="35">
        <f t="shared" ca="1" si="7"/>
        <v>42.197550333577908</v>
      </c>
      <c r="S11" s="35">
        <f ca="1">IF(RESET=1,Rdson,Rdson+Rdson*TCR_RdsON/100*(Efficiency!R11-25))</f>
        <v>166.50964832023479</v>
      </c>
      <c r="T11" s="366">
        <f t="shared" ca="1" si="8"/>
        <v>9.4927414454694485</v>
      </c>
      <c r="U11" s="366">
        <f t="shared" ca="1" si="14"/>
        <v>6.3999999999999995</v>
      </c>
      <c r="V11" s="34">
        <f t="shared" ca="1" si="15"/>
        <v>0.80246402711616394</v>
      </c>
      <c r="W11" s="366">
        <f t="shared" ca="1" si="9"/>
        <v>4.4799999999999995</v>
      </c>
      <c r="X11" s="366">
        <f t="shared" ca="1" si="16"/>
        <v>5.2824640271161636</v>
      </c>
      <c r="Y11" s="366">
        <f t="shared" ca="1" si="10"/>
        <v>0.84808906923039662</v>
      </c>
      <c r="Z11" s="174" t="str">
        <f ca="1">IF(R11&gt;Constants!$C$31,"TSD",IF(OR(E11=Constants!$C$19,Efficiency!F11=Min_tOFF_typ),IF(E11=Constants!$C$19,"Pulse Skip","Dropout"),"Normal"))</f>
        <v>Normal</v>
      </c>
      <c r="AA11" s="393"/>
      <c r="AB11" s="393"/>
      <c r="AC11" s="393"/>
      <c r="AD11" s="394"/>
    </row>
    <row r="12" spans="1:30" ht="12.6" customHeight="1" x14ac:dyDescent="0.25">
      <c r="A12" s="367">
        <f>25</f>
        <v>25</v>
      </c>
      <c r="B12" s="27">
        <f t="shared" si="17"/>
        <v>12.526315789473681</v>
      </c>
      <c r="C12" s="27">
        <f ca="1">IF(RESET=1,VF,VF+(Q12-25)*Design!$B$16/1000)</f>
        <v>0.41257624239078011</v>
      </c>
      <c r="D12" s="171">
        <f t="shared" ca="1" si="0"/>
        <v>0.53263214612315901</v>
      </c>
      <c r="E12" s="175">
        <f ca="1">IF(F12=Min_tOFF_typ,Tsw-Min_tOFF_typ,IF(Tsw*Efficiency!D12&gt;Constants!$C$19,Tsw*Efficiency!D12,Constants!$C$19))</f>
        <v>266.31607306157952</v>
      </c>
      <c r="F12" s="175">
        <f ca="1">IF(E12=Constants!$C$19,Tsw-Constants!$C$19,IF(Tsw*(1-Efficiency!D12)&gt;Min_tOFF_typ,Tsw*(1-Efficiency!D12),Min_tOFF_typ))</f>
        <v>233.68392693842048</v>
      </c>
      <c r="G12" s="28">
        <f t="shared" ca="1" si="1"/>
        <v>0.50247514263452708</v>
      </c>
      <c r="H12" s="172">
        <f t="shared" si="2"/>
        <v>6.2631578947368413E-2</v>
      </c>
      <c r="I12" s="34">
        <f t="shared" si="3"/>
        <v>0.16475401662049852</v>
      </c>
      <c r="J12" s="34">
        <f t="shared" ca="1" si="11"/>
        <v>4.5511377019136157E-2</v>
      </c>
      <c r="K12" s="34">
        <f t="shared" si="4"/>
        <v>0.12526315789473683</v>
      </c>
      <c r="L12" s="34">
        <f t="shared" ca="1" si="12"/>
        <v>0.39816013048173993</v>
      </c>
      <c r="M12" s="34">
        <f t="shared" ca="1" si="13"/>
        <v>0.13497741107672517</v>
      </c>
      <c r="N12" s="34">
        <f ca="1">($B$4^2+G12^2/12)*DCR/1000+($B$4^2+G12^2/12)^2*DCR/1000*(R12-A12)*(Constants!$C$32/100)</f>
        <v>1.1838048712884517E-2</v>
      </c>
      <c r="O12" s="34">
        <f t="shared" si="5"/>
        <v>7.3747036011080305E-2</v>
      </c>
      <c r="P12" s="34">
        <f>IF($I$4="None",V_cs^2/RFB_1,VLOOKUP($I$4,Design!$A$90:$F$93,5))</f>
        <v>0.20979020979020982</v>
      </c>
      <c r="Q12" s="35">
        <f t="shared" ca="1" si="6"/>
        <v>32.423757609219884</v>
      </c>
      <c r="R12" s="35">
        <f t="shared" ca="1" si="7"/>
        <v>42.917205871678298</v>
      </c>
      <c r="S12" s="35">
        <f ca="1">IF(RESET=1,Rdson,Rdson+Rdson*TCR_RdsON/100*(Efficiency!R12-25))</f>
        <v>167.20051763681116</v>
      </c>
      <c r="T12" s="366">
        <f t="shared" ca="1" si="8"/>
        <v>9.8292530932241764</v>
      </c>
      <c r="U12" s="366">
        <f t="shared" ca="1" si="14"/>
        <v>6.3999999999999995</v>
      </c>
      <c r="V12" s="34">
        <f t="shared" ca="1" si="15"/>
        <v>0.82851283607263981</v>
      </c>
      <c r="W12" s="366">
        <f t="shared" ca="1" si="9"/>
        <v>4.4799999999999995</v>
      </c>
      <c r="X12" s="366">
        <f t="shared" ca="1" si="16"/>
        <v>5.308512836072639</v>
      </c>
      <c r="Y12" s="366">
        <f t="shared" ca="1" si="10"/>
        <v>0.84392750631726976</v>
      </c>
      <c r="Z12" s="174" t="str">
        <f ca="1">IF(R12&gt;Constants!$C$31,"TSD",IF(OR(E12=Constants!$C$19,Efficiency!F12=Min_tOFF_typ),IF(E12=Constants!$C$19,"Pulse Skip","Dropout"),"Normal"))</f>
        <v>Normal</v>
      </c>
      <c r="AA12" s="393"/>
      <c r="AB12" s="393"/>
      <c r="AC12" s="393"/>
      <c r="AD12" s="394"/>
    </row>
    <row r="13" spans="1:30" ht="12.75" customHeight="1" x14ac:dyDescent="0.25">
      <c r="A13" s="367">
        <f>25</f>
        <v>25</v>
      </c>
      <c r="B13" s="27">
        <f t="shared" si="17"/>
        <v>12.947368421052628</v>
      </c>
      <c r="C13" s="27">
        <f ca="1">IF(RESET=1,VF,VF+(Q13-25)*Design!$B$16/1000)</f>
        <v>0.4123123753670801</v>
      </c>
      <c r="D13" s="171">
        <f t="shared" ca="1" si="0"/>
        <v>0.51571048112186646</v>
      </c>
      <c r="E13" s="175">
        <f ca="1">IF(F13=Min_tOFF_typ,Tsw-Min_tOFF_typ,IF(Tsw*Efficiency!D13&gt;Constants!$C$19,Tsw*Efficiency!D13,Constants!$C$19))</f>
        <v>257.85524056093323</v>
      </c>
      <c r="F13" s="175">
        <f ca="1">IF(E13=Constants!$C$19,Tsw-Constants!$C$19,IF(Tsw*(1-Efficiency!D13)&gt;Min_tOFF_typ,Tsw*(1-Efficiency!D13),Min_tOFF_typ))</f>
        <v>242.14475943906677</v>
      </c>
      <c r="G13" s="28">
        <f t="shared" ca="1" si="1"/>
        <v>0.51941175251747773</v>
      </c>
      <c r="H13" s="172">
        <f t="shared" si="2"/>
        <v>6.4736842105263134E-2</v>
      </c>
      <c r="I13" s="34">
        <f t="shared" si="3"/>
        <v>0.17601606648199436</v>
      </c>
      <c r="J13" s="34">
        <f t="shared" ca="1" si="11"/>
        <v>4.4377597708842434E-2</v>
      </c>
      <c r="K13" s="34">
        <f t="shared" si="4"/>
        <v>0.1294736842105263</v>
      </c>
      <c r="L13" s="34">
        <f t="shared" ca="1" si="12"/>
        <v>0.41460419050662622</v>
      </c>
      <c r="M13" s="34">
        <f t="shared" ca="1" si="13"/>
        <v>0.1397749933258165</v>
      </c>
      <c r="N13" s="34">
        <f ca="1">($B$4^2+G13^2/12)*DCR/1000+($B$4^2+G13^2/12)^2*DCR/1000*(R13-A13)*(Constants!$C$32/100)</f>
        <v>1.1889700483405118E-2</v>
      </c>
      <c r="O13" s="34">
        <f t="shared" si="5"/>
        <v>7.8788144044321287E-2</v>
      </c>
      <c r="P13" s="34">
        <f>IF($I$4="None",V_cs^2/RFB_1,VLOOKUP($I$4,Design!$A$90:$F$93,5))</f>
        <v>0.20979020979020982</v>
      </c>
      <c r="Q13" s="35">
        <f t="shared" ca="1" si="6"/>
        <v>32.687624632919906</v>
      </c>
      <c r="R13" s="35">
        <f t="shared" ca="1" si="7"/>
        <v>43.657188572798177</v>
      </c>
      <c r="S13" s="35">
        <f ca="1">IF(RESET=1,Rdson,Rdson+Rdson*TCR_RdsON/100*(Efficiency!R13-25))</f>
        <v>167.91090102988625</v>
      </c>
      <c r="T13" s="366">
        <f t="shared" ca="1" si="8"/>
        <v>10.165750157191951</v>
      </c>
      <c r="U13" s="366">
        <f t="shared" ca="1" si="14"/>
        <v>6.3999999999999995</v>
      </c>
      <c r="V13" s="34">
        <f t="shared" ca="1" si="15"/>
        <v>0.854847238150379</v>
      </c>
      <c r="W13" s="366">
        <f t="shared" ca="1" si="9"/>
        <v>4.4799999999999995</v>
      </c>
      <c r="X13" s="366">
        <f t="shared" ca="1" si="16"/>
        <v>5.3348472381503784</v>
      </c>
      <c r="Y13" s="366">
        <f t="shared" ca="1" si="10"/>
        <v>0.83976162765501061</v>
      </c>
      <c r="Z13" s="174" t="str">
        <f ca="1">IF(R13&gt;Constants!$C$31,"TSD",IF(OR(E13=Constants!$C$19,Efficiency!F13=Min_tOFF_typ),IF(E13=Constants!$C$19,"Pulse Skip","Dropout"),"Normal"))</f>
        <v>Normal</v>
      </c>
      <c r="AA13" s="393"/>
      <c r="AB13" s="393"/>
      <c r="AC13" s="393"/>
      <c r="AD13" s="394"/>
    </row>
    <row r="14" spans="1:30" ht="12.75" customHeight="1" x14ac:dyDescent="0.25">
      <c r="A14" s="367">
        <f>25</f>
        <v>25</v>
      </c>
      <c r="B14" s="27">
        <f t="shared" si="17"/>
        <v>13.368421052631575</v>
      </c>
      <c r="C14" s="27">
        <f ca="1">IF(RESET=1,VF,VF+(Q14-25)*Design!$B$16/1000)</f>
        <v>0.41206506810519278</v>
      </c>
      <c r="D14" s="171">
        <f t="shared" ca="1" si="0"/>
        <v>0.49983111141749298</v>
      </c>
      <c r="E14" s="175">
        <f ca="1">IF(F14=Min_tOFF_typ,Tsw-Min_tOFF_typ,IF(Tsw*Efficiency!D14&gt;Constants!$C$19,Tsw*Efficiency!D14,Constants!$C$19))</f>
        <v>249.9155557087465</v>
      </c>
      <c r="F14" s="175">
        <f ca="1">IF(E14=Constants!$C$19,Tsw-Constants!$C$19,IF(Tsw*(1-Efficiency!D14)&gt;Min_tOFF_typ,Tsw*(1-Efficiency!D14),Min_tOFF_typ))</f>
        <v>250.08444429125353</v>
      </c>
      <c r="G14" s="28">
        <f t="shared" ca="1" si="1"/>
        <v>0.53530556828843123</v>
      </c>
      <c r="H14" s="172">
        <f t="shared" si="2"/>
        <v>6.6842105263157883E-2</v>
      </c>
      <c r="I14" s="34">
        <f t="shared" si="3"/>
        <v>0.18765041551246525</v>
      </c>
      <c r="J14" s="34">
        <f t="shared" ca="1" si="11"/>
        <v>4.3315792283969201E-2</v>
      </c>
      <c r="K14" s="34">
        <f t="shared" si="4"/>
        <v>0.13368421052631574</v>
      </c>
      <c r="L14" s="34">
        <f t="shared" ca="1" si="12"/>
        <v>0.43149252358590806</v>
      </c>
      <c r="M14" s="34">
        <f t="shared" ca="1" si="13"/>
        <v>0.14427148899649456</v>
      </c>
      <c r="N14" s="34">
        <f ca="1">($B$4^2+G14^2/12)*DCR/1000+($B$4^2+G14^2/12)^2*DCR/1000*(R14-A14)*(Constants!$C$32/100)</f>
        <v>1.1940922548542681E-2</v>
      </c>
      <c r="O14" s="34">
        <f t="shared" si="5"/>
        <v>8.3995900277008276E-2</v>
      </c>
      <c r="P14" s="34">
        <f>IF($I$4="None",V_cs^2/RFB_1,VLOOKUP($I$4,Design!$A$90:$F$93,5))</f>
        <v>0.20979020979020982</v>
      </c>
      <c r="Q14" s="35">
        <f t="shared" ca="1" si="6"/>
        <v>32.9349318948072</v>
      </c>
      <c r="R14" s="35">
        <f t="shared" ca="1" si="7"/>
        <v>44.417163561365868</v>
      </c>
      <c r="S14" s="35">
        <f ca="1">IF(RESET=1,Rdson,Rdson+Rdson*TCR_RdsON/100*(Efficiency!R14-25))</f>
        <v>168.64047701891124</v>
      </c>
      <c r="T14" s="366">
        <f t="shared" ca="1" si="8"/>
        <v>10.502233161353633</v>
      </c>
      <c r="U14" s="366">
        <f t="shared" ca="1" si="14"/>
        <v>6.3999999999999995</v>
      </c>
      <c r="V14" s="34">
        <f t="shared" ca="1" si="15"/>
        <v>0.88149104519816346</v>
      </c>
      <c r="W14" s="366">
        <f t="shared" ca="1" si="9"/>
        <v>4.4799999999999995</v>
      </c>
      <c r="X14" s="366">
        <f t="shared" ca="1" si="16"/>
        <v>5.3614910451981626</v>
      </c>
      <c r="Y14" s="366">
        <f t="shared" ca="1" si="10"/>
        <v>0.83558845146488858</v>
      </c>
      <c r="Z14" s="174" t="str">
        <f ca="1">IF(R14&gt;Constants!$C$31,"TSD",IF(OR(E14=Constants!$C$19,Efficiency!F14=Min_tOFF_typ),IF(E14=Constants!$C$19,"Pulse Skip","Dropout"),"Normal"))</f>
        <v>Normal</v>
      </c>
      <c r="AA14" s="393"/>
      <c r="AB14" s="393"/>
      <c r="AC14" s="393"/>
      <c r="AD14" s="394"/>
    </row>
    <row r="15" spans="1:30" ht="12.6" customHeight="1" x14ac:dyDescent="0.25">
      <c r="A15" s="367">
        <f>25</f>
        <v>25</v>
      </c>
      <c r="B15" s="27">
        <f t="shared" si="17"/>
        <v>13.789473684210522</v>
      </c>
      <c r="C15" s="27">
        <f ca="1">IF(RESET=1,VF,VF+(Q15-25)*Design!$B$16/1000)</f>
        <v>0.41183280992340005</v>
      </c>
      <c r="D15" s="171">
        <f t="shared" ca="1" si="0"/>
        <v>0.48490066339330468</v>
      </c>
      <c r="E15" s="175">
        <f ca="1">IF(F15=Min_tOFF_typ,Tsw-Min_tOFF_typ,IF(Tsw*Efficiency!D15&gt;Constants!$C$19,Tsw*Efficiency!D15,Constants!$C$19))</f>
        <v>242.45033169665234</v>
      </c>
      <c r="F15" s="175">
        <f ca="1">IF(E15=Constants!$C$19,Tsw-Constants!$C$19,IF(Tsw*(1-Efficiency!D15)&gt;Min_tOFF_typ,Tsw*(1-Efficiency!D15),Min_tOFF_typ))</f>
        <v>257.54966830334769</v>
      </c>
      <c r="G15" s="28">
        <f t="shared" ca="1" si="1"/>
        <v>0.55025011483945163</v>
      </c>
      <c r="H15" s="172">
        <f t="shared" si="2"/>
        <v>6.8947368421052618E-2</v>
      </c>
      <c r="I15" s="34">
        <f t="shared" si="3"/>
        <v>0.19965706371191122</v>
      </c>
      <c r="J15" s="34">
        <f t="shared" ca="1" si="11"/>
        <v>4.2319458431351729E-2</v>
      </c>
      <c r="K15" s="34">
        <f t="shared" si="4"/>
        <v>0.13789473684210524</v>
      </c>
      <c r="L15" s="34">
        <f t="shared" ca="1" si="12"/>
        <v>0.44881862740642076</v>
      </c>
      <c r="M15" s="34">
        <f t="shared" ca="1" si="13"/>
        <v>0.14849436502909022</v>
      </c>
      <c r="N15" s="34">
        <f ca="1">($B$4^2+G15^2/12)*DCR/1000+($B$4^2+G15^2/12)^2*DCR/1000*(R15-A15)*(Constants!$C$32/100)</f>
        <v>1.1991713464533968E-2</v>
      </c>
      <c r="O15" s="34">
        <f t="shared" si="5"/>
        <v>8.9370304709141216E-2</v>
      </c>
      <c r="P15" s="34">
        <f>IF($I$4="None",V_cs^2/RFB_1,VLOOKUP($I$4,Design!$A$90:$F$93,5))</f>
        <v>0.20979020979020982</v>
      </c>
      <c r="Q15" s="35">
        <f t="shared" ca="1" si="6"/>
        <v>33.167190076599965</v>
      </c>
      <c r="R15" s="35">
        <f t="shared" ca="1" si="7"/>
        <v>45.196838233288929</v>
      </c>
      <c r="S15" s="35">
        <f ca="1">IF(RESET=1,Rdson,Rdson+Rdson*TCR_RdsON/100*(Efficiency!R15-25))</f>
        <v>169.38896470395736</v>
      </c>
      <c r="T15" s="366">
        <f t="shared" ca="1" si="8"/>
        <v>10.838702565149523</v>
      </c>
      <c r="U15" s="366">
        <f t="shared" ca="1" si="14"/>
        <v>6.3999999999999995</v>
      </c>
      <c r="V15" s="34">
        <f t="shared" ca="1" si="15"/>
        <v>0.90846522039939592</v>
      </c>
      <c r="W15" s="366">
        <f t="shared" ca="1" si="9"/>
        <v>4.4799999999999995</v>
      </c>
      <c r="X15" s="366">
        <f t="shared" ca="1" si="16"/>
        <v>5.3884652203993957</v>
      </c>
      <c r="Y15" s="366">
        <f t="shared" ca="1" si="10"/>
        <v>0.83140557037277119</v>
      </c>
      <c r="Z15" s="174" t="str">
        <f ca="1">IF(R15&gt;Constants!$C$31,"TSD",IF(OR(E15=Constants!$C$19,Efficiency!F15=Min_tOFF_typ),IF(E15=Constants!$C$19,"Pulse Skip","Dropout"),"Normal"))</f>
        <v>Normal</v>
      </c>
      <c r="AA15" s="393"/>
      <c r="AB15" s="393"/>
      <c r="AC15" s="393"/>
      <c r="AD15" s="394"/>
    </row>
    <row r="16" spans="1:30" ht="12.75" customHeight="1" x14ac:dyDescent="0.25">
      <c r="A16" s="367">
        <f>25</f>
        <v>25</v>
      </c>
      <c r="B16" s="27">
        <f t="shared" si="17"/>
        <v>14.210526315789469</v>
      </c>
      <c r="C16" s="27">
        <f ca="1">IF(RESET=1,VF,VF+(Q16-25)*Design!$B$16/1000)</f>
        <v>0.41161426839413329</v>
      </c>
      <c r="D16" s="171">
        <f t="shared" ca="1" si="0"/>
        <v>0.47083658836279352</v>
      </c>
      <c r="E16" s="175">
        <f ca="1">IF(F16=Min_tOFF_typ,Tsw-Min_tOFF_typ,IF(Tsw*Efficiency!D16&gt;Constants!$C$19,Tsw*Efficiency!D16,Constants!$C$19))</f>
        <v>235.41829418139676</v>
      </c>
      <c r="F16" s="175">
        <f ca="1">IF(E16=Constants!$C$19,Tsw-Constants!$C$19,IF(Tsw*(1-Efficiency!D16)&gt;Min_tOFF_typ,Tsw*(1-Efficiency!D16),Min_tOFF_typ))</f>
        <v>264.58170581860327</v>
      </c>
      <c r="G16" s="28">
        <f t="shared" ca="1" si="1"/>
        <v>0.5643280640424867</v>
      </c>
      <c r="H16" s="172">
        <f t="shared" si="2"/>
        <v>7.1052631578947339E-2</v>
      </c>
      <c r="I16" s="34">
        <f t="shared" si="3"/>
        <v>0.21203601108033229</v>
      </c>
      <c r="J16" s="34">
        <f t="shared" ca="1" si="11"/>
        <v>4.1382884620423291E-2</v>
      </c>
      <c r="K16" s="34">
        <f t="shared" si="4"/>
        <v>0.14210526315789468</v>
      </c>
      <c r="L16" s="34">
        <f t="shared" ca="1" si="12"/>
        <v>0.46657679043759759</v>
      </c>
      <c r="M16" s="34">
        <f t="shared" ca="1" si="13"/>
        <v>0.15246784737939462</v>
      </c>
      <c r="N16" s="34">
        <f ca="1">($B$4^2+G16^2/12)*DCR/1000+($B$4^2+G16^2/12)^2*DCR/1000*(R16-A16)*(Constants!$C$32/100)</f>
        <v>1.2042081568573405E-2</v>
      </c>
      <c r="O16" s="34">
        <f t="shared" si="5"/>
        <v>9.4911357340720162E-2</v>
      </c>
      <c r="P16" s="34">
        <f>IF($I$4="None",V_cs^2/RFB_1,VLOOKUP($I$4,Design!$A$90:$F$93,5))</f>
        <v>0.20979020979020982</v>
      </c>
      <c r="Q16" s="35">
        <f t="shared" ca="1" si="6"/>
        <v>33.385731605866702</v>
      </c>
      <c r="R16" s="35">
        <f t="shared" ca="1" si="7"/>
        <v>45.995955569691887</v>
      </c>
      <c r="S16" s="35">
        <f ca="1">IF(RESET=1,Rdson,Rdson+Rdson*TCR_RdsON/100*(Efficiency!R16-25))</f>
        <v>170.15611734690421</v>
      </c>
      <c r="T16" s="366">
        <f t="shared" ca="1" si="8"/>
        <v>11.175158773238483</v>
      </c>
      <c r="U16" s="366">
        <f t="shared" ca="1" si="14"/>
        <v>6.3999999999999995</v>
      </c>
      <c r="V16" s="34">
        <f t="shared" ca="1" si="15"/>
        <v>0.9357882865164957</v>
      </c>
      <c r="W16" s="366">
        <f t="shared" ca="1" si="9"/>
        <v>4.4799999999999995</v>
      </c>
      <c r="X16" s="366">
        <f t="shared" ca="1" si="16"/>
        <v>5.415788286516495</v>
      </c>
      <c r="Y16" s="366">
        <f t="shared" ca="1" si="10"/>
        <v>0.82721106568247948</v>
      </c>
      <c r="Z16" s="174" t="str">
        <f ca="1">IF(R16&gt;Constants!$C$31,"TSD",IF(OR(E16=Constants!$C$19,Efficiency!F16=Min_tOFF_typ),IF(E16=Constants!$C$19,"Pulse Skip","Dropout"),"Normal"))</f>
        <v>Normal</v>
      </c>
      <c r="AA16" s="393"/>
      <c r="AB16" s="393"/>
      <c r="AC16" s="393"/>
      <c r="AD16" s="394"/>
    </row>
    <row r="17" spans="1:30" ht="12.75" customHeight="1" x14ac:dyDescent="0.25">
      <c r="A17" s="367">
        <f>25</f>
        <v>25</v>
      </c>
      <c r="B17" s="27">
        <f t="shared" si="17"/>
        <v>14.631578947368416</v>
      </c>
      <c r="C17" s="27">
        <f ca="1">IF(RESET=1,VF,VF+(Q17-25)*Design!$B$16/1000)</f>
        <v>0.41140826381572743</v>
      </c>
      <c r="D17" s="171">
        <f t="shared" ca="1" si="0"/>
        <v>0.45756563871009265</v>
      </c>
      <c r="E17" s="175">
        <f ca="1">IF(F17=Min_tOFF_typ,Tsw-Min_tOFF_typ,IF(Tsw*Efficiency!D17&gt;Constants!$C$19,Tsw*Efficiency!D17,Constants!$C$19))</f>
        <v>228.78281935504631</v>
      </c>
      <c r="F17" s="175">
        <f ca="1">IF(E17=Constants!$C$19,Tsw-Constants!$C$19,IF(Tsw*(1-Efficiency!D17)&gt;Min_tOFF_typ,Tsw*(1-Efficiency!D17),Min_tOFF_typ))</f>
        <v>271.21718064495371</v>
      </c>
      <c r="G17" s="28">
        <f t="shared" ca="1" si="1"/>
        <v>0.57761276401760475</v>
      </c>
      <c r="H17" s="172">
        <f t="shared" si="2"/>
        <v>7.3157894736842088E-2</v>
      </c>
      <c r="I17" s="34">
        <f t="shared" si="3"/>
        <v>0.22478725761772839</v>
      </c>
      <c r="J17" s="34">
        <f t="shared" ca="1" si="11"/>
        <v>4.0501029538500863E-2</v>
      </c>
      <c r="K17" s="34">
        <f t="shared" si="4"/>
        <v>0.14631578947368418</v>
      </c>
      <c r="L17" s="34">
        <f t="shared" ca="1" si="12"/>
        <v>0.48476197136675553</v>
      </c>
      <c r="M17" s="34">
        <f t="shared" ca="1" si="13"/>
        <v>0.15621338516859165</v>
      </c>
      <c r="N17" s="34">
        <f ca="1">($B$4^2+G17^2/12)*DCR/1000+($B$4^2+G17^2/12)^2*DCR/1000*(R17-A17)*(Constants!$C$32/100)</f>
        <v>1.2092042271085039E-2</v>
      </c>
      <c r="O17" s="34">
        <f t="shared" si="5"/>
        <v>0.1006190581717451</v>
      </c>
      <c r="P17" s="34">
        <f>IF($I$4="None",V_cs^2/RFB_1,VLOOKUP($I$4,Design!$A$90:$F$93,5))</f>
        <v>0.20979020979020982</v>
      </c>
      <c r="Q17" s="35">
        <f t="shared" ca="1" si="6"/>
        <v>33.591736184272541</v>
      </c>
      <c r="R17" s="35">
        <f t="shared" ca="1" si="7"/>
        <v>46.814288711503998</v>
      </c>
      <c r="S17" s="35">
        <f ca="1">IF(RESET=1,Rdson,Rdson+Rdson*TCR_RdsON/100*(Efficiency!R17-25))</f>
        <v>170.94171716304385</v>
      </c>
      <c r="T17" s="366">
        <f t="shared" ca="1" si="8"/>
        <v>11.511602143520284</v>
      </c>
      <c r="U17" s="366">
        <f t="shared" ca="1" si="14"/>
        <v>6.3999999999999995</v>
      </c>
      <c r="V17" s="34">
        <f t="shared" ca="1" si="15"/>
        <v>0.96347666676838717</v>
      </c>
      <c r="W17" s="366">
        <f t="shared" ca="1" si="9"/>
        <v>4.4799999999999995</v>
      </c>
      <c r="X17" s="366">
        <f t="shared" ca="1" si="16"/>
        <v>5.4434766667683867</v>
      </c>
      <c r="Y17" s="366">
        <f t="shared" ca="1" si="10"/>
        <v>0.82300343590149494</v>
      </c>
      <c r="Z17" s="174" t="str">
        <f ca="1">IF(R17&gt;Constants!$C$31,"TSD",IF(OR(E17=Constants!$C$19,Efficiency!F17=Min_tOFF_typ),IF(E17=Constants!$C$19,"Pulse Skip","Dropout"),"Normal"))</f>
        <v>Normal</v>
      </c>
      <c r="AA17" s="393"/>
      <c r="AB17" s="393"/>
      <c r="AC17" s="393"/>
      <c r="AD17" s="394"/>
    </row>
    <row r="18" spans="1:30" ht="12.75" customHeight="1" x14ac:dyDescent="0.25">
      <c r="A18" s="367">
        <f>25</f>
        <v>25</v>
      </c>
      <c r="B18" s="27">
        <f t="shared" si="17"/>
        <v>15.052631578947363</v>
      </c>
      <c r="C18" s="27">
        <f ca="1">IF(RESET=1,VF,VF+(Q18-25)*Design!$B$16/1000)</f>
        <v>0.41121374794762627</v>
      </c>
      <c r="D18" s="171">
        <f t="shared" ca="1" si="0"/>
        <v>0.44502259430353602</v>
      </c>
      <c r="E18" s="175">
        <f ca="1">IF(F18=Min_tOFF_typ,Tsw-Min_tOFF_typ,IF(Tsw*Efficiency!D18&gt;Constants!$C$19,Tsw*Efficiency!D18,Constants!$C$19))</f>
        <v>222.51129715176802</v>
      </c>
      <c r="F18" s="175">
        <f ca="1">IF(E18=Constants!$C$19,Tsw-Constants!$C$19,IF(Tsw*(1-Efficiency!D18)&gt;Min_tOFF_typ,Tsw*(1-Efficiency!D18),Min_tOFF_typ))</f>
        <v>277.48870284823204</v>
      </c>
      <c r="G18" s="28">
        <f t="shared" ca="1" si="1"/>
        <v>0.59016951700700149</v>
      </c>
      <c r="H18" s="172">
        <f t="shared" si="2"/>
        <v>7.5263157894736823E-2</v>
      </c>
      <c r="I18" s="34">
        <f t="shared" si="3"/>
        <v>0.2379108033240995</v>
      </c>
      <c r="J18" s="34">
        <f t="shared" ca="1" si="11"/>
        <v>3.9669423470085043E-2</v>
      </c>
      <c r="K18" s="34">
        <f t="shared" si="4"/>
        <v>0.15052631578947362</v>
      </c>
      <c r="L18" s="34">
        <f t="shared" ca="1" si="12"/>
        <v>0.50336970047839502</v>
      </c>
      <c r="M18" s="34">
        <f t="shared" ca="1" si="13"/>
        <v>0.1597500373158853</v>
      </c>
      <c r="N18" s="34">
        <f ca="1">($B$4^2+G18^2/12)*DCR/1000+($B$4^2+G18^2/12)^2*DCR/1000*(R18-A18)*(Constants!$C$32/100)</f>
        <v>1.214161600782473E-2</v>
      </c>
      <c r="O18" s="34">
        <f t="shared" si="5"/>
        <v>0.10649340720221599</v>
      </c>
      <c r="P18" s="34">
        <f>IF($I$4="None",V_cs^2/RFB_1,VLOOKUP($I$4,Design!$A$90:$F$93,5))</f>
        <v>0.20979020979020982</v>
      </c>
      <c r="Q18" s="35">
        <f t="shared" ca="1" si="6"/>
        <v>33.78625205237369</v>
      </c>
      <c r="R18" s="35">
        <f t="shared" ca="1" si="7"/>
        <v>47.651636521527777</v>
      </c>
      <c r="S18" s="35">
        <f ca="1">IF(RESET=1,Rdson,Rdson+Rdson*TCR_RdsON/100*(Efficiency!R18-25))</f>
        <v>171.74557106066666</v>
      </c>
      <c r="T18" s="366">
        <f t="shared" ca="1" si="8"/>
        <v>11.848032993774392</v>
      </c>
      <c r="U18" s="366">
        <f t="shared" ca="1" si="14"/>
        <v>6.3999999999999995</v>
      </c>
      <c r="V18" s="34">
        <f t="shared" ca="1" si="15"/>
        <v>0.99154497079453086</v>
      </c>
      <c r="W18" s="366">
        <f t="shared" ca="1" si="9"/>
        <v>4.4799999999999995</v>
      </c>
      <c r="X18" s="366">
        <f t="shared" ca="1" si="16"/>
        <v>5.4715449707945307</v>
      </c>
      <c r="Y18" s="366">
        <f t="shared" ca="1" si="10"/>
        <v>0.81878153682605159</v>
      </c>
      <c r="Z18" s="174" t="str">
        <f ca="1">IF(R18&gt;Constants!$C$31,"TSD",IF(OR(E18=Constants!$C$19,Efficiency!F18=Min_tOFF_typ),IF(E18=Constants!$C$19,"Pulse Skip","Dropout"),"Normal"))</f>
        <v>Normal</v>
      </c>
      <c r="AA18" s="393"/>
      <c r="AB18" s="393"/>
      <c r="AC18" s="393"/>
      <c r="AD18" s="394"/>
    </row>
    <row r="19" spans="1:30" ht="12.75" customHeight="1" x14ac:dyDescent="0.25">
      <c r="A19" s="367">
        <f>25</f>
        <v>25</v>
      </c>
      <c r="B19" s="27">
        <f t="shared" si="17"/>
        <v>15.47368421052631</v>
      </c>
      <c r="C19" s="27">
        <f ca="1">IF(RESET=1,VF,VF+(Q19-25)*Design!$B$16/1000)</f>
        <v>0.41102978620110037</v>
      </c>
      <c r="D19" s="171">
        <f t="shared" ca="1" si="0"/>
        <v>0.43314919252301914</v>
      </c>
      <c r="E19" s="175">
        <f ca="1">IF(F19=Min_tOFF_typ,Tsw-Min_tOFF_typ,IF(Tsw*Efficiency!D19&gt;Constants!$C$19,Tsw*Efficiency!D19,Constants!$C$19))</f>
        <v>216.57459626150958</v>
      </c>
      <c r="F19" s="175">
        <f ca="1">IF(E19=Constants!$C$19,Tsw-Constants!$C$19,IF(Tsw*(1-Efficiency!D19)&gt;Min_tOFF_typ,Tsw*(1-Efficiency!D19),Min_tOFF_typ))</f>
        <v>283.42540373849044</v>
      </c>
      <c r="G19" s="28">
        <f t="shared" ca="1" si="1"/>
        <v>0.60205665276524878</v>
      </c>
      <c r="H19" s="172">
        <f t="shared" si="2"/>
        <v>7.7368421052631545E-2</v>
      </c>
      <c r="I19" s="34">
        <f t="shared" si="3"/>
        <v>0.2514066481994458</v>
      </c>
      <c r="J19" s="34">
        <f t="shared" ca="1" si="11"/>
        <v>3.8884087019655587E-2</v>
      </c>
      <c r="K19" s="34">
        <f t="shared" si="4"/>
        <v>0.15473684210526309</v>
      </c>
      <c r="L19" s="34">
        <f t="shared" ca="1" si="12"/>
        <v>0.52239599837699602</v>
      </c>
      <c r="M19" s="34">
        <f t="shared" ca="1" si="13"/>
        <v>0.16309479634362917</v>
      </c>
      <c r="N19" s="34">
        <f ca="1">($B$4^2+G19^2/12)*DCR/1000+($B$4^2+G19^2/12)^2*DCR/1000*(R19-A19)*(Constants!$C$32/100)</f>
        <v>1.2190826689297418E-2</v>
      </c>
      <c r="O19" s="34">
        <f t="shared" si="5"/>
        <v>0.11253440443213288</v>
      </c>
      <c r="P19" s="34">
        <f>IF($I$4="None",V_cs^2/RFB_1,VLOOKUP($I$4,Design!$A$90:$F$93,5))</f>
        <v>0.20979020979020982</v>
      </c>
      <c r="Q19" s="35">
        <f t="shared" ca="1" si="6"/>
        <v>33.970213798899607</v>
      </c>
      <c r="R19" s="35">
        <f t="shared" ca="1" si="7"/>
        <v>48.507819926964821</v>
      </c>
      <c r="S19" s="35">
        <f ca="1">IF(RESET=1,Rdson,Rdson+Rdson*TCR_RdsON/100*(Efficiency!R19-25))</f>
        <v>172.56750712988622</v>
      </c>
      <c r="T19" s="366">
        <f t="shared" ca="1" si="8"/>
        <v>12.184451607188091</v>
      </c>
      <c r="U19" s="366">
        <f t="shared" ca="1" si="14"/>
        <v>6.3999999999999995</v>
      </c>
      <c r="V19" s="34">
        <f t="shared" ca="1" si="15"/>
        <v>1.0200062356322654</v>
      </c>
      <c r="W19" s="366">
        <f t="shared" ca="1" si="9"/>
        <v>4.4799999999999995</v>
      </c>
      <c r="X19" s="366">
        <f t="shared" ca="1" si="16"/>
        <v>5.5000062356322648</v>
      </c>
      <c r="Y19" s="366">
        <f t="shared" ca="1" si="10"/>
        <v>0.81454453105451652</v>
      </c>
      <c r="Z19" s="174" t="str">
        <f ca="1">IF(R19&gt;Constants!$C$31,"TSD",IF(OR(E19=Constants!$C$19,Efficiency!F19=Min_tOFF_typ),IF(E19=Constants!$C$19,"Pulse Skip","Dropout"),"Normal"))</f>
        <v>Normal</v>
      </c>
      <c r="AA19" s="393"/>
      <c r="AB19" s="393"/>
      <c r="AC19" s="393"/>
      <c r="AD19" s="394"/>
    </row>
    <row r="20" spans="1:30" ht="12.75" customHeight="1" x14ac:dyDescent="0.25">
      <c r="A20" s="367">
        <f>25</f>
        <v>25</v>
      </c>
      <c r="B20" s="27">
        <f t="shared" si="17"/>
        <v>15.894736842105257</v>
      </c>
      <c r="C20" s="27">
        <f ca="1">IF(RESET=1,VF,VF+(Q20-25)*Design!$B$16/1000)</f>
        <v>0.41085554264785246</v>
      </c>
      <c r="D20" s="171">
        <f t="shared" ca="1" si="0"/>
        <v>0.42189322492204595</v>
      </c>
      <c r="E20" s="175">
        <f ca="1">IF(F20=Min_tOFF_typ,Tsw-Min_tOFF_typ,IF(Tsw*Efficiency!D20&gt;Constants!$C$19,Tsw*Efficiency!D20,Constants!$C$19))</f>
        <v>210.94661246102297</v>
      </c>
      <c r="F20" s="175">
        <f ca="1">IF(E20=Constants!$C$19,Tsw-Constants!$C$19,IF(Tsw*(1-Efficiency!D20)&gt;Min_tOFF_typ,Tsw*(1-Efficiency!D20),Min_tOFF_typ))</f>
        <v>289.05338753897701</v>
      </c>
      <c r="G20" s="28">
        <f t="shared" ca="1" si="1"/>
        <v>0.61332643463547787</v>
      </c>
      <c r="H20" s="172">
        <f t="shared" si="2"/>
        <v>7.9473684210526294E-2</v>
      </c>
      <c r="I20" s="34">
        <f t="shared" si="3"/>
        <v>0.2652747922437671</v>
      </c>
      <c r="J20" s="34">
        <f t="shared" ca="1" si="11"/>
        <v>3.8141463659153774E-2</v>
      </c>
      <c r="K20" s="34">
        <f t="shared" si="4"/>
        <v>0.15894736842105256</v>
      </c>
      <c r="L20" s="34">
        <f t="shared" ca="1" si="12"/>
        <v>0.54183730853449974</v>
      </c>
      <c r="M20" s="34">
        <f t="shared" ca="1" si="13"/>
        <v>0.16626286094813694</v>
      </c>
      <c r="N20" s="34">
        <f ca="1">($B$4^2+G20^2/12)*DCR/1000+($B$4^2+G20^2/12)^2*DCR/1000*(R20-A20)*(Constants!$C$32/100)</f>
        <v>1.2239700526769136E-2</v>
      </c>
      <c r="O20" s="34">
        <f t="shared" si="5"/>
        <v>0.11874204986149575</v>
      </c>
      <c r="P20" s="34">
        <f>IF($I$4="None",V_cs^2/RFB_1,VLOOKUP($I$4,Design!$A$90:$F$93,5))</f>
        <v>0.20979020979020982</v>
      </c>
      <c r="Q20" s="35">
        <f t="shared" ca="1" si="6"/>
        <v>34.144457352147533</v>
      </c>
      <c r="R20" s="35">
        <f t="shared" ca="1" si="7"/>
        <v>49.382678884052488</v>
      </c>
      <c r="S20" s="35">
        <f ca="1">IF(RESET=1,Rdson,Rdson+Rdson*TCR_RdsON/100*(Efficiency!R20-25))</f>
        <v>173.40737172869038</v>
      </c>
      <c r="T20" s="366">
        <f t="shared" ca="1" si="8"/>
        <v>12.52085823698657</v>
      </c>
      <c r="U20" s="366">
        <f t="shared" ca="1" si="14"/>
        <v>6.3999999999999995</v>
      </c>
      <c r="V20" s="34">
        <f t="shared" ca="1" si="15"/>
        <v>1.0488721296611114</v>
      </c>
      <c r="W20" s="366">
        <f t="shared" ca="1" si="9"/>
        <v>4.4799999999999995</v>
      </c>
      <c r="X20" s="366">
        <f t="shared" ca="1" si="16"/>
        <v>5.528872129661111</v>
      </c>
      <c r="Y20" s="366">
        <f t="shared" ca="1" si="10"/>
        <v>0.81029184523292608</v>
      </c>
      <c r="Z20" s="174" t="str">
        <f ca="1">IF(R20&gt;Constants!$C$31,"TSD",IF(OR(E20=Constants!$C$19,Efficiency!F20=Min_tOFF_typ),IF(E20=Constants!$C$19,"Pulse Skip","Dropout"),"Normal"))</f>
        <v>Normal</v>
      </c>
      <c r="AA20" s="393"/>
      <c r="AB20" s="393"/>
      <c r="AC20" s="393"/>
      <c r="AD20" s="394"/>
    </row>
    <row r="21" spans="1:30" ht="12.75" customHeight="1" x14ac:dyDescent="0.25">
      <c r="A21" s="367">
        <f>25</f>
        <v>25</v>
      </c>
      <c r="B21" s="27">
        <f t="shared" si="17"/>
        <v>16.315789473684205</v>
      </c>
      <c r="C21" s="27">
        <f ca="1">IF(RESET=1,VF,VF+(Q21-25)*Design!$B$16/1000)</f>
        <v>0.41069026733985819</v>
      </c>
      <c r="D21" s="171">
        <f t="shared" ca="1" si="0"/>
        <v>0.41120777102405653</v>
      </c>
      <c r="E21" s="175">
        <f ca="1">IF(F21=Min_tOFF_typ,Tsw-Min_tOFF_typ,IF(Tsw*Efficiency!D21&gt;Constants!$C$19,Tsw*Efficiency!D21,Constants!$C$19))</f>
        <v>205.60388551202826</v>
      </c>
      <c r="F21" s="175">
        <f ca="1">IF(E21=Constants!$C$19,Tsw-Constants!$C$19,IF(Tsw*(1-Efficiency!D21)&gt;Min_tOFF_typ,Tsw*(1-Efficiency!D21),Min_tOFF_typ))</f>
        <v>294.39611448797177</v>
      </c>
      <c r="G21" s="28">
        <f t="shared" ca="1" si="1"/>
        <v>0.62402582795755912</v>
      </c>
      <c r="H21" s="172">
        <f t="shared" si="2"/>
        <v>8.1578947368421029E-2</v>
      </c>
      <c r="I21" s="34">
        <f t="shared" si="3"/>
        <v>0.27951523545706353</v>
      </c>
      <c r="J21" s="34">
        <f t="shared" ca="1" si="11"/>
        <v>3.7438363383450024E-2</v>
      </c>
      <c r="K21" s="34">
        <f t="shared" si="4"/>
        <v>0.16315789473684206</v>
      </c>
      <c r="L21" s="34">
        <f t="shared" ca="1" si="12"/>
        <v>0.56169044094577658</v>
      </c>
      <c r="M21" s="34">
        <f t="shared" ca="1" si="13"/>
        <v>0.16926786654803286</v>
      </c>
      <c r="N21" s="34">
        <f ca="1">($B$4^2+G21^2/12)*DCR/1000+($B$4^2+G21^2/12)^2*DCR/1000*(R21-A21)*(Constants!$C$32/100)</f>
        <v>1.2288265144630085E-2</v>
      </c>
      <c r="O21" s="34">
        <f t="shared" si="5"/>
        <v>0.12511634349030465</v>
      </c>
      <c r="P21" s="34">
        <f>IF($I$4="None",V_cs^2/RFB_1,VLOOKUP($I$4,Design!$A$90:$F$93,5))</f>
        <v>0.20979020979020982</v>
      </c>
      <c r="Q21" s="35">
        <f t="shared" ca="1" si="6"/>
        <v>34.309732660141805</v>
      </c>
      <c r="R21" s="35">
        <f t="shared" ca="1" si="7"/>
        <v>50.276069842559949</v>
      </c>
      <c r="S21" s="35">
        <f ca="1">IF(RESET=1,Rdson,Rdson+Rdson*TCR_RdsON/100*(Efficiency!R21-25))</f>
        <v>174.26502704885755</v>
      </c>
      <c r="T21" s="366">
        <f t="shared" ca="1" si="8"/>
        <v>12.857253110332035</v>
      </c>
      <c r="U21" s="366">
        <f t="shared" ca="1" si="14"/>
        <v>6.3999999999999995</v>
      </c>
      <c r="V21" s="34">
        <f t="shared" ca="1" si="15"/>
        <v>1.0781531259189541</v>
      </c>
      <c r="W21" s="366">
        <f t="shared" ca="1" si="9"/>
        <v>4.4799999999999995</v>
      </c>
      <c r="X21" s="366">
        <f t="shared" ca="1" si="16"/>
        <v>5.5581531259189534</v>
      </c>
      <c r="Y21" s="366">
        <f t="shared" ca="1" si="10"/>
        <v>0.80602313367523526</v>
      </c>
      <c r="Z21" s="174" t="str">
        <f ca="1">IF(R21&gt;Constants!$C$31,"TSD",IF(OR(E21=Constants!$C$19,Efficiency!F21=Min_tOFF_typ),IF(E21=Constants!$C$19,"Pulse Skip","Dropout"),"Normal"))</f>
        <v>Normal</v>
      </c>
      <c r="AA21" s="393"/>
      <c r="AB21" s="393"/>
      <c r="AC21" s="393"/>
      <c r="AD21" s="394"/>
    </row>
    <row r="22" spans="1:30" ht="12.75" customHeight="1" x14ac:dyDescent="0.25">
      <c r="A22" s="367">
        <f>25</f>
        <v>25</v>
      </c>
      <c r="B22" s="27">
        <f t="shared" si="17"/>
        <v>16.736842105263154</v>
      </c>
      <c r="C22" s="27">
        <f ca="1">IF(RESET=1,VF,VF+(Q22-25)*Design!$B$16/1000)</f>
        <v>0.41053328553526269</v>
      </c>
      <c r="D22" s="171">
        <f t="shared" ca="1" si="0"/>
        <v>0.40105054557225911</v>
      </c>
      <c r="E22" s="175">
        <f ca="1">IF(F22=Min_tOFF_typ,Tsw-Min_tOFF_typ,IF(Tsw*Efficiency!D22&gt;Constants!$C$19,Tsw*Efficiency!D22,Constants!$C$19))</f>
        <v>200.52527278612956</v>
      </c>
      <c r="F22" s="175">
        <f ca="1">IF(E22=Constants!$C$19,Tsw-Constants!$C$19,IF(Tsw*(1-Efficiency!D22)&gt;Min_tOFF_typ,Tsw*(1-Efficiency!D22),Min_tOFF_typ))</f>
        <v>299.47472721387049</v>
      </c>
      <c r="G22" s="28">
        <f t="shared" ca="1" si="1"/>
        <v>0.63419715460110815</v>
      </c>
      <c r="H22" s="172">
        <f t="shared" si="2"/>
        <v>8.3684210526315764E-2</v>
      </c>
      <c r="I22" s="34">
        <f t="shared" si="3"/>
        <v>0.29412797783933503</v>
      </c>
      <c r="J22" s="34">
        <f t="shared" ca="1" si="11"/>
        <v>3.6771915357860105E-2</v>
      </c>
      <c r="K22" s="34">
        <f t="shared" si="4"/>
        <v>0.16736842105263156</v>
      </c>
      <c r="L22" s="34">
        <f t="shared" ca="1" si="12"/>
        <v>0.58195252477614245</v>
      </c>
      <c r="M22" s="34">
        <f t="shared" ca="1" si="13"/>
        <v>0.17212208117704147</v>
      </c>
      <c r="N22" s="34">
        <f ca="1">($B$4^2+G22^2/12)*DCR/1000+($B$4^2+G22^2/12)^2*DCR/1000*(R22-A22)*(Constants!$C$32/100)</f>
        <v>1.2336548911253728E-2</v>
      </c>
      <c r="O22" s="34">
        <f t="shared" si="5"/>
        <v>0.1316572853185595</v>
      </c>
      <c r="P22" s="34">
        <f>IF($I$4="None",V_cs^2/RFB_1,VLOOKUP($I$4,Design!$A$90:$F$93,5))</f>
        <v>0.20979020979020982</v>
      </c>
      <c r="Q22" s="35">
        <f t="shared" ca="1" si="6"/>
        <v>34.466714464737279</v>
      </c>
      <c r="R22" s="35">
        <f t="shared" ca="1" si="7"/>
        <v>51.187863614926414</v>
      </c>
      <c r="S22" s="35">
        <f ca="1">IF(RESET=1,Rdson,Rdson+Rdson*TCR_RdsON/100*(Efficiency!R22-25))</f>
        <v>175.14034907032936</v>
      </c>
      <c r="T22" s="366">
        <f t="shared" ca="1" si="8"/>
        <v>13.193636431624086</v>
      </c>
      <c r="U22" s="366">
        <f t="shared" ca="1" si="14"/>
        <v>6.3999999999999995</v>
      </c>
      <c r="V22" s="34">
        <f t="shared" ca="1" si="15"/>
        <v>1.107858649973207</v>
      </c>
      <c r="W22" s="366">
        <f t="shared" ca="1" si="9"/>
        <v>4.4799999999999995</v>
      </c>
      <c r="X22" s="366">
        <f t="shared" ca="1" si="16"/>
        <v>5.5878586499732066</v>
      </c>
      <c r="Y22" s="366">
        <f t="shared" ca="1" si="10"/>
        <v>0.80173824726605791</v>
      </c>
      <c r="Z22" s="174" t="str">
        <f ca="1">IF(R22&gt;Constants!$C$31,"TSD",IF(OR(E22=Constants!$C$19,Efficiency!F22=Min_tOFF_typ),IF(E22=Constants!$C$19,"Pulse Skip","Dropout"),"Normal"))</f>
        <v>Normal</v>
      </c>
      <c r="AA22" s="393"/>
      <c r="AB22" s="393"/>
      <c r="AC22" s="393"/>
      <c r="AD22" s="394"/>
    </row>
    <row r="23" spans="1:30" ht="12.75" customHeight="1" x14ac:dyDescent="0.25">
      <c r="A23" s="367">
        <f>25</f>
        <v>25</v>
      </c>
      <c r="B23" s="27">
        <f t="shared" si="17"/>
        <v>17.157894736842103</v>
      </c>
      <c r="C23" s="27">
        <f ca="1">IF(RESET=1,VF,VF+(Q23-25)*Design!$B$16/1000)</f>
        <v>0.41038398850432734</v>
      </c>
      <c r="D23" s="171">
        <f t="shared" ca="1" si="0"/>
        <v>0.39138334011172227</v>
      </c>
      <c r="E23" s="175">
        <f ca="1">IF(F23=Min_tOFF_typ,Tsw-Min_tOFF_typ,IF(Tsw*Efficiency!D23&gt;Constants!$C$19,Tsw*Efficiency!D23,Constants!$C$19))</f>
        <v>195.69167005586112</v>
      </c>
      <c r="F23" s="175">
        <f ca="1">IF(E23=Constants!$C$19,Tsw-Constants!$C$19,IF(Tsw*(1-Efficiency!D23)&gt;Min_tOFF_typ,Tsw*(1-Efficiency!D23),Min_tOFF_typ))</f>
        <v>304.30832994413885</v>
      </c>
      <c r="G23" s="28">
        <f t="shared" ca="1" si="1"/>
        <v>0.64387865283132606</v>
      </c>
      <c r="H23" s="172">
        <f t="shared" si="2"/>
        <v>8.5789473684210527E-2</v>
      </c>
      <c r="I23" s="34">
        <f t="shared" si="3"/>
        <v>0.30911301939058161</v>
      </c>
      <c r="J23" s="34">
        <f t="shared" ca="1" si="11"/>
        <v>3.6139527896007044E-2</v>
      </c>
      <c r="K23" s="34">
        <f t="shared" si="4"/>
        <v>0.17157894736842103</v>
      </c>
      <c r="L23" s="34">
        <f t="shared" ca="1" si="12"/>
        <v>0.60262096833922019</v>
      </c>
      <c r="M23" s="34">
        <f t="shared" ca="1" si="13"/>
        <v>0.17483657264859315</v>
      </c>
      <c r="N23" s="34">
        <f ca="1">($B$4^2+G23^2/12)*DCR/1000+($B$4^2+G23^2/12)^2*DCR/1000*(R23-A23)*(Constants!$C$32/100)</f>
        <v>1.2384580437057766E-2</v>
      </c>
      <c r="O23" s="34">
        <f t="shared" si="5"/>
        <v>0.13836487534626035</v>
      </c>
      <c r="P23" s="34">
        <f>IF($I$4="None",V_cs^2/RFB_1,VLOOKUP($I$4,Design!$A$90:$F$93,5))</f>
        <v>0.20979020979020982</v>
      </c>
      <c r="Q23" s="35">
        <f t="shared" ca="1" si="6"/>
        <v>34.616011495672623</v>
      </c>
      <c r="R23" s="35">
        <f t="shared" ca="1" si="7"/>
        <v>52.11794357526491</v>
      </c>
      <c r="S23" s="35">
        <f ca="1">IF(RESET=1,Rdson,Rdson+Rdson*TCR_RdsON/100*(Efficiency!R23-25))</f>
        <v>176.03322583225432</v>
      </c>
      <c r="T23" s="366">
        <f t="shared" ca="1" si="8"/>
        <v>13.530008385306754</v>
      </c>
      <c r="U23" s="366">
        <f t="shared" ca="1" si="14"/>
        <v>6.3999999999999995</v>
      </c>
      <c r="V23" s="34">
        <f t="shared" ca="1" si="15"/>
        <v>1.1379972065613413</v>
      </c>
      <c r="W23" s="366">
        <f t="shared" ca="1" si="9"/>
        <v>4.4799999999999995</v>
      </c>
      <c r="X23" s="366">
        <f t="shared" ca="1" si="16"/>
        <v>5.6179972065613413</v>
      </c>
      <c r="Y23" s="366">
        <f t="shared" ca="1" si="10"/>
        <v>0.79743720676253482</v>
      </c>
      <c r="Z23" s="174" t="str">
        <f ca="1">IF(R23&gt;Constants!$C$31,"TSD",IF(OR(E23=Constants!$C$19,Efficiency!F23=Min_tOFF_typ),IF(E23=Constants!$C$19,"Pulse Skip","Dropout"),"Normal"))</f>
        <v>Normal</v>
      </c>
      <c r="AA23" s="393"/>
      <c r="AB23" s="393"/>
      <c r="AC23" s="393"/>
      <c r="AD23" s="394"/>
    </row>
    <row r="24" spans="1:30" ht="12.75" customHeight="1" x14ac:dyDescent="0.25">
      <c r="A24" s="367">
        <f>25</f>
        <v>25</v>
      </c>
      <c r="B24" s="27">
        <f t="shared" si="17"/>
        <v>17.578947368421051</v>
      </c>
      <c r="C24" s="27">
        <f ca="1">IF(RESET=1,VF,VF+(Q24-25)*Design!$B$16/1000)</f>
        <v>0.4102418256516091</v>
      </c>
      <c r="D24" s="171">
        <f t="shared" ca="1" si="0"/>
        <v>0.38217154337787107</v>
      </c>
      <c r="E24" s="175">
        <f ca="1">IF(F24=Min_tOFF_typ,Tsw-Min_tOFF_typ,IF(Tsw*Efficiency!D24&gt;Constants!$C$19,Tsw*Efficiency!D24,Constants!$C$19))</f>
        <v>191.08577168893552</v>
      </c>
      <c r="F24" s="175">
        <f ca="1">IF(E24=Constants!$C$19,Tsw-Constants!$C$19,IF(Tsw*(1-Efficiency!D24)&gt;Min_tOFF_typ,Tsw*(1-Efficiency!D24),Min_tOFF_typ))</f>
        <v>308.91422831106445</v>
      </c>
      <c r="G24" s="28">
        <f t="shared" ca="1" si="1"/>
        <v>0.65310495810109859</v>
      </c>
      <c r="H24" s="172">
        <f t="shared" si="2"/>
        <v>8.7894736842105262E-2</v>
      </c>
      <c r="I24" s="34">
        <f t="shared" si="3"/>
        <v>0.32447036011080327</v>
      </c>
      <c r="J24" s="34">
        <f t="shared" ca="1" si="11"/>
        <v>3.553885445284715E-2</v>
      </c>
      <c r="K24" s="34">
        <f t="shared" si="4"/>
        <v>0.17578947368421052</v>
      </c>
      <c r="L24" s="34">
        <f t="shared" ca="1" si="12"/>
        <v>0.62369342508996617</v>
      </c>
      <c r="M24" s="34">
        <f t="shared" ca="1" si="13"/>
        <v>0.17742135178892468</v>
      </c>
      <c r="N24" s="34">
        <f ca="1">($B$4^2+G24^2/12)*DCR/1000+($B$4^2+G24^2/12)^2*DCR/1000*(R24-A24)*(Constants!$C$32/100)</f>
        <v>1.2432388200801997E-2</v>
      </c>
      <c r="O24" s="34">
        <f t="shared" si="5"/>
        <v>0.14523911357340719</v>
      </c>
      <c r="P24" s="34">
        <f>IF($I$4="None",V_cs^2/RFB_1,VLOOKUP($I$4,Design!$A$90:$F$93,5))</f>
        <v>0.20979020979020982</v>
      </c>
      <c r="Q24" s="35">
        <f t="shared" ca="1" si="6"/>
        <v>34.75817434839086</v>
      </c>
      <c r="R24" s="35">
        <f t="shared" ca="1" si="7"/>
        <v>53.066204129048479</v>
      </c>
      <c r="S24" s="35">
        <f ca="1">IF(RESET=1,Rdson,Rdson+Rdson*TCR_RdsON/100*(Efficiency!R24-25))</f>
        <v>176.94355596388652</v>
      </c>
      <c r="T24" s="366">
        <f t="shared" ca="1" si="8"/>
        <v>13.866369138266744</v>
      </c>
      <c r="U24" s="366">
        <f t="shared" ca="1" si="14"/>
        <v>6.3999999999999995</v>
      </c>
      <c r="V24" s="34">
        <f t="shared" ca="1" si="15"/>
        <v>1.1685764884433099</v>
      </c>
      <c r="W24" s="366">
        <f t="shared" ca="1" si="9"/>
        <v>4.4799999999999995</v>
      </c>
      <c r="X24" s="366">
        <f t="shared" ca="1" si="16"/>
        <v>5.6485764884433092</v>
      </c>
      <c r="Y24" s="366">
        <f t="shared" ca="1" si="10"/>
        <v>0.7931201797773022</v>
      </c>
      <c r="Z24" s="174" t="str">
        <f ca="1">IF(R24&gt;Constants!$C$31,"TSD",IF(OR(E24=Constants!$C$19,Efficiency!F24=Min_tOFF_typ),IF(E24=Constants!$C$19,"Pulse Skip","Dropout"),"Normal"))</f>
        <v>Normal</v>
      </c>
      <c r="AA24" s="393"/>
      <c r="AB24" s="393"/>
      <c r="AC24" s="393"/>
      <c r="AD24" s="394"/>
    </row>
    <row r="25" spans="1:30" ht="12.6" customHeight="1" thickBot="1" x14ac:dyDescent="0.3">
      <c r="A25" s="368">
        <f>25</f>
        <v>25</v>
      </c>
      <c r="B25" s="369">
        <f>Design!$D$4</f>
        <v>18</v>
      </c>
      <c r="C25" s="369">
        <f ca="1">IF(RESET=1,VF,VF+(Q25-25)*Design!$B$16/1000)</f>
        <v>0.41010629773971191</v>
      </c>
      <c r="D25" s="370">
        <f t="shared" ca="1" si="0"/>
        <v>0.37338372781804174</v>
      </c>
      <c r="E25" s="371">
        <f ca="1">IF(F25=Min_tOFF_typ,Tsw-Min_tOFF_typ,IF(Tsw*Efficiency!D25&gt;Constants!$C$19,Tsw*Efficiency!D25,Constants!$C$19))</f>
        <v>186.69186390902087</v>
      </c>
      <c r="F25" s="371">
        <f ca="1">IF(E25=Constants!$C$19,Tsw-Constants!$C$19,IF(Tsw*(1-Efficiency!D25)&gt;Min_tOFF_typ,Tsw*(1-Efficiency!D25),Min_tOFF_typ))</f>
        <v>313.30813609097913</v>
      </c>
      <c r="G25" s="372">
        <f t="shared" ca="1" si="1"/>
        <v>0.6619075174956196</v>
      </c>
      <c r="H25" s="328">
        <f t="shared" si="2"/>
        <v>0.09</v>
      </c>
      <c r="I25" s="312">
        <f t="shared" si="3"/>
        <v>0.3402</v>
      </c>
      <c r="J25" s="312">
        <f t="shared" ca="1" si="11"/>
        <v>3.4967764584267473E-2</v>
      </c>
      <c r="K25" s="312">
        <f t="shared" si="4"/>
        <v>0.18</v>
      </c>
      <c r="L25" s="312">
        <f t="shared" ca="1" si="12"/>
        <v>0.6451677645842675</v>
      </c>
      <c r="M25" s="34">
        <f t="shared" ca="1" si="13"/>
        <v>0.17988549564160175</v>
      </c>
      <c r="N25" s="312">
        <f ca="1">($B$4^2+G25^2/12)*DCR/1000+($B$4^2+G25^2/12)^2*DCR/1000*(R25-A25)*(Constants!$C$32/100)</f>
        <v>1.24800002743923E-2</v>
      </c>
      <c r="O25" s="312">
        <f t="shared" si="5"/>
        <v>0.15228</v>
      </c>
      <c r="P25" s="312">
        <f>IF($I$4="None",V_cs^2/RFB_1,VLOOKUP($I$4,Design!$A$90:$F$93,5))</f>
        <v>0.20979020979020982</v>
      </c>
      <c r="Q25" s="373">
        <f t="shared" ca="1" si="6"/>
        <v>34.893702260288094</v>
      </c>
      <c r="R25" s="35">
        <f t="shared" ca="1" si="7"/>
        <v>54.032549406292034</v>
      </c>
      <c r="S25" s="373">
        <f ca="1">IF(RESET=1,Rdson,Rdson+Rdson*TCR_RdsON/100*(Efficiency!R25-25))</f>
        <v>177.87124743004034</v>
      </c>
      <c r="T25" s="374">
        <f t="shared" ca="1" si="8"/>
        <v>14.202718841891237</v>
      </c>
      <c r="U25" s="374">
        <f t="shared" ca="1" si="14"/>
        <v>6.3999999999999995</v>
      </c>
      <c r="V25" s="312">
        <f t="shared" ca="1" si="15"/>
        <v>1.1996034702904714</v>
      </c>
      <c r="W25" s="374">
        <f t="shared" ca="1" si="9"/>
        <v>4.4799999999999995</v>
      </c>
      <c r="X25" s="374">
        <f t="shared" ca="1" si="16"/>
        <v>5.6796034702904707</v>
      </c>
      <c r="Y25" s="374">
        <f t="shared" ca="1" si="10"/>
        <v>0.78878746085611495</v>
      </c>
      <c r="Z25" s="243" t="str">
        <f ca="1">IF(R25&gt;Constants!$C$31,"TSD",IF(OR(E25=Constants!$C$19,Efficiency!F25=Min_tOFF_typ),IF(E25=Constants!$C$19,"Pulse Skip","Dropout"),"Normal"))</f>
        <v>Normal</v>
      </c>
      <c r="AA25" s="393"/>
      <c r="AB25" s="393"/>
      <c r="AC25" s="393"/>
      <c r="AD25" s="394"/>
    </row>
    <row r="26" spans="1:30" ht="12.6" customHeight="1" thickBot="1" x14ac:dyDescent="0.3">
      <c r="A26" s="375">
        <f>25</f>
        <v>25</v>
      </c>
      <c r="B26" s="27">
        <f>Vin_nom</f>
        <v>13.5</v>
      </c>
      <c r="C26" s="396">
        <f ca="1">IF(RESET=1,VF,VF+(Q26-25)*Design!$B$16/1000)</f>
        <v>0.41199093672379306</v>
      </c>
      <c r="D26" s="376">
        <f t="shared" ca="1" si="0"/>
        <v>0.4950674905179242</v>
      </c>
      <c r="E26" s="175">
        <f ca="1">IF(F26=Min_tOFF_typ,Tsw-Min_tOFF_typ,IF(Tsw*Efficiency!D26&gt;Constants!$C$19,Tsw*Efficiency!D26,Constants!$C$19))</f>
        <v>247.53374525896211</v>
      </c>
      <c r="F26" s="371">
        <f ca="1">IF(E26=Constants!$C$19,Tsw-Constants!$C$19,IF(Tsw*(1-Efficiency!D26)&gt;Min_tOFF_typ,Tsw*(1-Efficiency!D26),Min_tOFF_typ))</f>
        <v>252.46625474103789</v>
      </c>
      <c r="G26" s="28">
        <f t="shared" ca="1" si="1"/>
        <v>0.54007362601955378</v>
      </c>
      <c r="H26" s="328">
        <f t="shared" si="2"/>
        <v>6.7500000000000004E-2</v>
      </c>
      <c r="I26" s="313">
        <f t="shared" ref="I26" si="18">B26*$B$4*(B26/(Slew_rise*10^9)*fsw*10^6/2+B26/(Slew_fall*10^9)*fsw*10^6/2)</f>
        <v>0.19136249999999996</v>
      </c>
      <c r="J26" s="312">
        <f t="shared" ref="J26" ca="1" si="19">(D26*($B$4^2+G26^2/12))*S26*10^-3</f>
        <v>4.2997687772631958E-2</v>
      </c>
      <c r="K26" s="313">
        <f t="shared" si="4"/>
        <v>0.13500000000000001</v>
      </c>
      <c r="L26" s="312">
        <f t="shared" ref="L26" ca="1" si="20">SUM(H26:K26)</f>
        <v>0.43686018777263197</v>
      </c>
      <c r="M26" s="242">
        <f t="shared" ca="1" si="13"/>
        <v>0.14561933229467114</v>
      </c>
      <c r="N26" s="34">
        <f ca="1">($B$4^2+G26^2/12)*DCR/1000+($B$4^2+G26^2/12)^2*DCR/1000*(R26-A26)*(Constants!$C$32/100)</f>
        <v>1.1956840798786155E-2</v>
      </c>
      <c r="O26" s="312">
        <f t="shared" ref="O26" si="21">0.5*C_SNUB*10^-12*B26^2*fsw*10^6</f>
        <v>8.5657500000000011E-2</v>
      </c>
      <c r="P26" s="312">
        <f>IF($I$4="None",V_cs^2/RFB_1,VLOOKUP($I$4,Design!$A$90:$F$93,5))</f>
        <v>0.20979020979020982</v>
      </c>
      <c r="Q26" s="373">
        <f t="shared" ref="Q26" ca="1" si="22">$A26+M26*RthJA</f>
        <v>33.009063276206916</v>
      </c>
      <c r="R26" s="182">
        <f t="shared" ca="1" si="7"/>
        <v>44.65870844976844</v>
      </c>
      <c r="S26" s="35">
        <f ca="1">IF(RESET=1,Rdson,Rdson+Rdson*TCR_RdsON/100*(Efficiency!R26-25))</f>
        <v>168.87236011177771</v>
      </c>
      <c r="T26" s="374">
        <f t="shared" ca="1" si="8"/>
        <v>10.607381290992647</v>
      </c>
      <c r="U26" s="392">
        <f t="shared" ca="1" si="14"/>
        <v>6.3999999999999995</v>
      </c>
      <c r="V26" s="312">
        <f t="shared" ref="V26" ca="1" si="23">SUM(L26:P26)</f>
        <v>0.88988407065629904</v>
      </c>
      <c r="W26" s="374">
        <f t="shared" ca="1" si="9"/>
        <v>4.4799999999999995</v>
      </c>
      <c r="X26" s="374">
        <f t="shared" ca="1" si="16"/>
        <v>5.3698840706562985</v>
      </c>
      <c r="Y26" s="366">
        <f t="shared" ca="1" si="10"/>
        <v>0.83428244279628583</v>
      </c>
      <c r="Z26" s="243" t="str">
        <f ca="1">IF(R26&gt;Constants!$C$31,"TSD",IF(OR(E26=Constants!$C$19,Efficiency!F26=Min_tOFF_typ),IF(E26=Constants!$C$19,"Pulse Skip","Dropout"),"Normal"))</f>
        <v>Normal</v>
      </c>
      <c r="AA26" s="393"/>
      <c r="AB26" s="393"/>
      <c r="AC26" s="393"/>
      <c r="AD26" s="394"/>
    </row>
    <row r="27" spans="1:30" ht="15.75" thickBot="1" x14ac:dyDescent="0.3">
      <c r="A27" s="177" t="s">
        <v>107</v>
      </c>
      <c r="B27" s="377" t="s">
        <v>190</v>
      </c>
      <c r="C27" s="377" t="s">
        <v>128</v>
      </c>
      <c r="D27" s="378" t="s">
        <v>126</v>
      </c>
      <c r="E27" s="378" t="s">
        <v>236</v>
      </c>
      <c r="F27" s="378" t="s">
        <v>235</v>
      </c>
      <c r="G27" s="378" t="s">
        <v>127</v>
      </c>
      <c r="H27" s="378" t="s">
        <v>233</v>
      </c>
      <c r="I27" s="378" t="s">
        <v>53</v>
      </c>
      <c r="J27" s="378" t="s">
        <v>54</v>
      </c>
      <c r="K27" s="378" t="s">
        <v>103</v>
      </c>
      <c r="L27" s="378" t="s">
        <v>138</v>
      </c>
      <c r="M27" s="378" t="s">
        <v>140</v>
      </c>
      <c r="N27" s="378" t="s">
        <v>141</v>
      </c>
      <c r="O27" s="378" t="s">
        <v>150</v>
      </c>
      <c r="P27" s="378" t="s">
        <v>248</v>
      </c>
      <c r="Q27" s="378" t="s">
        <v>153</v>
      </c>
      <c r="R27" s="378" t="s">
        <v>154</v>
      </c>
      <c r="S27" s="378" t="s">
        <v>65</v>
      </c>
      <c r="T27" s="378" t="s">
        <v>132</v>
      </c>
      <c r="U27" s="378" t="s">
        <v>139</v>
      </c>
      <c r="V27" s="378" t="s">
        <v>234</v>
      </c>
      <c r="W27" s="378" t="s">
        <v>142</v>
      </c>
      <c r="X27" s="378"/>
      <c r="Y27" s="378" t="s">
        <v>238</v>
      </c>
      <c r="Z27" s="379" t="s">
        <v>237</v>
      </c>
      <c r="AA27" s="394"/>
      <c r="AB27" s="394"/>
      <c r="AC27" s="394"/>
      <c r="AD27" s="394"/>
    </row>
    <row r="28" spans="1:30" x14ac:dyDescent="0.25">
      <c r="A28" s="364">
        <f>Design!$D$13</f>
        <v>85</v>
      </c>
      <c r="B28" s="244">
        <f>Efficiency!B6</f>
        <v>10</v>
      </c>
      <c r="C28" s="244">
        <f ca="1">IF(RESET=1,VF,VF+(Q28-25)*Design!$B$16/1000)</f>
        <v>0.35540617647414185</v>
      </c>
      <c r="D28" s="245">
        <f t="shared" ref="D28:D48" ca="1" si="24">IF(RESET=1,$D$4/B28,MIN(($D$4+C28+IOUT*DCR*(1+(R28-25)*TCR_Cu/100)/1000)/(B28-IOUT*S28/1000+C28),(Tsw-Min_tOFF_typ)/Tsw))</f>
        <v>0.66427119313326755</v>
      </c>
      <c r="E28" s="184">
        <f ca="1">IF(D28&gt;=(Tsw-Min_tOFF_typ)/Tsw,Tsw-Min_tOFF_typ,IF(Tsw*D28&gt;Constants!$C$19,Tsw*D28,Constants!$C$19))</f>
        <v>332.13559656663375</v>
      </c>
      <c r="F28" s="184">
        <f ca="1">IF(E28=Constants!$C$19,Tsw-Constants!$C$19,IF(Tsw*(1-Efficiency!D28)&gt;Min_tOFF_typ,Tsw*(1-Efficiency!D28),Min_tOFF_typ))</f>
        <v>167.86440343336622</v>
      </c>
      <c r="G28" s="185">
        <f t="shared" ref="G28:G48" ca="1" si="25">(B28-VOUT)/(Lout*micro)*D28*Tsw*nano</f>
        <v>0.37239445675652882</v>
      </c>
      <c r="H28" s="246">
        <f t="shared" ref="H28:H48" si="26">B28*Iq*milli</f>
        <v>0.05</v>
      </c>
      <c r="I28" s="226">
        <f t="shared" ref="I28:I47" si="27">B28*$B$4*(B28/(Slew_rise*10^9)*fsw*10^6/2+B28/(Slew_fall*10^9)*fsw*10^6/2)</f>
        <v>0.105</v>
      </c>
      <c r="J28" s="226">
        <f ca="1">(D28*($B$4^2+G28^2/12))*S28*10^-3</f>
        <v>7.3899820967050805E-2</v>
      </c>
      <c r="K28" s="226">
        <f t="shared" ref="K28:K48" si="28">Qg*10^-9*B28*fsw*10^6</f>
        <v>9.9999999999999992E-2</v>
      </c>
      <c r="L28" s="226">
        <f ca="1">SUM(H28:K28)</f>
        <v>0.32889982096705078</v>
      </c>
      <c r="M28" s="226">
        <f ca="1">($B$4)*C28*(1-D28)</f>
        <v>8.3524064106511697E-2</v>
      </c>
      <c r="N28" s="226">
        <f ca="1">($B$4^2+G28^2/12)*DCR/1000+($B$4^2+G28^2/12)^2*DCR/1000*(R28-25)*(Constants!$C$32/100)</f>
        <v>1.286831893893094E-2</v>
      </c>
      <c r="O28" s="226">
        <f t="shared" ref="O28:O47" si="29">0.5*C_SNUB*10^-12*B28^2*fsw*10^6</f>
        <v>4.7000000000000007E-2</v>
      </c>
      <c r="P28" s="226">
        <f>IF($I$4="None",V_cs^2/RFB_1,VLOOKUP($I$4,Design!$A$90:$F$93,5))</f>
        <v>0.20979020979020982</v>
      </c>
      <c r="Q28" s="247">
        <f t="shared" ref="Q28:Q47" ca="1" si="30">$A28+M28*RthJA</f>
        <v>89.593823525858141</v>
      </c>
      <c r="R28" s="247">
        <f t="shared" ref="R28:R48" ca="1" si="31">MIN(L28*RthJA_IC+$A28,190)</f>
        <v>99.800491943517287</v>
      </c>
      <c r="S28" s="191">
        <f ca="1">IF(RESET=1,Rdson,Rdson+Rdson*TCR_RdsON/100*(Efficiency!R28-25))</f>
        <v>221.80847226577657</v>
      </c>
      <c r="T28" s="380">
        <f t="shared" ref="T28:T48" ca="1" si="32">(1-Min_tOFF_typ*10^-9*fsw*10^6) * (B28+C28-$B$4*S28/1000) - (C28+$B$4*DCR/1000)</f>
        <v>7.7890540202363372</v>
      </c>
      <c r="U28" s="380">
        <f ca="1">IF(T28&gt;$D$4,$D$4,T28)</f>
        <v>6.3999999999999995</v>
      </c>
      <c r="V28" s="226">
        <f ca="1">SUM(L28:P28)</f>
        <v>0.68208241380270318</v>
      </c>
      <c r="W28" s="380">
        <f t="shared" ref="W28:W48" ca="1" si="33">U28*$B$4</f>
        <v>4.4799999999999995</v>
      </c>
      <c r="X28" s="380">
        <f ca="1">V28+W28</f>
        <v>5.1620824138027031</v>
      </c>
      <c r="Y28" s="381">
        <f t="shared" ref="Y28:Y48" ca="1" si="34">W28/(W28+V28)</f>
        <v>0.86786681049901326</v>
      </c>
      <c r="Z28" s="186" t="str">
        <f ca="1">IF(R28&gt;Constants!$C$31,"TSD",IF(OR(E28=Constants!$C$19,Efficiency!F28=Min_tOFF_typ),IF(E28=Constants!$C$19,"Pulse Skip","Dropout"),"Normal"))</f>
        <v>Normal</v>
      </c>
    </row>
    <row r="29" spans="1:30" x14ac:dyDescent="0.25">
      <c r="A29" s="367">
        <f>Design!$D$13</f>
        <v>85</v>
      </c>
      <c r="B29" s="187">
        <f>($B$25-$B$6)/19+B28</f>
        <v>10.421052631578947</v>
      </c>
      <c r="C29" s="187">
        <f ca="1">IF(RESET=1,VF,VF+(Q29-25)*Design!$B$16/1000)</f>
        <v>0.35505100130915646</v>
      </c>
      <c r="D29" s="188">
        <f t="shared" ca="1" si="24"/>
        <v>0.63795223765764975</v>
      </c>
      <c r="E29" s="184">
        <f ca="1">IF(F29=Min_tOFF_typ,Tsw-Min_tOFF_typ,IF(Tsw*Efficiency!D29&gt;Constants!$C$19,Tsw*Efficiency!D29,Constants!$C$19))</f>
        <v>318.97611882882489</v>
      </c>
      <c r="F29" s="184">
        <f ca="1">IF(E29=Constants!$C$19,Tsw-Constants!$C$19,IF(Tsw*(1-Efficiency!D29)&gt;Min_tOFF_typ,Tsw*(1-Efficiency!D29),Min_tOFF_typ))</f>
        <v>181.02388117117513</v>
      </c>
      <c r="G29" s="185">
        <f t="shared" ca="1" si="25"/>
        <v>0.398338598154657</v>
      </c>
      <c r="H29" s="189">
        <f t="shared" si="26"/>
        <v>5.2105263157894731E-2</v>
      </c>
      <c r="I29" s="190">
        <f t="shared" si="27"/>
        <v>0.11402825484764541</v>
      </c>
      <c r="J29" s="190">
        <f t="shared" ref="J29:J47" ca="1" si="35">(D29*($B$4^2+G29^2/12))*S29*10^-3</f>
        <v>7.1385573774563171E-2</v>
      </c>
      <c r="K29" s="190">
        <f t="shared" si="28"/>
        <v>0.10421052631578946</v>
      </c>
      <c r="L29" s="190">
        <f t="shared" ref="L29:L47" ca="1" si="36">SUM(H29:K29)</f>
        <v>0.34172961809589275</v>
      </c>
      <c r="M29" s="190">
        <f t="shared" ref="M29:M48" ca="1" si="37">($B$4)*C29*(1-D29)</f>
        <v>8.9981794378973676E-2</v>
      </c>
      <c r="N29" s="190">
        <f ca="1">($B$4^2+G29^2/12)*DCR/1000+($B$4^2+G29^2/12)^2*DCR/1000*(R29-25)*(Constants!$C$32/100)</f>
        <v>1.292943091663485E-2</v>
      </c>
      <c r="O29" s="190">
        <f t="shared" si="29"/>
        <v>5.1041218836565101E-2</v>
      </c>
      <c r="P29" s="190">
        <f>IF($I$4="None",V_cs^2/RFB_1,VLOOKUP($I$4,Design!$A$90:$F$93,5))</f>
        <v>0.20979020979020982</v>
      </c>
      <c r="Q29" s="191">
        <f t="shared" ca="1" si="30"/>
        <v>89.948998690843553</v>
      </c>
      <c r="R29" s="191">
        <f t="shared" ca="1" si="31"/>
        <v>100.37783281431517</v>
      </c>
      <c r="S29" s="191">
        <f ca="1">IF(RESET=1,Rdson,Rdson+Rdson*TCR_RdsON/100*(Efficiency!R29-25))</f>
        <v>222.36271950174256</v>
      </c>
      <c r="T29" s="381">
        <f t="shared" ca="1" si="32"/>
        <v>8.12565678208035</v>
      </c>
      <c r="U29" s="381">
        <f t="shared" ref="U29:U48" ca="1" si="38">IF(T29&gt;$D$4,$D$4,T29)</f>
        <v>6.3999999999999995</v>
      </c>
      <c r="V29" s="190">
        <f t="shared" ref="V29:V47" ca="1" si="39">SUM(L29:P29)</f>
        <v>0.70547227201827623</v>
      </c>
      <c r="W29" s="381">
        <f t="shared" ca="1" si="33"/>
        <v>4.4799999999999995</v>
      </c>
      <c r="X29" s="381">
        <f t="shared" ref="X29:X47" ca="1" si="40">V29+W29</f>
        <v>5.1854722720182753</v>
      </c>
      <c r="Y29" s="381">
        <f t="shared" ca="1" si="34"/>
        <v>0.86395216577955125</v>
      </c>
      <c r="Z29" s="192" t="str">
        <f ca="1">IF(R29&gt;Constants!$C$31,"TSD",IF(OR(E29=Constants!$C$19,Efficiency!F29=Min_tOFF_typ),IF(E29=Constants!$C$19,"Pulse Skip","Dropout"),"Normal"))</f>
        <v>Normal</v>
      </c>
    </row>
    <row r="30" spans="1:30" x14ac:dyDescent="0.25">
      <c r="A30" s="367">
        <f>Design!$D$13</f>
        <v>85</v>
      </c>
      <c r="B30" s="187">
        <f t="shared" ref="B30:B46" si="41">($B$25-$B$6)/19+B29</f>
        <v>10.842105263157894</v>
      </c>
      <c r="C30" s="187">
        <f ca="1">IF(RESET=1,VF,VF+(Q30-25)*Design!$B$16/1000)</f>
        <v>0.35472352651645117</v>
      </c>
      <c r="D30" s="188">
        <f t="shared" ca="1" si="24"/>
        <v>0.61363921739597282</v>
      </c>
      <c r="E30" s="184">
        <f ca="1">IF(F30=Min_tOFF_typ,Tsw-Min_tOFF_typ,IF(Tsw*Efficiency!D30&gt;Constants!$C$19,Tsw*Efficiency!D30,Constants!$C$19))</f>
        <v>306.81960869798644</v>
      </c>
      <c r="F30" s="184">
        <f ca="1">IF(E30=Constants!$C$19,Tsw-Constants!$C$19,IF(Tsw*(1-Efficiency!D30)&gt;Min_tOFF_typ,Tsw*(1-Efficiency!D30),Min_tOFF_typ))</f>
        <v>193.18039130201359</v>
      </c>
      <c r="G30" s="185">
        <f t="shared" ca="1" si="25"/>
        <v>0.42230513924459701</v>
      </c>
      <c r="H30" s="189">
        <f t="shared" si="26"/>
        <v>5.4210526315789466E-2</v>
      </c>
      <c r="I30" s="190">
        <f t="shared" si="27"/>
        <v>0.1234288088642659</v>
      </c>
      <c r="J30" s="190">
        <f t="shared" ca="1" si="35"/>
        <v>6.9067959659743494E-2</v>
      </c>
      <c r="K30" s="190">
        <f t="shared" si="28"/>
        <v>0.10842105263157893</v>
      </c>
      <c r="L30" s="190">
        <f t="shared" ca="1" si="36"/>
        <v>0.35512834747137778</v>
      </c>
      <c r="M30" s="190">
        <f t="shared" ca="1" si="37"/>
        <v>9.5935881519069524E-2</v>
      </c>
      <c r="N30" s="190">
        <f ca="1">($B$4^2+G30^2/12)*DCR/1000+($B$4^2+G30^2/12)^2*DCR/1000*(R30-25)*(Constants!$C$32/100)</f>
        <v>1.2990527852265579E-2</v>
      </c>
      <c r="O30" s="190">
        <f t="shared" si="29"/>
        <v>5.5249085872576167E-2</v>
      </c>
      <c r="P30" s="190">
        <f>IF($I$4="None",V_cs^2/RFB_1,VLOOKUP($I$4,Design!$A$90:$F$93,5))</f>
        <v>0.20979020979020982</v>
      </c>
      <c r="Q30" s="191">
        <f t="shared" ca="1" si="30"/>
        <v>90.276473483548827</v>
      </c>
      <c r="R30" s="191">
        <f t="shared" ca="1" si="31"/>
        <v>100.980775636212</v>
      </c>
      <c r="S30" s="191">
        <f ca="1">IF(RESET=1,Rdson,Rdson+Rdson*TCR_RdsON/100*(Efficiency!R30-25))</f>
        <v>222.94154461076351</v>
      </c>
      <c r="T30" s="381">
        <f t="shared" ca="1" si="32"/>
        <v>8.4622402402409982</v>
      </c>
      <c r="U30" s="381">
        <f t="shared" ca="1" si="38"/>
        <v>6.3999999999999995</v>
      </c>
      <c r="V30" s="190">
        <f t="shared" ca="1" si="39"/>
        <v>0.72909405250549886</v>
      </c>
      <c r="W30" s="381">
        <f t="shared" ca="1" si="33"/>
        <v>4.4799999999999995</v>
      </c>
      <c r="X30" s="381">
        <f t="shared" ca="1" si="40"/>
        <v>5.2090940525054981</v>
      </c>
      <c r="Y30" s="381">
        <f t="shared" ca="1" si="34"/>
        <v>0.86003438502808083</v>
      </c>
      <c r="Z30" s="192" t="str">
        <f ca="1">IF(R30&gt;Constants!$C$31,"TSD",IF(OR(E30=Constants!$C$19,Efficiency!F30=Min_tOFF_typ),IF(E30=Constants!$C$19,"Pulse Skip","Dropout"),"Normal"))</f>
        <v>Normal</v>
      </c>
    </row>
    <row r="31" spans="1:30" x14ac:dyDescent="0.25">
      <c r="A31" s="367">
        <f>Design!$D$13</f>
        <v>85</v>
      </c>
      <c r="B31" s="187">
        <f t="shared" si="41"/>
        <v>11.263157894736841</v>
      </c>
      <c r="C31" s="187">
        <f ca="1">IF(RESET=1,VF,VF+(Q31-25)*Design!$B$16/1000)</f>
        <v>0.35442063489253911</v>
      </c>
      <c r="D31" s="188">
        <f t="shared" ca="1" si="24"/>
        <v>0.59111135201339948</v>
      </c>
      <c r="E31" s="184">
        <f ca="1">IF(F31=Min_tOFF_typ,Tsw-Min_tOFF_typ,IF(Tsw*Efficiency!D31&gt;Constants!$C$19,Tsw*Efficiency!D31,Constants!$C$19))</f>
        <v>295.55567600669974</v>
      </c>
      <c r="F31" s="184">
        <f ca="1">IF(E31=Constants!$C$19,Tsw-Constants!$C$19,IF(Tsw*(1-Efficiency!D31)&gt;Min_tOFF_typ,Tsw*(1-Efficiency!D31),Min_tOFF_typ))</f>
        <v>204.44432399330026</v>
      </c>
      <c r="G31" s="185">
        <f t="shared" ca="1" si="25"/>
        <v>0.44451196566876844</v>
      </c>
      <c r="H31" s="189">
        <f t="shared" si="26"/>
        <v>5.6315789473684208E-2</v>
      </c>
      <c r="I31" s="190">
        <f t="shared" si="27"/>
        <v>0.13320166204986145</v>
      </c>
      <c r="J31" s="190">
        <f t="shared" ca="1" si="35"/>
        <v>6.692408674806688E-2</v>
      </c>
      <c r="K31" s="190">
        <f t="shared" si="28"/>
        <v>0.11263157894736842</v>
      </c>
      <c r="L31" s="190">
        <f t="shared" ca="1" si="36"/>
        <v>0.36907311721898095</v>
      </c>
      <c r="M31" s="190">
        <f t="shared" ca="1" si="37"/>
        <v>0.10144300195383402</v>
      </c>
      <c r="N31" s="190">
        <f ca="1">($B$4^2+G31^2/12)*DCR/1000+($B$4^2+G31^2/12)^2*DCR/1000*(R31-25)*(Constants!$C$32/100)</f>
        <v>1.305137177068965E-2</v>
      </c>
      <c r="O31" s="190">
        <f t="shared" si="29"/>
        <v>5.9623601108033226E-2</v>
      </c>
      <c r="P31" s="190">
        <f>IF($I$4="None",V_cs^2/RFB_1,VLOOKUP($I$4,Design!$A$90:$F$93,5))</f>
        <v>0.20979020979020982</v>
      </c>
      <c r="Q31" s="191">
        <f t="shared" ca="1" si="30"/>
        <v>90.579365107460873</v>
      </c>
      <c r="R31" s="191">
        <f t="shared" ca="1" si="31"/>
        <v>101.60829027485414</v>
      </c>
      <c r="S31" s="191">
        <f ca="1">IF(RESET=1,Rdson,Rdson+Rdson*TCR_RdsON/100*(Efficiency!R31-25))</f>
        <v>223.54395866385997</v>
      </c>
      <c r="T31" s="381">
        <f t="shared" ca="1" si="32"/>
        <v>8.7988055719592033</v>
      </c>
      <c r="U31" s="381">
        <f t="shared" ca="1" si="38"/>
        <v>6.3999999999999995</v>
      </c>
      <c r="V31" s="190">
        <f t="shared" ca="1" si="39"/>
        <v>0.75298130184174772</v>
      </c>
      <c r="W31" s="381">
        <f t="shared" ca="1" si="33"/>
        <v>4.4799999999999995</v>
      </c>
      <c r="X31" s="381">
        <f t="shared" ca="1" si="40"/>
        <v>5.2329813018417468</v>
      </c>
      <c r="Y31" s="381">
        <f t="shared" ca="1" si="34"/>
        <v>0.85610854340780163</v>
      </c>
      <c r="Z31" s="192" t="str">
        <f ca="1">IF(R31&gt;Constants!$C$31,"TSD",IF(OR(E31=Constants!$C$19,Efficiency!F31=Min_tOFF_typ),IF(E31=Constants!$C$19,"Pulse Skip","Dropout"),"Normal"))</f>
        <v>Normal</v>
      </c>
    </row>
    <row r="32" spans="1:30" x14ac:dyDescent="0.25">
      <c r="A32" s="367">
        <f>Design!$D$13</f>
        <v>85</v>
      </c>
      <c r="B32" s="187">
        <f t="shared" si="41"/>
        <v>11.684210526315788</v>
      </c>
      <c r="C32" s="187">
        <f ca="1">IF(RESET=1,VF,VF+(Q32-25)*Design!$B$16/1000)</f>
        <v>0.3541396598322587</v>
      </c>
      <c r="D32" s="188">
        <f t="shared" ca="1" si="24"/>
        <v>0.570179098817573</v>
      </c>
      <c r="E32" s="184">
        <f ca="1">IF(F32=Min_tOFF_typ,Tsw-Min_tOFF_typ,IF(Tsw*Efficiency!D32&gt;Constants!$C$19,Tsw*Efficiency!D32,Constants!$C$19))</f>
        <v>285.08954940878652</v>
      </c>
      <c r="F32" s="184">
        <f ca="1">IF(E32=Constants!$C$19,Tsw-Constants!$C$19,IF(Tsw*(1-Efficiency!D32)&gt;Min_tOFF_typ,Tsw*(1-Efficiency!D32),Min_tOFF_typ))</f>
        <v>214.9104505912135</v>
      </c>
      <c r="G32" s="185">
        <f t="shared" ca="1" si="25"/>
        <v>0.46514610693012526</v>
      </c>
      <c r="H32" s="189">
        <f t="shared" si="26"/>
        <v>5.8421052631578936E-2</v>
      </c>
      <c r="I32" s="190">
        <f t="shared" si="27"/>
        <v>0.14334681440443209</v>
      </c>
      <c r="J32" s="190">
        <f t="shared" ca="1" si="35"/>
        <v>6.4934652130112777E-2</v>
      </c>
      <c r="K32" s="190">
        <f t="shared" si="28"/>
        <v>0.11684210526315789</v>
      </c>
      <c r="L32" s="190">
        <f t="shared" ca="1" si="36"/>
        <v>0.38354462442928172</v>
      </c>
      <c r="M32" s="190">
        <f t="shared" ca="1" si="37"/>
        <v>0.1065516394134777</v>
      </c>
      <c r="N32" s="190">
        <f ca="1">($B$4^2+G32^2/12)*DCR/1000+($B$4^2+G32^2/12)^2*DCR/1000*(R32-25)*(Constants!$C$32/100)</f>
        <v>1.3111798708764794E-2</v>
      </c>
      <c r="O32" s="190">
        <f t="shared" si="29"/>
        <v>6.4164764542936265E-2</v>
      </c>
      <c r="P32" s="190">
        <f>IF($I$4="None",V_cs^2/RFB_1,VLOOKUP($I$4,Design!$A$90:$F$93,5))</f>
        <v>0.20979020979020982</v>
      </c>
      <c r="Q32" s="191">
        <f t="shared" ca="1" si="30"/>
        <v>90.860340167741271</v>
      </c>
      <c r="R32" s="191">
        <f t="shared" ca="1" si="31"/>
        <v>102.25950809931769</v>
      </c>
      <c r="S32" s="191">
        <f ca="1">IF(RESET=1,Rdson,Rdson+Rdson*TCR_RdsON/100*(Efficiency!R32-25))</f>
        <v>224.16912777534498</v>
      </c>
      <c r="T32" s="381">
        <f t="shared" ca="1" si="32"/>
        <v>9.135353777531984</v>
      </c>
      <c r="U32" s="381">
        <f t="shared" ca="1" si="38"/>
        <v>6.3999999999999995</v>
      </c>
      <c r="V32" s="190">
        <f t="shared" ca="1" si="39"/>
        <v>0.77716303688467026</v>
      </c>
      <c r="W32" s="381">
        <f t="shared" ca="1" si="33"/>
        <v>4.4799999999999995</v>
      </c>
      <c r="X32" s="381">
        <f t="shared" ca="1" si="40"/>
        <v>5.2571630368846698</v>
      </c>
      <c r="Y32" s="381">
        <f t="shared" ca="1" si="34"/>
        <v>0.85217064195421877</v>
      </c>
      <c r="Z32" s="192" t="str">
        <f ca="1">IF(R32&gt;Constants!$C$31,"TSD",IF(OR(E32=Constants!$C$19,Efficiency!F32=Min_tOFF_typ),IF(E32=Constants!$C$19,"Pulse Skip","Dropout"),"Normal"))</f>
        <v>Normal</v>
      </c>
    </row>
    <row r="33" spans="1:26" x14ac:dyDescent="0.25">
      <c r="A33" s="367">
        <f>Design!$D$13</f>
        <v>85</v>
      </c>
      <c r="B33" s="187">
        <f t="shared" si="41"/>
        <v>12.105263157894735</v>
      </c>
      <c r="C33" s="187">
        <f ca="1">IF(RESET=1,VF,VF+(Q33-25)*Design!$B$16/1000)</f>
        <v>0.3538783067823108</v>
      </c>
      <c r="D33" s="188">
        <f t="shared" ca="1" si="24"/>
        <v>0.55067881926119155</v>
      </c>
      <c r="E33" s="184">
        <f ca="1">IF(F33=Min_tOFF_typ,Tsw-Min_tOFF_typ,IF(Tsw*Efficiency!D33&gt;Constants!$C$19,Tsw*Efficiency!D33,Constants!$C$19))</f>
        <v>275.33940963059575</v>
      </c>
      <c r="F33" s="184">
        <f ca="1">IF(E33=Constants!$C$19,Tsw-Constants!$C$19,IF(Tsw*(1-Efficiency!D33)&gt;Min_tOFF_typ,Tsw*(1-Efficiency!D33),Min_tOFF_typ))</f>
        <v>224.66059036940422</v>
      </c>
      <c r="G33" s="185">
        <f t="shared" ca="1" si="25"/>
        <v>0.48436900928635901</v>
      </c>
      <c r="H33" s="189">
        <f t="shared" si="26"/>
        <v>6.0526315789473671E-2</v>
      </c>
      <c r="I33" s="190">
        <f t="shared" si="27"/>
        <v>0.15386426592797778</v>
      </c>
      <c r="J33" s="190">
        <f t="shared" ca="1" si="35"/>
        <v>6.3083241980557828E-2</v>
      </c>
      <c r="K33" s="190">
        <f t="shared" si="28"/>
        <v>0.12105263157894734</v>
      </c>
      <c r="L33" s="190">
        <f t="shared" ca="1" si="36"/>
        <v>0.39852645527695663</v>
      </c>
      <c r="M33" s="190">
        <f t="shared" ca="1" si="37"/>
        <v>0.11130351304889471</v>
      </c>
      <c r="N33" s="190">
        <f ca="1">($B$4^2+G33^2/12)*DCR/1000+($B$4^2+G33^2/12)^2*DCR/1000*(R33-25)*(Constants!$C$32/100)</f>
        <v>1.3171699357864728E-2</v>
      </c>
      <c r="O33" s="190">
        <f t="shared" si="29"/>
        <v>6.8872576177285302E-2</v>
      </c>
      <c r="P33" s="190">
        <f>IF($I$4="None",V_cs^2/RFB_1,VLOOKUP($I$4,Design!$A$90:$F$93,5))</f>
        <v>0.20979020979020982</v>
      </c>
      <c r="Q33" s="191">
        <f t="shared" ca="1" si="30"/>
        <v>91.121693217689213</v>
      </c>
      <c r="R33" s="191">
        <f t="shared" ca="1" si="31"/>
        <v>102.93369048746305</v>
      </c>
      <c r="S33" s="191">
        <f ca="1">IF(RESET=1,Rdson,Rdson+Rdson*TCR_RdsON/100*(Efficiency!R33-25))</f>
        <v>224.81634286796452</v>
      </c>
      <c r="T33" s="381">
        <f t="shared" ca="1" si="32"/>
        <v>9.4718857129532665</v>
      </c>
      <c r="U33" s="381">
        <f t="shared" ca="1" si="38"/>
        <v>6.3999999999999995</v>
      </c>
      <c r="V33" s="190">
        <f t="shared" ca="1" si="39"/>
        <v>0.8016644536512112</v>
      </c>
      <c r="W33" s="381">
        <f t="shared" ca="1" si="33"/>
        <v>4.4799999999999995</v>
      </c>
      <c r="X33" s="381">
        <f t="shared" ca="1" si="40"/>
        <v>5.281664453651211</v>
      </c>
      <c r="Y33" s="381">
        <f t="shared" ca="1" si="34"/>
        <v>0.84821745858977815</v>
      </c>
      <c r="Z33" s="192" t="str">
        <f ca="1">IF(R33&gt;Constants!$C$31,"TSD",IF(OR(E33=Constants!$C$19,Efficiency!F33=Min_tOFF_typ),IF(E33=Constants!$C$19,"Pulse Skip","Dropout"),"Normal"))</f>
        <v>Normal</v>
      </c>
    </row>
    <row r="34" spans="1:26" x14ac:dyDescent="0.25">
      <c r="A34" s="367">
        <f>Design!$D$13</f>
        <v>85</v>
      </c>
      <c r="B34" s="187">
        <f t="shared" si="41"/>
        <v>12.526315789473681</v>
      </c>
      <c r="C34" s="187">
        <f ca="1">IF(RESET=1,VF,VF+(Q34-25)*Design!$B$16/1000)</f>
        <v>0.35363459056575819</v>
      </c>
      <c r="D34" s="188">
        <f t="shared" ca="1" si="24"/>
        <v>0.53246850169324222</v>
      </c>
      <c r="E34" s="184">
        <f ca="1">IF(F34=Min_tOFF_typ,Tsw-Min_tOFF_typ,IF(Tsw*Efficiency!D34&gt;Constants!$C$19,Tsw*Efficiency!D34,Constants!$C$19))</f>
        <v>266.23425084662114</v>
      </c>
      <c r="F34" s="184">
        <f ca="1">IF(E34=Constants!$C$19,Tsw-Constants!$C$19,IF(Tsw*(1-Efficiency!D34)&gt;Min_tOFF_typ,Tsw*(1-Efficiency!D34),Min_tOFF_typ))</f>
        <v>233.76574915337889</v>
      </c>
      <c r="G34" s="185">
        <f t="shared" ca="1" si="25"/>
        <v>0.50232076355909516</v>
      </c>
      <c r="H34" s="189">
        <f t="shared" si="26"/>
        <v>6.2631578947368413E-2</v>
      </c>
      <c r="I34" s="190">
        <f t="shared" si="27"/>
        <v>0.16475401662049852</v>
      </c>
      <c r="J34" s="190">
        <f t="shared" ca="1" si="35"/>
        <v>6.1355792555700596E-2</v>
      </c>
      <c r="K34" s="190">
        <f t="shared" si="28"/>
        <v>0.12526315789473683</v>
      </c>
      <c r="L34" s="190">
        <f t="shared" ca="1" si="36"/>
        <v>0.41400454601830439</v>
      </c>
      <c r="M34" s="190">
        <f t="shared" ca="1" si="37"/>
        <v>0.11573471698621403</v>
      </c>
      <c r="N34" s="190">
        <f ca="1">($B$4^2+G34^2/12)*DCR/1000+($B$4^2+G34^2/12)^2*DCR/1000*(R34-25)*(Constants!$C$32/100)</f>
        <v>1.3231004846029485E-2</v>
      </c>
      <c r="O34" s="190">
        <f t="shared" si="29"/>
        <v>7.3747036011080305E-2</v>
      </c>
      <c r="P34" s="190">
        <f>IF($I$4="None",V_cs^2/RFB_1,VLOOKUP($I$4,Design!$A$90:$F$93,5))</f>
        <v>0.20979020979020982</v>
      </c>
      <c r="Q34" s="191">
        <f t="shared" ca="1" si="30"/>
        <v>91.365409434241769</v>
      </c>
      <c r="R34" s="191">
        <f t="shared" ca="1" si="31"/>
        <v>103.63020457082369</v>
      </c>
      <c r="S34" s="191">
        <f ca="1">IF(RESET=1,Rdson,Rdson+Rdson*TCR_RdsON/100*(Efficiency!R34-25))</f>
        <v>225.48499638799075</v>
      </c>
      <c r="T34" s="381">
        <f t="shared" ca="1" si="32"/>
        <v>9.8084021154885175</v>
      </c>
      <c r="U34" s="381">
        <f t="shared" ca="1" si="38"/>
        <v>6.3999999999999995</v>
      </c>
      <c r="V34" s="190">
        <f t="shared" ca="1" si="39"/>
        <v>0.82650751365183805</v>
      </c>
      <c r="W34" s="381">
        <f t="shared" ca="1" si="33"/>
        <v>4.4799999999999995</v>
      </c>
      <c r="X34" s="381">
        <f t="shared" ca="1" si="40"/>
        <v>5.3065075136518374</v>
      </c>
      <c r="Y34" s="381">
        <f t="shared" ca="1" si="34"/>
        <v>0.84424642544545248</v>
      </c>
      <c r="Z34" s="192" t="str">
        <f ca="1">IF(R34&gt;Constants!$C$31,"TSD",IF(OR(E34=Constants!$C$19,Efficiency!F34=Min_tOFF_typ),IF(E34=Constants!$C$19,"Pulse Skip","Dropout"),"Normal"))</f>
        <v>Normal</v>
      </c>
    </row>
    <row r="35" spans="1:26" x14ac:dyDescent="0.25">
      <c r="A35" s="367">
        <f>Design!$D$13</f>
        <v>85</v>
      </c>
      <c r="B35" s="187">
        <f t="shared" si="41"/>
        <v>12.947368421052628</v>
      </c>
      <c r="C35" s="187">
        <f ca="1">IF(RESET=1,VF,VF+(Q35-25)*Design!$B$16/1000)</f>
        <v>0.35340678495919531</v>
      </c>
      <c r="D35" s="188">
        <f t="shared" ca="1" si="24"/>
        <v>0.51542430419955931</v>
      </c>
      <c r="E35" s="184">
        <f ca="1">IF(F35=Min_tOFF_typ,Tsw-Min_tOFF_typ,IF(Tsw*Efficiency!D35&gt;Constants!$C$19,Tsw*Efficiency!D35,Constants!$C$19))</f>
        <v>257.71215209977964</v>
      </c>
      <c r="F35" s="184">
        <f ca="1">IF(E35=Constants!$C$19,Tsw-Constants!$C$19,IF(Tsw*(1-Efficiency!D35)&gt;Min_tOFF_typ,Tsw*(1-Efficiency!D35),Min_tOFF_typ))</f>
        <v>242.28784790022036</v>
      </c>
      <c r="G35" s="185">
        <f t="shared" ca="1" si="25"/>
        <v>0.51912352169381437</v>
      </c>
      <c r="H35" s="189">
        <f t="shared" si="26"/>
        <v>6.4736842105263134E-2</v>
      </c>
      <c r="I35" s="190">
        <f t="shared" si="27"/>
        <v>0.17601606648199436</v>
      </c>
      <c r="J35" s="190">
        <f t="shared" ca="1" si="35"/>
        <v>5.9740170073746476E-2</v>
      </c>
      <c r="K35" s="190">
        <f t="shared" si="28"/>
        <v>0.1294736842105263</v>
      </c>
      <c r="L35" s="190">
        <f t="shared" ca="1" si="36"/>
        <v>0.42996676287153029</v>
      </c>
      <c r="M35" s="190">
        <f t="shared" ca="1" si="37"/>
        <v>0.11987663710553914</v>
      </c>
      <c r="N35" s="190">
        <f ca="1">($B$4^2+G35^2/12)*DCR/1000+($B$4^2+G35^2/12)^2*DCR/1000*(R35-25)*(Constants!$C$32/100)</f>
        <v>1.32896762225379E-2</v>
      </c>
      <c r="O35" s="190">
        <f t="shared" si="29"/>
        <v>7.8788144044321287E-2</v>
      </c>
      <c r="P35" s="190">
        <f>IF($I$4="None",V_cs^2/RFB_1,VLOOKUP($I$4,Design!$A$90:$F$93,5))</f>
        <v>0.20979020979020982</v>
      </c>
      <c r="Q35" s="191">
        <f t="shared" ca="1" si="30"/>
        <v>91.593215040804651</v>
      </c>
      <c r="R35" s="191">
        <f t="shared" ca="1" si="31"/>
        <v>104.34850432921885</v>
      </c>
      <c r="S35" s="191">
        <f ca="1">IF(RESET=1,Rdson,Rdson+Rdson*TCR_RdsON/100*(Efficiency!R35-25))</f>
        <v>226.17456415605011</v>
      </c>
      <c r="T35" s="381">
        <f t="shared" ca="1" si="32"/>
        <v>10.144903623922877</v>
      </c>
      <c r="U35" s="381">
        <f t="shared" ca="1" si="38"/>
        <v>6.3999999999999995</v>
      </c>
      <c r="V35" s="190">
        <f t="shared" ca="1" si="39"/>
        <v>0.85171143003413841</v>
      </c>
      <c r="W35" s="381">
        <f t="shared" ca="1" si="33"/>
        <v>4.4799999999999995</v>
      </c>
      <c r="X35" s="381">
        <f t="shared" ca="1" si="40"/>
        <v>5.3317114300341384</v>
      </c>
      <c r="Y35" s="381">
        <f t="shared" ca="1" si="34"/>
        <v>0.84025552747728405</v>
      </c>
      <c r="Z35" s="192" t="str">
        <f ca="1">IF(R35&gt;Constants!$C$31,"TSD",IF(OR(E35=Constants!$C$19,Efficiency!F35=Min_tOFF_typ),IF(E35=Constants!$C$19,"Pulse Skip","Dropout"),"Normal"))</f>
        <v>Normal</v>
      </c>
    </row>
    <row r="36" spans="1:26" x14ac:dyDescent="0.25">
      <c r="A36" s="367">
        <f>Design!$D$13</f>
        <v>85</v>
      </c>
      <c r="B36" s="187">
        <f t="shared" si="41"/>
        <v>13.368421052631575</v>
      </c>
      <c r="C36" s="187">
        <f ca="1">IF(RESET=1,VF,VF+(Q36-25)*Design!$B$16/1000)</f>
        <v>0.35319338181705739</v>
      </c>
      <c r="D36" s="188">
        <f t="shared" ca="1" si="24"/>
        <v>0.49943773983114481</v>
      </c>
      <c r="E36" s="184">
        <f ca="1">IF(F36=Min_tOFF_typ,Tsw-Min_tOFF_typ,IF(Tsw*Efficiency!D36&gt;Constants!$C$19,Tsw*Efficiency!D36,Constants!$C$19))</f>
        <v>249.71886991557241</v>
      </c>
      <c r="F36" s="184">
        <f ca="1">IF(E36=Constants!$C$19,Tsw-Constants!$C$19,IF(Tsw*(1-Efficiency!D36)&gt;Min_tOFF_typ,Tsw*(1-Efficiency!D36),Min_tOFF_typ))</f>
        <v>250.28113008442759</v>
      </c>
      <c r="G36" s="185">
        <f t="shared" ca="1" si="25"/>
        <v>0.53488427798502969</v>
      </c>
      <c r="H36" s="189">
        <f t="shared" si="26"/>
        <v>6.6842105263157883E-2</v>
      </c>
      <c r="I36" s="190">
        <f t="shared" si="27"/>
        <v>0.18765041551246525</v>
      </c>
      <c r="J36" s="190">
        <f t="shared" ca="1" si="35"/>
        <v>5.8225839611140424E-2</v>
      </c>
      <c r="K36" s="190">
        <f t="shared" si="28"/>
        <v>0.13368421052631574</v>
      </c>
      <c r="L36" s="190">
        <f t="shared" ca="1" si="36"/>
        <v>0.44640257091307928</v>
      </c>
      <c r="M36" s="190">
        <f t="shared" ca="1" si="37"/>
        <v>0.12375669423531938</v>
      </c>
      <c r="N36" s="190">
        <f ca="1">($B$4^2+G36^2/12)*DCR/1000+($B$4^2+G36^2/12)^2*DCR/1000*(R36-25)*(Constants!$C$32/100)</f>
        <v>1.3347696634151515E-2</v>
      </c>
      <c r="O36" s="190">
        <f t="shared" si="29"/>
        <v>8.3995900277008276E-2</v>
      </c>
      <c r="P36" s="190">
        <f>IF($I$4="None",V_cs^2/RFB_1,VLOOKUP($I$4,Design!$A$90:$F$93,5))</f>
        <v>0.20979020979020982</v>
      </c>
      <c r="Q36" s="191">
        <f t="shared" ca="1" si="30"/>
        <v>91.806618182942572</v>
      </c>
      <c r="R36" s="191">
        <f t="shared" ca="1" si="31"/>
        <v>105.08811569108857</v>
      </c>
      <c r="S36" s="191">
        <f ca="1">IF(RESET=1,Rdson,Rdson+Rdson*TCR_RdsON/100*(Efficiency!R36-25))</f>
        <v>226.88459106344504</v>
      </c>
      <c r="T36" s="381">
        <f t="shared" ca="1" si="32"/>
        <v>10.481390794746321</v>
      </c>
      <c r="U36" s="381">
        <f t="shared" ca="1" si="38"/>
        <v>6.3999999999999995</v>
      </c>
      <c r="V36" s="190">
        <f t="shared" ca="1" si="39"/>
        <v>0.87729307184976824</v>
      </c>
      <c r="W36" s="381">
        <f t="shared" ca="1" si="33"/>
        <v>4.4799999999999995</v>
      </c>
      <c r="X36" s="381">
        <f t="shared" ca="1" si="40"/>
        <v>5.3572930718497673</v>
      </c>
      <c r="Y36" s="381">
        <f t="shared" ca="1" si="34"/>
        <v>0.83624321834107618</v>
      </c>
      <c r="Z36" s="192" t="str">
        <f ca="1">IF(R36&gt;Constants!$C$31,"TSD",IF(OR(E36=Constants!$C$19,Efficiency!F36=Min_tOFF_typ),IF(E36=Constants!$C$19,"Pulse Skip","Dropout"),"Normal"))</f>
        <v>Normal</v>
      </c>
    </row>
    <row r="37" spans="1:26" x14ac:dyDescent="0.25">
      <c r="A37" s="367">
        <f>Design!$D$13</f>
        <v>85</v>
      </c>
      <c r="B37" s="187">
        <f t="shared" si="41"/>
        <v>13.789473684210522</v>
      </c>
      <c r="C37" s="187">
        <f ca="1">IF(RESET=1,VF,VF+(Q37-25)*Design!$B$16/1000)</f>
        <v>0.35299305769924189</v>
      </c>
      <c r="D37" s="188">
        <f t="shared" ca="1" si="24"/>
        <v>0.48441336919022732</v>
      </c>
      <c r="E37" s="184">
        <f ca="1">IF(F37=Min_tOFF_typ,Tsw-Min_tOFF_typ,IF(Tsw*Efficiency!D37&gt;Constants!$C$19,Tsw*Efficiency!D37,Constants!$C$19))</f>
        <v>242.20668459511367</v>
      </c>
      <c r="F37" s="184">
        <f ca="1">IF(E37=Constants!$C$19,Tsw-Constants!$C$19,IF(Tsw*(1-Efficiency!D37)&gt;Min_tOFF_typ,Tsw*(1-Efficiency!D37),Min_tOFF_typ))</f>
        <v>257.79331540488636</v>
      </c>
      <c r="G37" s="185">
        <f t="shared" ca="1" si="25"/>
        <v>0.54969714861060059</v>
      </c>
      <c r="H37" s="189">
        <f t="shared" si="26"/>
        <v>6.8947368421052618E-2</v>
      </c>
      <c r="I37" s="190">
        <f t="shared" si="27"/>
        <v>0.19965706371191122</v>
      </c>
      <c r="J37" s="190">
        <f t="shared" ca="1" si="35"/>
        <v>5.6803601472487301E-2</v>
      </c>
      <c r="K37" s="190">
        <f t="shared" si="28"/>
        <v>0.13789473684210524</v>
      </c>
      <c r="L37" s="190">
        <f t="shared" ca="1" si="36"/>
        <v>0.46330277044755636</v>
      </c>
      <c r="M37" s="190">
        <f t="shared" ca="1" si="37"/>
        <v>0.12739895092287429</v>
      </c>
      <c r="N37" s="190">
        <f ca="1">($B$4^2+G37^2/12)*DCR/1000+($B$4^2+G37^2/12)^2*DCR/1000*(R37-25)*(Constants!$C$32/100)</f>
        <v>1.3405065474557897E-2</v>
      </c>
      <c r="O37" s="190">
        <f t="shared" si="29"/>
        <v>8.9370304709141216E-2</v>
      </c>
      <c r="P37" s="190">
        <f>IF($I$4="None",V_cs^2/RFB_1,VLOOKUP($I$4,Design!$A$90:$F$93,5))</f>
        <v>0.20979020979020982</v>
      </c>
      <c r="Q37" s="191">
        <f t="shared" ca="1" si="30"/>
        <v>92.006942300758084</v>
      </c>
      <c r="R37" s="191">
        <f t="shared" ca="1" si="31"/>
        <v>105.84862467014004</v>
      </c>
      <c r="S37" s="191">
        <f ca="1">IF(RESET=1,Rdson,Rdson+Rdson*TCR_RdsON/100*(Efficiency!R37-25))</f>
        <v>227.61467968333443</v>
      </c>
      <c r="T37" s="381">
        <f t="shared" ca="1" si="32"/>
        <v>10.817864115205904</v>
      </c>
      <c r="U37" s="381">
        <f t="shared" ca="1" si="38"/>
        <v>6.3999999999999995</v>
      </c>
      <c r="V37" s="190">
        <f t="shared" ca="1" si="39"/>
        <v>0.90326730134433952</v>
      </c>
      <c r="W37" s="381">
        <f t="shared" ca="1" si="33"/>
        <v>4.4799999999999995</v>
      </c>
      <c r="X37" s="381">
        <f t="shared" ca="1" si="40"/>
        <v>5.3832673013443388</v>
      </c>
      <c r="Y37" s="381">
        <f t="shared" ca="1" si="34"/>
        <v>0.83220835028593687</v>
      </c>
      <c r="Z37" s="192" t="str">
        <f ca="1">IF(R37&gt;Constants!$C$31,"TSD",IF(OR(E37=Constants!$C$19,Efficiency!F37=Min_tOFF_typ),IF(E37=Constants!$C$19,"Pulse Skip","Dropout"),"Normal"))</f>
        <v>Normal</v>
      </c>
    </row>
    <row r="38" spans="1:26" x14ac:dyDescent="0.25">
      <c r="A38" s="367">
        <f>Design!$D$13</f>
        <v>85</v>
      </c>
      <c r="B38" s="187">
        <f t="shared" si="41"/>
        <v>14.210526315789469</v>
      </c>
      <c r="C38" s="187">
        <f ca="1">IF(RESET=1,VF,VF+(Q38-25)*Design!$B$16/1000)</f>
        <v>0.35280464644329101</v>
      </c>
      <c r="D38" s="188">
        <f t="shared" ca="1" si="24"/>
        <v>0.47026689682699385</v>
      </c>
      <c r="E38" s="184">
        <f ca="1">IF(F38=Min_tOFF_typ,Tsw-Min_tOFF_typ,IF(Tsw*Efficiency!D38&gt;Constants!$C$19,Tsw*Efficiency!D38,Constants!$C$19))</f>
        <v>235.13344841349692</v>
      </c>
      <c r="F38" s="184">
        <f ca="1">IF(E38=Constants!$C$19,Tsw-Constants!$C$19,IF(Tsw*(1-Efficiency!D38)&gt;Min_tOFF_typ,Tsw*(1-Efficiency!D38),Min_tOFF_typ))</f>
        <v>264.86655158650308</v>
      </c>
      <c r="G38" s="185">
        <f t="shared" ca="1" si="25"/>
        <v>0.56364525193857373</v>
      </c>
      <c r="H38" s="189">
        <f t="shared" si="26"/>
        <v>7.1052631578947339E-2</v>
      </c>
      <c r="I38" s="190">
        <f t="shared" si="27"/>
        <v>0.21203601108033229</v>
      </c>
      <c r="J38" s="190">
        <f t="shared" ca="1" si="35"/>
        <v>5.5465379290135355E-2</v>
      </c>
      <c r="K38" s="190">
        <f t="shared" si="28"/>
        <v>0.14210526315789468</v>
      </c>
      <c r="L38" s="190">
        <f t="shared" ca="1" si="36"/>
        <v>0.48065928510730965</v>
      </c>
      <c r="M38" s="190">
        <f t="shared" ca="1" si="37"/>
        <v>0.13082461012198188</v>
      </c>
      <c r="N38" s="190">
        <f ca="1">($B$4^2+G38^2/12)*DCR/1000+($B$4^2+G38^2/12)^2*DCR/1000*(R38-25)*(Constants!$C$32/100)</f>
        <v>1.3461793991260386E-2</v>
      </c>
      <c r="O38" s="190">
        <f t="shared" si="29"/>
        <v>9.4911357340720162E-2</v>
      </c>
      <c r="P38" s="190">
        <f>IF($I$4="None",V_cs^2/RFB_1,VLOOKUP($I$4,Design!$A$90:$F$93,5))</f>
        <v>0.20979020979020982</v>
      </c>
      <c r="Q38" s="191">
        <f t="shared" ca="1" si="30"/>
        <v>92.195353556709009</v>
      </c>
      <c r="R38" s="191">
        <f t="shared" ca="1" si="31"/>
        <v>106.62966782982893</v>
      </c>
      <c r="S38" s="191">
        <f ca="1">IF(RESET=1,Rdson,Rdson+Rdson*TCR_RdsON/100*(Efficiency!R38-25))</f>
        <v>228.36448111663577</v>
      </c>
      <c r="T38" s="381">
        <f t="shared" ca="1" si="32"/>
        <v>11.154324013917602</v>
      </c>
      <c r="U38" s="381">
        <f t="shared" ca="1" si="38"/>
        <v>6.3999999999999995</v>
      </c>
      <c r="V38" s="190">
        <f t="shared" ca="1" si="39"/>
        <v>0.92964725635148193</v>
      </c>
      <c r="W38" s="381">
        <f t="shared" ca="1" si="33"/>
        <v>4.4799999999999995</v>
      </c>
      <c r="X38" s="381">
        <f t="shared" ca="1" si="40"/>
        <v>5.4096472563514819</v>
      </c>
      <c r="Y38" s="381">
        <f t="shared" ca="1" si="34"/>
        <v>0.82815011547010187</v>
      </c>
      <c r="Z38" s="192" t="str">
        <f ca="1">IF(R38&gt;Constants!$C$31,"TSD",IF(OR(E38=Constants!$C$19,Efficiency!F38=Min_tOFF_typ),IF(E38=Constants!$C$19,"Pulse Skip","Dropout"),"Normal"))</f>
        <v>Normal</v>
      </c>
    </row>
    <row r="39" spans="1:26" x14ac:dyDescent="0.25">
      <c r="A39" s="367">
        <f>Design!$D$13</f>
        <v>85</v>
      </c>
      <c r="B39" s="187">
        <f t="shared" si="41"/>
        <v>14.631578947368416</v>
      </c>
      <c r="C39" s="187">
        <f ca="1">IF(RESET=1,VF,VF+(Q39-25)*Design!$B$16/1000)</f>
        <v>0.35262711648170553</v>
      </c>
      <c r="D39" s="188">
        <f t="shared" ca="1" si="24"/>
        <v>0.4569235913608915</v>
      </c>
      <c r="E39" s="184">
        <f ca="1">IF(F39=Min_tOFF_typ,Tsw-Min_tOFF_typ,IF(Tsw*Efficiency!D39&gt;Constants!$C$19,Tsw*Efficiency!D39,Constants!$C$19))</f>
        <v>228.46179568044576</v>
      </c>
      <c r="F39" s="184">
        <f ca="1">IF(E39=Constants!$C$19,Tsw-Constants!$C$19,IF(Tsw*(1-Efficiency!D39)&gt;Min_tOFF_typ,Tsw*(1-Efficiency!D39),Min_tOFF_typ))</f>
        <v>271.53820431955421</v>
      </c>
      <c r="G39" s="185">
        <f t="shared" ca="1" si="25"/>
        <v>0.57680226883914765</v>
      </c>
      <c r="H39" s="189">
        <f t="shared" si="26"/>
        <v>7.3157894736842088E-2</v>
      </c>
      <c r="I39" s="190">
        <f t="shared" si="27"/>
        <v>0.22478725761772839</v>
      </c>
      <c r="J39" s="190">
        <f t="shared" ca="1" si="35"/>
        <v>5.4204048205153114E-2</v>
      </c>
      <c r="K39" s="190">
        <f t="shared" si="28"/>
        <v>0.14631578947368418</v>
      </c>
      <c r="L39" s="190">
        <f t="shared" ca="1" si="36"/>
        <v>0.49846499003340777</v>
      </c>
      <c r="M39" s="190">
        <f t="shared" ca="1" si="37"/>
        <v>0.13405242760535444</v>
      </c>
      <c r="N39" s="190">
        <f ca="1">($B$4^2+G39^2/12)*DCR/1000+($B$4^2+G39^2/12)^2*DCR/1000*(R39-25)*(Constants!$C$32/100)</f>
        <v>1.3517901976319746E-2</v>
      </c>
      <c r="O39" s="190">
        <f t="shared" si="29"/>
        <v>0.1006190581717451</v>
      </c>
      <c r="P39" s="190">
        <f>IF($I$4="None",V_cs^2/RFB_1,VLOOKUP($I$4,Design!$A$90:$F$93,5))</f>
        <v>0.20979020979020982</v>
      </c>
      <c r="Q39" s="191">
        <f t="shared" ca="1" si="30"/>
        <v>92.372883518294501</v>
      </c>
      <c r="R39" s="191">
        <f t="shared" ca="1" si="31"/>
        <v>107.43092455150335</v>
      </c>
      <c r="S39" s="191">
        <f ca="1">IF(RESET=1,Rdson,Rdson+Rdson*TCR_RdsON/100*(Efficiency!R39-25))</f>
        <v>229.13368756944323</v>
      </c>
      <c r="T39" s="381">
        <f t="shared" ca="1" si="32"/>
        <v>11.490770869559505</v>
      </c>
      <c r="U39" s="381">
        <f t="shared" ca="1" si="38"/>
        <v>6.3999999999999995</v>
      </c>
      <c r="V39" s="190">
        <f t="shared" ca="1" si="39"/>
        <v>0.95644458757703688</v>
      </c>
      <c r="W39" s="381">
        <f t="shared" ca="1" si="33"/>
        <v>4.4799999999999995</v>
      </c>
      <c r="X39" s="381">
        <f t="shared" ca="1" si="40"/>
        <v>5.4364445875770366</v>
      </c>
      <c r="Y39" s="381">
        <f t="shared" ca="1" si="34"/>
        <v>0.82406799661627494</v>
      </c>
      <c r="Z39" s="192" t="str">
        <f ca="1">IF(R39&gt;Constants!$C$31,"TSD",IF(OR(E39=Constants!$C$19,Efficiency!F39=Min_tOFF_typ),IF(E39=Constants!$C$19,"Pulse Skip","Dropout"),"Normal"))</f>
        <v>Normal</v>
      </c>
    </row>
    <row r="40" spans="1:26" x14ac:dyDescent="0.25">
      <c r="A40" s="367">
        <f>Design!$D$13</f>
        <v>85</v>
      </c>
      <c r="B40" s="187">
        <f t="shared" si="41"/>
        <v>15.052631578947363</v>
      </c>
      <c r="C40" s="187">
        <f ca="1">IF(RESET=1,VF,VF+(Q40-25)*Design!$B$16/1000)</f>
        <v>0.35245955197372614</v>
      </c>
      <c r="D40" s="188">
        <f t="shared" ca="1" si="24"/>
        <v>0.44431696688751005</v>
      </c>
      <c r="E40" s="184">
        <f ca="1">IF(F40=Min_tOFF_typ,Tsw-Min_tOFF_typ,IF(Tsw*Efficiency!D40&gt;Constants!$C$19,Tsw*Efficiency!D40,Constants!$C$19))</f>
        <v>222.15848344375502</v>
      </c>
      <c r="F40" s="184">
        <f ca="1">IF(E40=Constants!$C$19,Tsw-Constants!$C$19,IF(Tsw*(1-Efficiency!D40)&gt;Min_tOFF_typ,Tsw*(1-Efficiency!D40),Min_tOFF_typ))</f>
        <v>277.84151655624498</v>
      </c>
      <c r="G40" s="185">
        <f t="shared" ca="1" si="25"/>
        <v>0.58923374476389845</v>
      </c>
      <c r="H40" s="189">
        <f t="shared" si="26"/>
        <v>7.5263157894736823E-2</v>
      </c>
      <c r="I40" s="190">
        <f t="shared" si="27"/>
        <v>0.2379108033240995</v>
      </c>
      <c r="J40" s="190">
        <f t="shared" ca="1" si="35"/>
        <v>5.3013294412171279E-2</v>
      </c>
      <c r="K40" s="190">
        <f t="shared" si="28"/>
        <v>0.15052631578947362</v>
      </c>
      <c r="L40" s="190">
        <f t="shared" ca="1" si="36"/>
        <v>0.51671357142048124</v>
      </c>
      <c r="M40" s="190">
        <f t="shared" ca="1" si="37"/>
        <v>0.13709905502316061</v>
      </c>
      <c r="N40" s="190">
        <f ca="1">($B$4^2+G40^2/12)*DCR/1000+($B$4^2+G40^2/12)^2*DCR/1000*(R40-25)*(Constants!$C$32/100)</f>
        <v>1.3573415268064454E-2</v>
      </c>
      <c r="O40" s="190">
        <f t="shared" si="29"/>
        <v>0.10649340720221599</v>
      </c>
      <c r="P40" s="190">
        <f>IF($I$4="None",V_cs^2/RFB_1,VLOOKUP($I$4,Design!$A$90:$F$93,5))</f>
        <v>0.20979020979020982</v>
      </c>
      <c r="Q40" s="191">
        <f t="shared" ca="1" si="30"/>
        <v>92.540448026273836</v>
      </c>
      <c r="R40" s="191">
        <f t="shared" ca="1" si="31"/>
        <v>108.25211071392165</v>
      </c>
      <c r="S40" s="191">
        <f ca="1">IF(RESET=1,Rdson,Rdson+Rdson*TCR_RdsON/100*(Efficiency!R40-25))</f>
        <v>229.92202628536478</v>
      </c>
      <c r="T40" s="381">
        <f t="shared" ca="1" si="32"/>
        <v>11.827205018043342</v>
      </c>
      <c r="U40" s="381">
        <f t="shared" ca="1" si="38"/>
        <v>6.3999999999999995</v>
      </c>
      <c r="V40" s="190">
        <f t="shared" ca="1" si="39"/>
        <v>0.98366965870413214</v>
      </c>
      <c r="W40" s="381">
        <f t="shared" ca="1" si="33"/>
        <v>4.4799999999999995</v>
      </c>
      <c r="X40" s="381">
        <f t="shared" ca="1" si="40"/>
        <v>5.4636696587041316</v>
      </c>
      <c r="Y40" s="381">
        <f t="shared" ca="1" si="34"/>
        <v>0.81996172533288958</v>
      </c>
      <c r="Z40" s="192" t="str">
        <f ca="1">IF(R40&gt;Constants!$C$31,"TSD",IF(OR(E40=Constants!$C$19,Efficiency!F40=Min_tOFF_typ),IF(E40=Constants!$C$19,"Pulse Skip","Dropout"),"Normal"))</f>
        <v>Normal</v>
      </c>
    </row>
    <row r="41" spans="1:26" x14ac:dyDescent="0.25">
      <c r="A41" s="367">
        <f>Design!$D$13</f>
        <v>85</v>
      </c>
      <c r="B41" s="187">
        <f t="shared" si="41"/>
        <v>15.47368421052631</v>
      </c>
      <c r="C41" s="187">
        <f ca="1">IF(RESET=1,VF,VF+(Q41-25)*Design!$B$16/1000)</f>
        <v>0.35230113702379223</v>
      </c>
      <c r="D41" s="188">
        <f t="shared" ca="1" si="24"/>
        <v>0.43238767662284883</v>
      </c>
      <c r="E41" s="184">
        <f ca="1">IF(F41=Min_tOFF_typ,Tsw-Min_tOFF_typ,IF(Tsw*Efficiency!D41&gt;Constants!$C$19,Tsw*Efficiency!D41,Constants!$C$19))</f>
        <v>216.1938383114244</v>
      </c>
      <c r="F41" s="184">
        <f ca="1">IF(E41=Constants!$C$19,Tsw-Constants!$C$19,IF(Tsw*(1-Efficiency!D41)&gt;Min_tOFF_typ,Tsw*(1-Efficiency!D41),Min_tOFF_typ))</f>
        <v>283.80616168857557</v>
      </c>
      <c r="G41" s="185">
        <f t="shared" ca="1" si="25"/>
        <v>0.60099818210017952</v>
      </c>
      <c r="H41" s="189">
        <f t="shared" si="26"/>
        <v>7.7368421052631545E-2</v>
      </c>
      <c r="I41" s="190">
        <f t="shared" si="27"/>
        <v>0.2514066481994458</v>
      </c>
      <c r="J41" s="190">
        <f t="shared" ca="1" si="35"/>
        <v>5.1887499473453572E-2</v>
      </c>
      <c r="K41" s="190">
        <f t="shared" si="28"/>
        <v>0.15473684210526309</v>
      </c>
      <c r="L41" s="190">
        <f t="shared" ca="1" si="36"/>
        <v>0.53539941083079401</v>
      </c>
      <c r="M41" s="190">
        <f t="shared" ca="1" si="37"/>
        <v>0.13997932684014075</v>
      </c>
      <c r="N41" s="190">
        <f ca="1">($B$4^2+G41^2/12)*DCR/1000+($B$4^2+G41^2/12)^2*DCR/1000*(R41-25)*(Constants!$C$32/100)</f>
        <v>1.3628363862912864E-2</v>
      </c>
      <c r="O41" s="190">
        <f t="shared" si="29"/>
        <v>0.11253440443213288</v>
      </c>
      <c r="P41" s="190">
        <f>IF($I$4="None",V_cs^2/RFB_1,VLOOKUP($I$4,Design!$A$90:$F$93,5))</f>
        <v>0.20979020979020982</v>
      </c>
      <c r="Q41" s="191">
        <f t="shared" ca="1" si="30"/>
        <v>92.698862976207735</v>
      </c>
      <c r="R41" s="191">
        <f t="shared" ca="1" si="31"/>
        <v>109.09297348738573</v>
      </c>
      <c r="S41" s="191">
        <f ca="1">IF(RESET=1,Rdson,Rdson+Rdson*TCR_RdsON/100*(Efficiency!R41-25))</f>
        <v>230.72925454789032</v>
      </c>
      <c r="T41" s="381">
        <f t="shared" ca="1" si="32"/>
        <v>12.163626758469473</v>
      </c>
      <c r="U41" s="381">
        <f t="shared" ca="1" si="38"/>
        <v>6.3999999999999995</v>
      </c>
      <c r="V41" s="190">
        <f t="shared" ca="1" si="39"/>
        <v>1.0113317157561905</v>
      </c>
      <c r="W41" s="381">
        <f t="shared" ca="1" si="33"/>
        <v>4.4799999999999995</v>
      </c>
      <c r="X41" s="381">
        <f t="shared" ca="1" si="40"/>
        <v>5.4913317157561901</v>
      </c>
      <c r="Y41" s="381">
        <f t="shared" ca="1" si="34"/>
        <v>0.81583124675306129</v>
      </c>
      <c r="Z41" s="192" t="str">
        <f ca="1">IF(R41&gt;Constants!$C$31,"TSD",IF(OR(E41=Constants!$C$19,Efficiency!F41=Min_tOFF_typ),IF(E41=Constants!$C$19,"Pulse Skip","Dropout"),"Normal"))</f>
        <v>Normal</v>
      </c>
    </row>
    <row r="42" spans="1:26" x14ac:dyDescent="0.25">
      <c r="A42" s="367">
        <f>Design!$D$13</f>
        <v>85</v>
      </c>
      <c r="B42" s="187">
        <f t="shared" si="41"/>
        <v>15.894736842105257</v>
      </c>
      <c r="C42" s="187">
        <f ca="1">IF(RESET=1,VF,VF+(Q42-25)*Design!$B$16/1000)</f>
        <v>0.35215114241333922</v>
      </c>
      <c r="D42" s="188">
        <f t="shared" ca="1" si="24"/>
        <v>0.42108257998189952</v>
      </c>
      <c r="E42" s="184">
        <f ca="1">IF(F42=Min_tOFF_typ,Tsw-Min_tOFF_typ,IF(Tsw*Efficiency!D42&gt;Constants!$C$19,Tsw*Efficiency!D42,Constants!$C$19))</f>
        <v>210.54128999094976</v>
      </c>
      <c r="F42" s="184">
        <f ca="1">IF(E42=Constants!$C$19,Tsw-Constants!$C$19,IF(Tsw*(1-Efficiency!D42)&gt;Min_tOFF_typ,Tsw*(1-Efficiency!D42),Min_tOFF_typ))</f>
        <v>289.45871000905021</v>
      </c>
      <c r="G42" s="185">
        <f t="shared" ca="1" si="25"/>
        <v>0.61214796116985826</v>
      </c>
      <c r="H42" s="189">
        <f t="shared" si="26"/>
        <v>7.9473684210526294E-2</v>
      </c>
      <c r="I42" s="190">
        <f t="shared" si="27"/>
        <v>0.2652747922437671</v>
      </c>
      <c r="J42" s="190">
        <f t="shared" ca="1" si="35"/>
        <v>5.0821644363005493E-2</v>
      </c>
      <c r="K42" s="190">
        <f t="shared" si="28"/>
        <v>0.15894736842105256</v>
      </c>
      <c r="L42" s="190">
        <f t="shared" ca="1" si="36"/>
        <v>0.55451748923835154</v>
      </c>
      <c r="M42" s="190">
        <f t="shared" ca="1" si="37"/>
        <v>0.1427065015756499</v>
      </c>
      <c r="N42" s="190">
        <f ca="1">($B$4^2+G42^2/12)*DCR/1000+($B$4^2+G42^2/12)^2*DCR/1000*(R42-25)*(Constants!$C$32/100)</f>
        <v>1.3682780488416981E-2</v>
      </c>
      <c r="O42" s="190">
        <f t="shared" si="29"/>
        <v>0.11874204986149575</v>
      </c>
      <c r="P42" s="190">
        <f>IF($I$4="None",V_cs^2/RFB_1,VLOOKUP($I$4,Design!$A$90:$F$93,5))</f>
        <v>0.20979020979020982</v>
      </c>
      <c r="Q42" s="191">
        <f t="shared" ca="1" si="30"/>
        <v>92.848857586660742</v>
      </c>
      <c r="R42" s="191">
        <f t="shared" ca="1" si="31"/>
        <v>109.95328701572582</v>
      </c>
      <c r="S42" s="191">
        <f ca="1">IF(RESET=1,Rdson,Rdson+Rdson*TCR_RdsON/100*(Efficiency!R42-25))</f>
        <v>231.55515553509679</v>
      </c>
      <c r="T42" s="381">
        <f t="shared" ca="1" si="32"/>
        <v>12.500036358101884</v>
      </c>
      <c r="U42" s="381">
        <f t="shared" ca="1" si="38"/>
        <v>6.3999999999999995</v>
      </c>
      <c r="V42" s="190">
        <f t="shared" ca="1" si="39"/>
        <v>1.0394390309541239</v>
      </c>
      <c r="W42" s="381">
        <f t="shared" ca="1" si="33"/>
        <v>4.4799999999999995</v>
      </c>
      <c r="X42" s="381">
        <f t="shared" ca="1" si="40"/>
        <v>5.519439030954123</v>
      </c>
      <c r="Y42" s="381">
        <f t="shared" ca="1" si="34"/>
        <v>0.81167668940181414</v>
      </c>
      <c r="Z42" s="192" t="str">
        <f ca="1">IF(R42&gt;Constants!$C$31,"TSD",IF(OR(E42=Constants!$C$19,Efficiency!F42=Min_tOFF_typ),IF(E42=Constants!$C$19,"Pulse Skip","Dropout"),"Normal"))</f>
        <v>Normal</v>
      </c>
    </row>
    <row r="43" spans="1:26" x14ac:dyDescent="0.25">
      <c r="A43" s="367">
        <f>Design!$D$13</f>
        <v>85</v>
      </c>
      <c r="B43" s="187">
        <f t="shared" si="41"/>
        <v>16.315789473684205</v>
      </c>
      <c r="C43" s="187">
        <f ca="1">IF(RESET=1,VF,VF+(Q43-25)*Design!$B$16/1000)</f>
        <v>0.35200891439113391</v>
      </c>
      <c r="D43" s="188">
        <f t="shared" ca="1" si="24"/>
        <v>0.41035395218792159</v>
      </c>
      <c r="E43" s="184">
        <f ca="1">IF(F43=Min_tOFF_typ,Tsw-Min_tOFF_typ,IF(Tsw*Efficiency!D43&gt;Constants!$C$19,Tsw*Efficiency!D43,Constants!$C$19))</f>
        <v>205.1769760939608</v>
      </c>
      <c r="F43" s="184">
        <f ca="1">IF(E43=Constants!$C$19,Tsw-Constants!$C$19,IF(Tsw*(1-Efficiency!D43)&gt;Min_tOFF_typ,Tsw*(1-Efficiency!D43),Min_tOFF_typ))</f>
        <v>294.82302390603923</v>
      </c>
      <c r="G43" s="185">
        <f t="shared" ca="1" si="25"/>
        <v>0.62273012042552978</v>
      </c>
      <c r="H43" s="189">
        <f t="shared" si="26"/>
        <v>8.1578947368421029E-2</v>
      </c>
      <c r="I43" s="190">
        <f t="shared" si="27"/>
        <v>0.27951523545706353</v>
      </c>
      <c r="J43" s="190">
        <f t="shared" ca="1" si="35"/>
        <v>4.9811229353548661E-2</v>
      </c>
      <c r="K43" s="190">
        <f t="shared" si="28"/>
        <v>0.16315789473684206</v>
      </c>
      <c r="L43" s="190">
        <f t="shared" ca="1" si="36"/>
        <v>0.57406330691587526</v>
      </c>
      <c r="M43" s="190">
        <f t="shared" ca="1" si="37"/>
        <v>0.14529246561574663</v>
      </c>
      <c r="N43" s="190">
        <f ca="1">($B$4^2+G43^2/12)*DCR/1000+($B$4^2+G43^2/12)^2*DCR/1000*(R43-25)*(Constants!$C$32/100)</f>
        <v>1.3736699526438892E-2</v>
      </c>
      <c r="O43" s="190">
        <f t="shared" si="29"/>
        <v>0.12511634349030465</v>
      </c>
      <c r="P43" s="190">
        <f>IF($I$4="None",V_cs^2/RFB_1,VLOOKUP($I$4,Design!$A$90:$F$93,5))</f>
        <v>0.20979020979020982</v>
      </c>
      <c r="Q43" s="191">
        <f t="shared" ca="1" si="30"/>
        <v>92.991085608866058</v>
      </c>
      <c r="R43" s="191">
        <f t="shared" ca="1" si="31"/>
        <v>110.83284881121439</v>
      </c>
      <c r="S43" s="191">
        <f ca="1">IF(RESET=1,Rdson,Rdson+Rdson*TCR_RdsON/100*(Efficiency!R43-25))</f>
        <v>232.39953485876583</v>
      </c>
      <c r="T43" s="381">
        <f t="shared" ca="1" si="32"/>
        <v>12.83643405654823</v>
      </c>
      <c r="U43" s="381">
        <f t="shared" ca="1" si="38"/>
        <v>6.3999999999999995</v>
      </c>
      <c r="V43" s="190">
        <f t="shared" ca="1" si="39"/>
        <v>1.0679990253385752</v>
      </c>
      <c r="W43" s="381">
        <f t="shared" ca="1" si="33"/>
        <v>4.4799999999999995</v>
      </c>
      <c r="X43" s="381">
        <f t="shared" ca="1" si="40"/>
        <v>5.5479990253385747</v>
      </c>
      <c r="Y43" s="381">
        <f t="shared" ca="1" si="34"/>
        <v>0.80749833940834215</v>
      </c>
      <c r="Z43" s="192" t="str">
        <f ca="1">IF(R43&gt;Constants!$C$31,"TSD",IF(OR(E43=Constants!$C$19,Efficiency!F43=Min_tOFF_typ),IF(E43=Constants!$C$19,"Pulse Skip","Dropout"),"Normal"))</f>
        <v>Normal</v>
      </c>
    </row>
    <row r="44" spans="1:26" x14ac:dyDescent="0.25">
      <c r="A44" s="367">
        <f>Design!$D$13</f>
        <v>85</v>
      </c>
      <c r="B44" s="187">
        <f t="shared" si="41"/>
        <v>16.736842105263154</v>
      </c>
      <c r="C44" s="187">
        <f ca="1">IF(RESET=1,VF,VF+(Q44-25)*Design!$B$16/1000)</f>
        <v>0.35187386515901153</v>
      </c>
      <c r="D44" s="188">
        <f t="shared" ca="1" si="24"/>
        <v>0.40015881164436407</v>
      </c>
      <c r="E44" s="184">
        <f ca="1">IF(F44=Min_tOFF_typ,Tsw-Min_tOFF_typ,IF(Tsw*Efficiency!D44&gt;Constants!$C$19,Tsw*Efficiency!D44,Constants!$C$19))</f>
        <v>200.07940582218203</v>
      </c>
      <c r="F44" s="184">
        <f ca="1">IF(E44=Constants!$C$19,Tsw-Constants!$C$19,IF(Tsw*(1-Efficiency!D44)&gt;Min_tOFF_typ,Tsw*(1-Efficiency!D44),Min_tOFF_typ))</f>
        <v>299.92059417781797</v>
      </c>
      <c r="G44" s="185">
        <f t="shared" ca="1" si="25"/>
        <v>0.63278702032757073</v>
      </c>
      <c r="H44" s="189">
        <f t="shared" si="26"/>
        <v>8.3684210526315764E-2</v>
      </c>
      <c r="I44" s="190">
        <f t="shared" si="27"/>
        <v>0.29412797783933503</v>
      </c>
      <c r="J44" s="190">
        <f t="shared" ca="1" si="35"/>
        <v>4.8852206721113949E-2</v>
      </c>
      <c r="K44" s="190">
        <f t="shared" si="28"/>
        <v>0.16736842105263156</v>
      </c>
      <c r="L44" s="190">
        <f t="shared" ca="1" si="36"/>
        <v>0.59403281613939629</v>
      </c>
      <c r="M44" s="190">
        <f t="shared" ca="1" si="37"/>
        <v>0.14774790619979059</v>
      </c>
      <c r="N44" s="190">
        <f ca="1">($B$4^2+G44^2/12)*DCR/1000+($B$4^2+G44^2/12)^2*DCR/1000*(R44-25)*(Constants!$C$32/100)</f>
        <v>1.3790156203078396E-2</v>
      </c>
      <c r="O44" s="190">
        <f t="shared" si="29"/>
        <v>0.1316572853185595</v>
      </c>
      <c r="P44" s="190">
        <f>IF($I$4="None",V_cs^2/RFB_1,VLOOKUP($I$4,Design!$A$90:$F$93,5))</f>
        <v>0.20979020979020982</v>
      </c>
      <c r="Q44" s="191">
        <f t="shared" ca="1" si="30"/>
        <v>93.126134840988485</v>
      </c>
      <c r="R44" s="191">
        <f t="shared" ca="1" si="31"/>
        <v>111.73147672627283</v>
      </c>
      <c r="S44" s="191">
        <f ca="1">IF(RESET=1,Rdson,Rdson+Rdson*TCR_RdsON/100*(Efficiency!R44-25))</f>
        <v>233.26221765722192</v>
      </c>
      <c r="T44" s="381">
        <f t="shared" ca="1" si="32"/>
        <v>13.172820069290676</v>
      </c>
      <c r="U44" s="381">
        <f t="shared" ca="1" si="38"/>
        <v>6.3999999999999995</v>
      </c>
      <c r="V44" s="190">
        <f t="shared" ca="1" si="39"/>
        <v>1.0970183736510346</v>
      </c>
      <c r="W44" s="381">
        <f t="shared" ca="1" si="33"/>
        <v>4.4799999999999995</v>
      </c>
      <c r="X44" s="381">
        <f t="shared" ca="1" si="40"/>
        <v>5.5770183736510344</v>
      </c>
      <c r="Y44" s="381">
        <f t="shared" ca="1" si="34"/>
        <v>0.80329661834467581</v>
      </c>
      <c r="Z44" s="192" t="str">
        <f ca="1">IF(R44&gt;Constants!$C$31,"TSD",IF(OR(E44=Constants!$C$19,Efficiency!F44=Min_tOFF_typ),IF(E44=Constants!$C$19,"Pulse Skip","Dropout"),"Normal"))</f>
        <v>Normal</v>
      </c>
    </row>
    <row r="45" spans="1:26" x14ac:dyDescent="0.25">
      <c r="A45" s="367">
        <f>Design!$D$13</f>
        <v>85</v>
      </c>
      <c r="B45" s="187">
        <f t="shared" si="41"/>
        <v>17.157894736842103</v>
      </c>
      <c r="C45" s="187">
        <f ca="1">IF(RESET=1,VF,VF+(Q45-25)*Design!$B$16/1000)</f>
        <v>0.35174546476127522</v>
      </c>
      <c r="D45" s="188">
        <f t="shared" ca="1" si="24"/>
        <v>0.39045834510002153</v>
      </c>
      <c r="E45" s="184">
        <f ca="1">IF(F45=Min_tOFF_typ,Tsw-Min_tOFF_typ,IF(Tsw*Efficiency!D45&gt;Constants!$C$19,Tsw*Efficiency!D45,Constants!$C$19))</f>
        <v>195.22917255001076</v>
      </c>
      <c r="F45" s="184">
        <f ca="1">IF(E45=Constants!$C$19,Tsw-Constants!$C$19,IF(Tsw*(1-Efficiency!D45)&gt;Min_tOFF_typ,Tsw*(1-Efficiency!D45),Min_tOFF_typ))</f>
        <v>304.77082744998921</v>
      </c>
      <c r="G45" s="185">
        <f t="shared" ca="1" si="25"/>
        <v>0.64235691063903044</v>
      </c>
      <c r="H45" s="189">
        <f t="shared" si="26"/>
        <v>8.5789473684210527E-2</v>
      </c>
      <c r="I45" s="190">
        <f t="shared" si="27"/>
        <v>0.30911301939058161</v>
      </c>
      <c r="J45" s="190">
        <f t="shared" ca="1" si="35"/>
        <v>4.7940923893084707E-2</v>
      </c>
      <c r="K45" s="190">
        <f t="shared" si="28"/>
        <v>0.17157894736842103</v>
      </c>
      <c r="L45" s="190">
        <f t="shared" ca="1" si="36"/>
        <v>0.61442236433629782</v>
      </c>
      <c r="M45" s="190">
        <f t="shared" ca="1" si="37"/>
        <v>0.15008245888590482</v>
      </c>
      <c r="N45" s="190">
        <f ca="1">($B$4^2+G45^2/12)*DCR/1000+($B$4^2+G45^2/12)^2*DCR/1000*(R45-25)*(Constants!$C$32/100)</f>
        <v>1.3843185982423812E-2</v>
      </c>
      <c r="O45" s="190">
        <f t="shared" si="29"/>
        <v>0.13836487534626035</v>
      </c>
      <c r="P45" s="190">
        <f>IF($I$4="None",V_cs^2/RFB_1,VLOOKUP($I$4,Design!$A$90:$F$93,5))</f>
        <v>0.20979020979020982</v>
      </c>
      <c r="Q45" s="191">
        <f t="shared" ca="1" si="30"/>
        <v>93.25453523872477</v>
      </c>
      <c r="R45" s="191">
        <f t="shared" ca="1" si="31"/>
        <v>112.6490063951334</v>
      </c>
      <c r="S45" s="191">
        <f ca="1">IF(RESET=1,Rdson,Rdson+Rdson*TCR_RdsON/100*(Efficiency!R45-25))</f>
        <v>234.14304613932808</v>
      </c>
      <c r="T45" s="381">
        <f t="shared" ca="1" si="32"/>
        <v>13.509194590683403</v>
      </c>
      <c r="U45" s="381">
        <f t="shared" ca="1" si="38"/>
        <v>6.3999999999999995</v>
      </c>
      <c r="V45" s="190">
        <f t="shared" ca="1" si="39"/>
        <v>1.1265030943410967</v>
      </c>
      <c r="W45" s="381">
        <f t="shared" ca="1" si="33"/>
        <v>4.4799999999999995</v>
      </c>
      <c r="X45" s="381">
        <f t="shared" ca="1" si="40"/>
        <v>5.6065030943410967</v>
      </c>
      <c r="Y45" s="381">
        <f t="shared" ca="1" si="34"/>
        <v>0.79907206410389231</v>
      </c>
      <c r="Z45" s="192" t="str">
        <f ca="1">IF(R45&gt;Constants!$C$31,"TSD",IF(OR(E45=Constants!$C$19,Efficiency!F45=Min_tOFF_typ),IF(E45=Constants!$C$19,"Pulse Skip","Dropout"),"Normal"))</f>
        <v>Normal</v>
      </c>
    </row>
    <row r="46" spans="1:26" x14ac:dyDescent="0.25">
      <c r="A46" s="367">
        <f>Design!$D$13</f>
        <v>85</v>
      </c>
      <c r="B46" s="187">
        <f t="shared" si="41"/>
        <v>17.578947368421051</v>
      </c>
      <c r="C46" s="187">
        <f ca="1">IF(RESET=1,VF,VF+(Q46-25)*Design!$B$16/1000)</f>
        <v>0.35162323414200453</v>
      </c>
      <c r="D46" s="188">
        <f t="shared" ca="1" si="24"/>
        <v>0.38121741441568613</v>
      </c>
      <c r="E46" s="184">
        <f ca="1">IF(F46=Min_tOFF_typ,Tsw-Min_tOFF_typ,IF(Tsw*Efficiency!D46&gt;Constants!$C$19,Tsw*Efficiency!D46,Constants!$C$19))</f>
        <v>190.60870720784305</v>
      </c>
      <c r="F46" s="184">
        <f ca="1">IF(E46=Constants!$C$19,Tsw-Constants!$C$19,IF(Tsw*(1-Efficiency!D46)&gt;Min_tOFF_typ,Tsw*(1-Efficiency!D46),Min_tOFF_typ))</f>
        <v>309.39129279215695</v>
      </c>
      <c r="G46" s="185">
        <f t="shared" ca="1" si="25"/>
        <v>0.65147441713940613</v>
      </c>
      <c r="H46" s="189">
        <f t="shared" si="26"/>
        <v>8.7894736842105262E-2</v>
      </c>
      <c r="I46" s="190">
        <f t="shared" si="27"/>
        <v>0.32447036011080327</v>
      </c>
      <c r="J46" s="190">
        <f t="shared" ca="1" si="35"/>
        <v>4.7074075161787125E-2</v>
      </c>
      <c r="K46" s="190">
        <f t="shared" si="28"/>
        <v>0.17578947368421052</v>
      </c>
      <c r="L46" s="190">
        <f t="shared" ca="1" si="36"/>
        <v>0.63522864579890614</v>
      </c>
      <c r="M46" s="190">
        <f t="shared" ca="1" si="37"/>
        <v>0.1523048337817357</v>
      </c>
      <c r="N46" s="190">
        <f ca="1">($B$4^2+G46^2/12)*DCR/1000+($B$4^2+G46^2/12)^2*DCR/1000*(R46-25)*(Constants!$C$32/100)</f>
        <v>1.3895824116396638E-2</v>
      </c>
      <c r="O46" s="190">
        <f t="shared" si="29"/>
        <v>0.14523911357340719</v>
      </c>
      <c r="P46" s="190">
        <f>IF($I$4="None",V_cs^2/RFB_1,VLOOKUP($I$4,Design!$A$90:$F$93,5))</f>
        <v>0.20979020979020982</v>
      </c>
      <c r="Q46" s="191">
        <f t="shared" ca="1" si="30"/>
        <v>93.376765857995466</v>
      </c>
      <c r="R46" s="191">
        <f t="shared" ca="1" si="31"/>
        <v>113.58528906095077</v>
      </c>
      <c r="S46" s="191">
        <f ca="1">IF(RESET=1,Rdson,Rdson+Rdson*TCR_RdsON/100*(Efficiency!R46-25))</f>
        <v>235.04187749851275</v>
      </c>
      <c r="T46" s="381">
        <f t="shared" ca="1" si="32"/>
        <v>13.845557796509272</v>
      </c>
      <c r="U46" s="381">
        <f t="shared" ca="1" si="38"/>
        <v>6.3999999999999995</v>
      </c>
      <c r="V46" s="190">
        <f t="shared" ca="1" si="39"/>
        <v>1.1564586270606556</v>
      </c>
      <c r="W46" s="381">
        <f t="shared" ca="1" si="33"/>
        <v>4.4799999999999995</v>
      </c>
      <c r="X46" s="381">
        <f t="shared" ca="1" si="40"/>
        <v>5.6364586270606551</v>
      </c>
      <c r="Y46" s="381">
        <f t="shared" ca="1" si="34"/>
        <v>0.79482531433682591</v>
      </c>
      <c r="Z46" s="192" t="str">
        <f ca="1">IF(R46&gt;Constants!$C$31,"TSD",IF(OR(E46=Constants!$C$19,Efficiency!F46=Min_tOFF_typ),IF(E46=Constants!$C$19,"Pulse Skip","Dropout"),"Normal"))</f>
        <v>Normal</v>
      </c>
    </row>
    <row r="47" spans="1:26" ht="15.75" thickBot="1" x14ac:dyDescent="0.3">
      <c r="A47" s="368">
        <f>Design!$D$13</f>
        <v>85</v>
      </c>
      <c r="B47" s="382">
        <f>Design!D4</f>
        <v>18</v>
      </c>
      <c r="C47" s="187">
        <f ca="1">IF(RESET=1,VF,VF+(Q47-25)*Design!$B$16/1000)</f>
        <v>0.35150673917870234</v>
      </c>
      <c r="D47" s="383">
        <f t="shared" ca="1" si="24"/>
        <v>0.37240413173299269</v>
      </c>
      <c r="E47" s="184">
        <f ca="1">IF(F47=Min_tOFF_typ,Tsw-Min_tOFF_typ,IF(Tsw*Efficiency!D47&gt;Constants!$C$19,Tsw*Efficiency!D47,Constants!$C$19))</f>
        <v>186.20206586649635</v>
      </c>
      <c r="F47" s="384">
        <f ca="1">IF(E47=Constants!$C$19,Tsw-Constants!$C$19,IF(Tsw*(1-Efficiency!D47)&gt;Min_tOFF_typ,Tsw*(1-Efficiency!D47),Min_tOFF_typ))</f>
        <v>313.79793413350365</v>
      </c>
      <c r="G47" s="385">
        <f t="shared" ca="1" si="25"/>
        <v>0.66017096079939619</v>
      </c>
      <c r="H47" s="329">
        <f t="shared" si="26"/>
        <v>0.09</v>
      </c>
      <c r="I47" s="314">
        <f t="shared" si="27"/>
        <v>0.3402</v>
      </c>
      <c r="J47" s="314">
        <f t="shared" ca="1" si="35"/>
        <v>4.6248660467224818E-2</v>
      </c>
      <c r="K47" s="314">
        <f t="shared" si="28"/>
        <v>0.18</v>
      </c>
      <c r="L47" s="314">
        <f t="shared" ca="1" si="36"/>
        <v>0.65644866046722483</v>
      </c>
      <c r="M47" s="190">
        <f t="shared" ca="1" si="37"/>
        <v>0.15442292402359351</v>
      </c>
      <c r="N47" s="190">
        <f ca="1">($B$4^2+G47^2/12)*DCR/1000+($B$4^2+G47^2/12)^2*DCR/1000*(R47-25)*(Constants!$C$32/100)</f>
        <v>1.3948105314324425E-2</v>
      </c>
      <c r="O47" s="314">
        <f t="shared" si="29"/>
        <v>0.15228</v>
      </c>
      <c r="P47" s="314">
        <f>IF($I$4="None",V_cs^2/RFB_1,VLOOKUP($I$4,Design!$A$90:$F$93,5))</f>
        <v>0.20979020979020982</v>
      </c>
      <c r="Q47" s="386">
        <f t="shared" ca="1" si="30"/>
        <v>93.493260821297639</v>
      </c>
      <c r="R47" s="191">
        <f t="shared" ca="1" si="31"/>
        <v>114.54018972102511</v>
      </c>
      <c r="S47" s="191">
        <f ca="1">IF(RESET=1,Rdson,Rdson+Rdson*TCR_RdsON/100*(Efficiency!R47-25))</f>
        <v>235.95858213218412</v>
      </c>
      <c r="T47" s="387">
        <f t="shared" ca="1" si="32"/>
        <v>14.181909846170239</v>
      </c>
      <c r="U47" s="387">
        <f t="shared" ca="1" si="38"/>
        <v>6.3999999999999995</v>
      </c>
      <c r="V47" s="314">
        <f t="shared" ca="1" si="39"/>
        <v>1.1868898995953525</v>
      </c>
      <c r="W47" s="387">
        <f t="shared" ca="1" si="33"/>
        <v>4.4799999999999995</v>
      </c>
      <c r="X47" s="387">
        <f t="shared" ca="1" si="40"/>
        <v>5.6668898995953523</v>
      </c>
      <c r="Y47" s="381">
        <f t="shared" ca="1" si="34"/>
        <v>0.79055709205147906</v>
      </c>
      <c r="Z47" s="248" t="str">
        <f ca="1">IF(R47&gt;Constants!$C$31,"TSD",IF(OR(E47=Constants!$C$19,Efficiency!F47=Min_tOFF_typ),IF(E47=Constants!$C$19,"Pulse Skip","Dropout"),"Normal"))</f>
        <v>Normal</v>
      </c>
    </row>
    <row r="48" spans="1:26" ht="15.75" thickBot="1" x14ac:dyDescent="0.3">
      <c r="A48" s="368">
        <f>Design!$D$13</f>
        <v>85</v>
      </c>
      <c r="B48" s="418">
        <f>Vin_nom</f>
        <v>13.5</v>
      </c>
      <c r="C48" s="419">
        <f ca="1">IF(RESET=1,VF,VF+(Q48-25)*Design!$B$16/1000)</f>
        <v>0.3531294332559981</v>
      </c>
      <c r="D48" s="388">
        <f t="shared" ca="1" si="24"/>
        <v>0.49464343025857704</v>
      </c>
      <c r="E48" s="389">
        <f ca="1">IF(F48=Min_tOFF_typ,Tsw-Min_tOFF_typ,IF(Tsw*Efficiency!D48&gt;Constants!$C$19,Tsw*Efficiency!D48,Constants!$C$19))</f>
        <v>247.32171512928852</v>
      </c>
      <c r="F48" s="389">
        <f ca="1">IF(E48=Constants!$C$19,Tsw-Constants!$C$19,IF(Tsw*(1-Efficiency!D48)&gt;Min_tOFF_typ,Tsw*(1-Efficiency!D48),Min_tOFF_typ))</f>
        <v>252.67828487071148</v>
      </c>
      <c r="G48" s="420">
        <f t="shared" ca="1" si="25"/>
        <v>0.53961101482753859</v>
      </c>
      <c r="H48" s="421">
        <f t="shared" si="26"/>
        <v>6.7500000000000004E-2</v>
      </c>
      <c r="I48" s="315">
        <f t="shared" ref="I48" si="42">B48*$B$4*(B48/(Slew_rise*10^9)*fsw*10^6/2+B48/(Slew_fall*10^9)*fsw*10^6/2)</f>
        <v>0.19136249999999996</v>
      </c>
      <c r="J48" s="315">
        <f t="shared" ref="J48" ca="1" si="43">(D48*($B$4^2+G48^2/12))*S48*10^-3</f>
        <v>5.7771897579378222E-2</v>
      </c>
      <c r="K48" s="315">
        <f t="shared" si="28"/>
        <v>0.13500000000000001</v>
      </c>
      <c r="L48" s="315">
        <f t="shared" ref="L48" ca="1" si="44">SUM(H48:K48)</f>
        <v>0.45163439757937823</v>
      </c>
      <c r="M48" s="315">
        <f t="shared" ca="1" si="37"/>
        <v>0.12491939534548877</v>
      </c>
      <c r="N48" s="315">
        <f ca="1">($B$4^2+G48^2/12)*DCR/1000+($B$4^2+G48^2/12)^2*DCR/1000*(R48-25)*(Constants!$C$32/100)</f>
        <v>1.3365694062012627E-2</v>
      </c>
      <c r="O48" s="315">
        <f t="shared" ref="O48" si="45">0.5*C_SNUB*10^-12*B48^2*fsw*10^6</f>
        <v>8.5657500000000011E-2</v>
      </c>
      <c r="P48" s="315">
        <f>IF($I$4="None",V_cs^2/RFB_1,VLOOKUP($I$4,Design!$A$90:$F$93,5))</f>
        <v>0.20979020979020982</v>
      </c>
      <c r="Q48" s="390">
        <f t="shared" ref="Q48" ca="1" si="46">$A48+M48*RthJA</f>
        <v>91.870566744001877</v>
      </c>
      <c r="R48" s="390">
        <f t="shared" ca="1" si="31"/>
        <v>105.32354789107202</v>
      </c>
      <c r="S48" s="390">
        <f ca="1">IF(RESET=1,Rdson,Rdson+Rdson*TCR_RdsON/100*(Efficiency!R48-25))</f>
        <v>227.11060597542914</v>
      </c>
      <c r="T48" s="391">
        <f t="shared" ca="1" si="32"/>
        <v>10.586540174002559</v>
      </c>
      <c r="U48" s="391">
        <f t="shared" ca="1" si="38"/>
        <v>6.3999999999999995</v>
      </c>
      <c r="V48" s="315">
        <f t="shared" ref="V48" ca="1" si="47">SUM(L48:P48)</f>
        <v>0.88536719677708942</v>
      </c>
      <c r="W48" s="391">
        <f t="shared" ca="1" si="33"/>
        <v>4.4799999999999995</v>
      </c>
      <c r="X48" s="391">
        <f t="shared" ref="X48" ca="1" si="48">V48+W48</f>
        <v>5.3653671967770888</v>
      </c>
      <c r="Y48" s="391">
        <f t="shared" ca="1" si="34"/>
        <v>0.83498478961348277</v>
      </c>
      <c r="Z48" s="422" t="str">
        <f ca="1">IF(R48&gt;Constants!$C$31,"TSD",IF(OR(E48=Constants!$C$19,Efficiency!F48=Min_tOFF_typ),IF(E48=Constants!$C$19,"Pulse Skip","Dropout"),"Normal"))</f>
        <v>Normal</v>
      </c>
    </row>
    <row r="49" spans="1:26" x14ac:dyDescent="0.25">
      <c r="D49" s="176"/>
      <c r="H49" s="158"/>
      <c r="I49" s="158"/>
      <c r="J49" s="158"/>
      <c r="K49" s="158"/>
      <c r="L49" s="158"/>
      <c r="M49" s="176"/>
      <c r="N49" s="176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76"/>
    </row>
    <row r="50" spans="1:26" x14ac:dyDescent="0.25">
      <c r="A50" s="356">
        <f>B6</f>
        <v>10</v>
      </c>
      <c r="B50" s="356">
        <v>170</v>
      </c>
    </row>
    <row r="51" spans="1:26" x14ac:dyDescent="0.25">
      <c r="A51" s="356">
        <f>B25</f>
        <v>18</v>
      </c>
      <c r="B51" s="356">
        <v>170</v>
      </c>
    </row>
    <row r="52" spans="1:26" x14ac:dyDescent="0.25">
      <c r="G52" s="176"/>
    </row>
    <row r="74" spans="8:25" x14ac:dyDescent="0.25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</row>
    <row r="75" spans="8:25" x14ac:dyDescent="0.25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</row>
    <row r="76" spans="8:25" x14ac:dyDescent="0.25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</row>
    <row r="77" spans="8:25" x14ac:dyDescent="0.25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</row>
    <row r="78" spans="8:25" x14ac:dyDescent="0.25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</row>
    <row r="79" spans="8:25" x14ac:dyDescent="0.25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</row>
    <row r="80" spans="8:25" x14ac:dyDescent="0.25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</row>
    <row r="81" spans="8:25" x14ac:dyDescent="0.25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</row>
    <row r="82" spans="8:25" x14ac:dyDescent="0.25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</row>
    <row r="83" spans="8:25" x14ac:dyDescent="0.25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</row>
    <row r="84" spans="8:25" x14ac:dyDescent="0.25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</row>
    <row r="85" spans="8:25" x14ac:dyDescent="0.25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</row>
    <row r="86" spans="8:25" x14ac:dyDescent="0.25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</row>
    <row r="87" spans="8:25" x14ac:dyDescent="0.25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</row>
    <row r="88" spans="8:25" x14ac:dyDescent="0.25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</row>
    <row r="89" spans="8:25" x14ac:dyDescent="0.25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</row>
    <row r="90" spans="8:25" x14ac:dyDescent="0.25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</row>
    <row r="91" spans="8:25" x14ac:dyDescent="0.25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</row>
    <row r="92" spans="8:25" x14ac:dyDescent="0.25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</row>
    <row r="93" spans="8:25" x14ac:dyDescent="0.25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</row>
    <row r="94" spans="8:25" x14ac:dyDescent="0.25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</row>
    <row r="95" spans="8:25" x14ac:dyDescent="0.25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</row>
    <row r="96" spans="8:25" x14ac:dyDescent="0.25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</row>
    <row r="97" spans="8:25" x14ac:dyDescent="0.25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</row>
    <row r="98" spans="8:25" x14ac:dyDescent="0.25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</row>
    <row r="99" spans="8:25" x14ac:dyDescent="0.25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</row>
    <row r="100" spans="8:25" x14ac:dyDescent="0.25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</row>
    <row r="101" spans="8:25" x14ac:dyDescent="0.25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</row>
    <row r="102" spans="8:25" x14ac:dyDescent="0.25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</row>
    <row r="103" spans="8:25" x14ac:dyDescent="0.25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</row>
    <row r="104" spans="8:25" x14ac:dyDescent="0.25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</row>
    <row r="105" spans="8:25" x14ac:dyDescent="0.25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</row>
    <row r="106" spans="8:25" x14ac:dyDescent="0.25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</row>
    <row r="107" spans="8:25" x14ac:dyDescent="0.25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</row>
    <row r="108" spans="8:25" x14ac:dyDescent="0.25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</row>
    <row r="109" spans="8:25" x14ac:dyDescent="0.25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</row>
    <row r="110" spans="8:25" x14ac:dyDescent="0.25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</row>
    <row r="111" spans="8:25" x14ac:dyDescent="0.25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</row>
    <row r="112" spans="8:25" x14ac:dyDescent="0.25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</row>
    <row r="113" spans="8:25" x14ac:dyDescent="0.25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</row>
    <row r="114" spans="8:25" x14ac:dyDescent="0.25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</row>
    <row r="115" spans="8:25" x14ac:dyDescent="0.25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</row>
    <row r="116" spans="8:25" x14ac:dyDescent="0.25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</row>
    <row r="117" spans="8:25" x14ac:dyDescent="0.25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</row>
    <row r="118" spans="8:25" x14ac:dyDescent="0.25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</row>
    <row r="119" spans="8:25" x14ac:dyDescent="0.25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</row>
    <row r="120" spans="8:25" x14ac:dyDescent="0.25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</row>
    <row r="121" spans="8:25" x14ac:dyDescent="0.25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</row>
    <row r="122" spans="8:25" x14ac:dyDescent="0.25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</row>
    <row r="123" spans="8:25" x14ac:dyDescent="0.25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</row>
    <row r="124" spans="8:25" x14ac:dyDescent="0.25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</row>
    <row r="125" spans="8:25" x14ac:dyDescent="0.25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</row>
    <row r="126" spans="8:25" x14ac:dyDescent="0.25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</row>
    <row r="127" spans="8:25" x14ac:dyDescent="0.25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</row>
    <row r="128" spans="8:25" x14ac:dyDescent="0.25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</row>
    <row r="129" spans="8:25" x14ac:dyDescent="0.25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</row>
    <row r="130" spans="8:25" x14ac:dyDescent="0.25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</row>
    <row r="131" spans="8:25" x14ac:dyDescent="0.25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</row>
    <row r="132" spans="8:25" x14ac:dyDescent="0.25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</row>
    <row r="133" spans="8:25" x14ac:dyDescent="0.25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</row>
    <row r="134" spans="8:25" x14ac:dyDescent="0.25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</row>
    <row r="135" spans="8:25" x14ac:dyDescent="0.25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</row>
    <row r="136" spans="8:25" x14ac:dyDescent="0.25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</row>
    <row r="137" spans="8:25" x14ac:dyDescent="0.25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</row>
    <row r="138" spans="8:25" x14ac:dyDescent="0.25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</row>
    <row r="139" spans="8:25" x14ac:dyDescent="0.25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</row>
    <row r="140" spans="8:25" x14ac:dyDescent="0.25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</row>
    <row r="141" spans="8:25" x14ac:dyDescent="0.25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</row>
    <row r="142" spans="8:25" x14ac:dyDescent="0.25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</row>
    <row r="143" spans="8:25" x14ac:dyDescent="0.25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</row>
    <row r="144" spans="8:25" x14ac:dyDescent="0.25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</row>
    <row r="145" spans="8:25" x14ac:dyDescent="0.25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</row>
    <row r="146" spans="8:25" x14ac:dyDescent="0.25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</row>
    <row r="147" spans="8:25" x14ac:dyDescent="0.25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</row>
    <row r="148" spans="8:25" x14ac:dyDescent="0.25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</row>
    <row r="149" spans="8:25" x14ac:dyDescent="0.25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</row>
    <row r="150" spans="8:25" x14ac:dyDescent="0.25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</row>
    <row r="151" spans="8:25" x14ac:dyDescent="0.25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</row>
    <row r="152" spans="8:25" x14ac:dyDescent="0.25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</row>
    <row r="153" spans="8:25" x14ac:dyDescent="0.25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</row>
    <row r="154" spans="8:25" x14ac:dyDescent="0.25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</row>
    <row r="155" spans="8:25" x14ac:dyDescent="0.25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</row>
    <row r="156" spans="8:25" x14ac:dyDescent="0.25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</row>
    <row r="157" spans="8:25" x14ac:dyDescent="0.25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</row>
    <row r="158" spans="8:25" x14ac:dyDescent="0.25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</row>
    <row r="159" spans="8:25" x14ac:dyDescent="0.25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</row>
    <row r="160" spans="8:25" x14ac:dyDescent="0.25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</row>
    <row r="161" spans="8:25" x14ac:dyDescent="0.25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</row>
    <row r="162" spans="8:25" x14ac:dyDescent="0.25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</row>
    <row r="163" spans="8:25" x14ac:dyDescent="0.25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</row>
    <row r="164" spans="8:25" x14ac:dyDescent="0.25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</row>
    <row r="165" spans="8:25" x14ac:dyDescent="0.25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</row>
    <row r="166" spans="8:25" x14ac:dyDescent="0.25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</row>
  </sheetData>
  <sheetProtection algorithmName="SHA-512" hashValue="BklDE26cLxIJL7X1CQTqNTRJwa0/cpfy9gk7WUWCwlrLMAuE20u7uAH54gVNrp8v3IiZgi20a3FnelfjyFrIGA==" saltValue="HFTuQFpkF/MuBeBhDfN8cA==" spinCount="100000" sheet="1" selectLockedCells="1"/>
  <mergeCells count="4">
    <mergeCell ref="B4:C4"/>
    <mergeCell ref="D4:G4"/>
    <mergeCell ref="A1:Z2"/>
    <mergeCell ref="A3:L3"/>
  </mergeCells>
  <conditionalFormatting sqref="I28:I48">
    <cfRule type="expression" dxfId="22" priority="9">
      <formula>ISERROR($AA28)</formula>
    </cfRule>
    <cfRule type="expression" dxfId="21" priority="10">
      <formula>OR($AA28="TSD",ISERROR($AA28))</formula>
    </cfRule>
  </conditionalFormatting>
  <conditionalFormatting sqref="K28:K48">
    <cfRule type="expression" dxfId="20" priority="7">
      <formula>ISERROR($AA28)</formula>
    </cfRule>
    <cfRule type="expression" dxfId="19" priority="8">
      <formula>OR($AA28="TSD",ISERROR($AA28))</formula>
    </cfRule>
  </conditionalFormatting>
  <conditionalFormatting sqref="F28:F48 H28:H48 O28:T48 J28:J48 L28:L48 V28:Z48">
    <cfRule type="expression" dxfId="18" priority="21">
      <formula>ISERROR($AA28)</formula>
    </cfRule>
    <cfRule type="expression" dxfId="17" priority="22">
      <formula>OR($AA28="TSD",ISERROR($AA28))</formula>
    </cfRule>
  </conditionalFormatting>
  <conditionalFormatting sqref="C6:Z26">
    <cfRule type="expression" dxfId="16" priority="24">
      <formula>ISERROR($AA6)</formula>
    </cfRule>
    <cfRule type="expression" dxfId="15" priority="25">
      <formula>OR($AA6="TSD",ISERROR($AA6))</formula>
    </cfRule>
  </conditionalFormatting>
  <conditionalFormatting sqref="G28:G48">
    <cfRule type="expression" dxfId="14" priority="19">
      <formula>ISERROR($AA28)</formula>
    </cfRule>
    <cfRule type="expression" dxfId="13" priority="20">
      <formula>OR($AA28="TSD",ISERROR($AA28))</formula>
    </cfRule>
  </conditionalFormatting>
  <conditionalFormatting sqref="C28:C48">
    <cfRule type="expression" dxfId="12" priority="17">
      <formula>ISERROR($AA28)</formula>
    </cfRule>
    <cfRule type="expression" dxfId="11" priority="18">
      <formula>OR($AA28="TSD",ISERROR($AA28))</formula>
    </cfRule>
  </conditionalFormatting>
  <conditionalFormatting sqref="E28:E48">
    <cfRule type="expression" dxfId="10" priority="15">
      <formula>ISERROR($AA28)</formula>
    </cfRule>
    <cfRule type="expression" dxfId="9" priority="16">
      <formula>OR($AA28="TSD",ISERROR($AA28))</formula>
    </cfRule>
  </conditionalFormatting>
  <conditionalFormatting sqref="M28:M48">
    <cfRule type="expression" dxfId="8" priority="13">
      <formula>ISERROR($AA28)</formula>
    </cfRule>
    <cfRule type="expression" dxfId="7" priority="14">
      <formula>OR($AA28="TSD",ISERROR($AA28))</formula>
    </cfRule>
  </conditionalFormatting>
  <conditionalFormatting sqref="N28:N48">
    <cfRule type="expression" dxfId="6" priority="11">
      <formula>ISERROR($AA28)</formula>
    </cfRule>
    <cfRule type="expression" dxfId="5" priority="12">
      <formula>OR($AA28="TSD",ISERROR($AA28))</formula>
    </cfRule>
  </conditionalFormatting>
  <conditionalFormatting sqref="U28:U48">
    <cfRule type="expression" dxfId="4" priority="3">
      <formula>ISERROR($AA28)</formula>
    </cfRule>
    <cfRule type="expression" dxfId="3" priority="4">
      <formula>OR($AA28="TSD",ISERROR($AA28))</formula>
    </cfRule>
  </conditionalFormatting>
  <conditionalFormatting sqref="D28:D48">
    <cfRule type="expression" dxfId="2" priority="1">
      <formula>ISERROR($AA28)</formula>
    </cfRule>
    <cfRule type="expression" dxfId="1" priority="2">
      <formula>OR($AA28="TSD",ISERROR($AA28))</formula>
    </cfRule>
  </conditionalFormatting>
  <dataValidations count="1">
    <dataValidation type="list" allowBlank="1" showInputMessage="1" showErrorMessage="1" sqref="N3" xr:uid="{70D5A2EF-703B-4818-AE16-427027924AED}">
      <formula1>$AA$2:$AA$3</formula1>
    </dataValidation>
  </dataValidations>
  <pageMargins left="0.7" right="0.7" top="0.75" bottom="0.75" header="0.3" footer="0.3"/>
  <pageSetup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3074" r:id="rId4" name="CommandButton1">
          <controlPr defaultSize="0" autoLine="0" r:id="rId5">
            <anchor moveWithCells="1">
              <from>
                <xdr:col>2</xdr:col>
                <xdr:colOff>381000</xdr:colOff>
                <xdr:row>50</xdr:row>
                <xdr:rowOff>19050</xdr:rowOff>
              </from>
              <to>
                <xdr:col>5</xdr:col>
                <xdr:colOff>466725</xdr:colOff>
                <xdr:row>53</xdr:row>
                <xdr:rowOff>47625</xdr:rowOff>
              </to>
            </anchor>
          </controlPr>
        </control>
      </mc:Choice>
      <mc:Fallback>
        <control shapeId="3074" r:id="rId4" name="CommandButton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750E59CD-8332-4506-B4F9-8B60ABCAAED3}">
            <xm:f>R28&gt;Constants!$C$31</xm:f>
            <x14:dxf>
              <fill>
                <patternFill>
                  <bgColor rgb="FFFF6600"/>
                </patternFill>
              </fill>
            </x14:dxf>
          </x14:cfRule>
          <xm:sqref>R28:R48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60EE62-E2E2-47C8-80CB-68014E7CEC63}">
          <x14:formula1>
            <xm:f>Design!$A$89:$A$93</xm:f>
          </x14:formula1>
          <xm:sqref>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3"/>
  <sheetViews>
    <sheetView workbookViewId="0">
      <selection activeCell="C4" sqref="C4"/>
    </sheetView>
  </sheetViews>
  <sheetFormatPr defaultColWidth="9.140625" defaultRowHeight="15" x14ac:dyDescent="0.25"/>
  <cols>
    <col min="1" max="1" width="20.7109375" style="56" customWidth="1"/>
    <col min="2" max="4" width="12.7109375" style="56" customWidth="1"/>
    <col min="5" max="6" width="15.7109375" style="56" customWidth="1"/>
    <col min="7" max="16384" width="9.140625" style="56"/>
  </cols>
  <sheetData>
    <row r="1" spans="1:11" ht="21.75" thickBot="1" x14ac:dyDescent="0.3">
      <c r="A1" s="501" t="s">
        <v>232</v>
      </c>
      <c r="B1" s="502"/>
      <c r="C1" s="502"/>
      <c r="D1" s="502"/>
      <c r="E1" s="502"/>
      <c r="F1" s="502"/>
      <c r="G1" s="502"/>
      <c r="H1" s="502"/>
      <c r="I1" s="503"/>
    </row>
    <row r="2" spans="1:11" ht="24" customHeight="1" thickBot="1" x14ac:dyDescent="0.3">
      <c r="A2" s="504" t="s">
        <v>85</v>
      </c>
      <c r="B2" s="505"/>
      <c r="C2" s="505"/>
      <c r="D2" s="505"/>
      <c r="E2" s="505"/>
      <c r="F2" s="505"/>
      <c r="G2" s="505"/>
      <c r="H2" s="505"/>
      <c r="I2" s="506"/>
    </row>
    <row r="3" spans="1:11" ht="19.5" thickBot="1" x14ac:dyDescent="0.35">
      <c r="A3" s="344" t="s">
        <v>67</v>
      </c>
      <c r="B3" s="345" t="s">
        <v>25</v>
      </c>
      <c r="C3" s="12" t="s">
        <v>26</v>
      </c>
      <c r="D3" s="345" t="s">
        <v>27</v>
      </c>
      <c r="E3" s="345" t="s">
        <v>28</v>
      </c>
      <c r="F3" s="507" t="s">
        <v>30</v>
      </c>
      <c r="G3" s="508"/>
      <c r="H3" s="508"/>
      <c r="I3" s="509"/>
    </row>
    <row r="4" spans="1:11" ht="18.75" thickBot="1" x14ac:dyDescent="0.4">
      <c r="A4" s="13" t="s">
        <v>112</v>
      </c>
      <c r="B4" s="10" t="s">
        <v>19</v>
      </c>
      <c r="C4" s="8">
        <v>135</v>
      </c>
      <c r="D4" s="41" t="s">
        <v>19</v>
      </c>
      <c r="E4" s="29" t="s">
        <v>14</v>
      </c>
      <c r="F4" s="510" t="s">
        <v>330</v>
      </c>
      <c r="G4" s="511"/>
      <c r="H4" s="511"/>
      <c r="I4" s="512"/>
    </row>
    <row r="5" spans="1:11" ht="18.75" thickBot="1" x14ac:dyDescent="0.4">
      <c r="A5" s="13" t="s">
        <v>115</v>
      </c>
      <c r="B5" s="2" t="s">
        <v>19</v>
      </c>
      <c r="C5" s="68">
        <f>1000000000/(C4*1000000)</f>
        <v>7.4074074074074074</v>
      </c>
      <c r="D5" s="2" t="s">
        <v>19</v>
      </c>
      <c r="E5" s="29" t="s">
        <v>4</v>
      </c>
      <c r="F5" s="265" t="s">
        <v>114</v>
      </c>
      <c r="G5" s="266"/>
      <c r="H5" s="266"/>
      <c r="I5" s="267"/>
    </row>
    <row r="6" spans="1:11" ht="18.75" thickBot="1" x14ac:dyDescent="0.3">
      <c r="A6" s="31" t="s">
        <v>109</v>
      </c>
      <c r="B6" s="15" t="s">
        <v>19</v>
      </c>
      <c r="C6" s="16">
        <v>120</v>
      </c>
      <c r="D6" s="36" t="s">
        <v>19</v>
      </c>
      <c r="E6" s="17" t="s">
        <v>16</v>
      </c>
      <c r="F6" s="513" t="s">
        <v>110</v>
      </c>
      <c r="G6" s="464"/>
      <c r="H6" s="464"/>
      <c r="I6" s="465"/>
    </row>
    <row r="7" spans="1:11" ht="15.75" thickBot="1" x14ac:dyDescent="0.3">
      <c r="A7" s="13" t="s">
        <v>122</v>
      </c>
      <c r="B7" s="10" t="s">
        <v>19</v>
      </c>
      <c r="C7" s="8">
        <v>50</v>
      </c>
      <c r="D7" s="41" t="s">
        <v>19</v>
      </c>
      <c r="E7" s="1" t="s">
        <v>16</v>
      </c>
      <c r="F7" s="514" t="s">
        <v>123</v>
      </c>
      <c r="G7" s="515"/>
      <c r="H7" s="515"/>
      <c r="I7" s="516"/>
    </row>
    <row r="8" spans="1:11" ht="18.75" thickBot="1" x14ac:dyDescent="0.3">
      <c r="A8" s="32" t="s">
        <v>120</v>
      </c>
      <c r="B8" s="33" t="s">
        <v>19</v>
      </c>
      <c r="C8" s="45">
        <v>2.5</v>
      </c>
      <c r="D8" s="37" t="s">
        <v>19</v>
      </c>
      <c r="E8" s="30" t="s">
        <v>332</v>
      </c>
      <c r="F8" s="492" t="s">
        <v>119</v>
      </c>
      <c r="G8" s="493"/>
      <c r="H8" s="493"/>
      <c r="I8" s="494"/>
    </row>
    <row r="9" spans="1:11" ht="32.1" customHeight="1" thickBot="1" x14ac:dyDescent="0.3">
      <c r="A9" s="495" t="s">
        <v>99</v>
      </c>
      <c r="B9" s="496"/>
      <c r="C9" s="496"/>
      <c r="D9" s="496"/>
      <c r="E9" s="496"/>
      <c r="F9" s="496"/>
      <c r="G9" s="496"/>
      <c r="H9" s="496"/>
      <c r="I9" s="497"/>
    </row>
    <row r="10" spans="1:11" ht="18" customHeight="1" x14ac:dyDescent="0.25">
      <c r="A10" s="346" t="s">
        <v>24</v>
      </c>
      <c r="B10" s="347" t="s">
        <v>23</v>
      </c>
      <c r="C10" s="347" t="s">
        <v>28</v>
      </c>
      <c r="D10" s="498" t="s">
        <v>30</v>
      </c>
      <c r="E10" s="499"/>
      <c r="F10" s="499"/>
      <c r="G10" s="499"/>
      <c r="H10" s="499"/>
      <c r="I10" s="500"/>
    </row>
    <row r="11" spans="1:11" ht="15.75" customHeight="1" x14ac:dyDescent="0.25">
      <c r="A11" s="466" t="s">
        <v>108</v>
      </c>
      <c r="B11" s="467"/>
      <c r="C11" s="467"/>
      <c r="D11" s="467"/>
      <c r="E11" s="467"/>
      <c r="F11" s="467"/>
      <c r="G11" s="467"/>
      <c r="H11" s="467"/>
      <c r="I11" s="468"/>
    </row>
    <row r="12" spans="1:11" ht="18" x14ac:dyDescent="0.35">
      <c r="A12" s="169" t="s">
        <v>111</v>
      </c>
      <c r="B12" s="4">
        <f>1000000000*(C5/1000000000)^2/(4*3.14^2*(C6/1000000000000+C7/1000000000000))</f>
        <v>8.1839742483459119</v>
      </c>
      <c r="C12" s="285" t="s">
        <v>22</v>
      </c>
      <c r="D12" s="262" t="s">
        <v>331</v>
      </c>
      <c r="E12" s="285"/>
      <c r="F12" s="270"/>
      <c r="G12" s="270"/>
      <c r="H12" s="270"/>
      <c r="I12" s="271"/>
    </row>
    <row r="13" spans="1:11" ht="18.75" thickBot="1" x14ac:dyDescent="0.4">
      <c r="A13" s="169" t="s">
        <v>145</v>
      </c>
      <c r="B13" s="48">
        <f>SQRT(B12*0.000000001/(C6*0.000000000001+C7*0.000000000001))</f>
        <v>6.9383733677476647</v>
      </c>
      <c r="C13" s="38" t="s">
        <v>44</v>
      </c>
      <c r="D13" s="262" t="s">
        <v>117</v>
      </c>
      <c r="E13" s="23"/>
      <c r="F13" s="24"/>
      <c r="G13" s="24"/>
      <c r="H13" s="24"/>
      <c r="I13" s="348"/>
    </row>
    <row r="14" spans="1:11" ht="18.75" thickBot="1" x14ac:dyDescent="0.4">
      <c r="A14" s="228" t="s">
        <v>148</v>
      </c>
      <c r="B14" s="40">
        <v>6.81</v>
      </c>
      <c r="C14" s="22" t="s">
        <v>44</v>
      </c>
      <c r="D14" s="262" t="s">
        <v>147</v>
      </c>
      <c r="E14" s="23"/>
      <c r="F14" s="24"/>
      <c r="G14" s="24"/>
      <c r="H14" s="24"/>
      <c r="I14" s="348"/>
    </row>
    <row r="15" spans="1:11" ht="18.75" thickBot="1" x14ac:dyDescent="0.4">
      <c r="A15" s="169" t="s">
        <v>146</v>
      </c>
      <c r="B15" s="39">
        <f>1000000000000/C8*(C5/1000000000)/B14</f>
        <v>435.09000924566271</v>
      </c>
      <c r="C15" s="51" t="s">
        <v>16</v>
      </c>
      <c r="D15" s="262" t="s">
        <v>118</v>
      </c>
      <c r="E15" s="285"/>
      <c r="F15" s="270"/>
      <c r="G15" s="270"/>
      <c r="H15" s="270"/>
      <c r="I15" s="271"/>
    </row>
    <row r="16" spans="1:11" ht="18.75" thickBot="1" x14ac:dyDescent="0.4">
      <c r="A16" s="228" t="s">
        <v>149</v>
      </c>
      <c r="B16" s="46">
        <v>470</v>
      </c>
      <c r="C16" s="21" t="s">
        <v>16</v>
      </c>
      <c r="D16" s="262" t="s">
        <v>161</v>
      </c>
      <c r="E16" s="285"/>
      <c r="F16" s="270"/>
      <c r="G16" s="270"/>
      <c r="H16" s="270"/>
      <c r="I16" s="271"/>
      <c r="K16" s="331" t="s">
        <v>160</v>
      </c>
    </row>
    <row r="17" spans="1:9" ht="18.75" thickBot="1" x14ac:dyDescent="0.4">
      <c r="A17" s="349" t="s">
        <v>113</v>
      </c>
      <c r="B17" s="350">
        <f>1000*0.5*B16/1000000000000*Design!D4^2*IF(ISBLANK(Design!B30),Design!B29,Design!B30)*1000000</f>
        <v>152.28</v>
      </c>
      <c r="C17" s="351" t="s">
        <v>116</v>
      </c>
      <c r="D17" s="264" t="s">
        <v>121</v>
      </c>
      <c r="E17" s="352"/>
      <c r="F17" s="352"/>
      <c r="G17" s="352"/>
      <c r="H17" s="352"/>
      <c r="I17" s="107"/>
    </row>
    <row r="33" spans="3:3" x14ac:dyDescent="0.25">
      <c r="C33" s="331" t="s">
        <v>164</v>
      </c>
    </row>
  </sheetData>
  <sheetProtection algorithmName="SHA-512" hashValue="jdZRqYQjU5nJjlrnw0mVzqkzJz4Gn0DAlyezPhsYBHdvBT40x9Z8YWkUwXuEPDtLTDUHp4quG6wCJJCtO8EcJQ==" saltValue="jF3jyu6+xLxvvQHM3/EfJA==" spinCount="100000" sheet="1" selectLockedCells="1"/>
  <mergeCells count="10">
    <mergeCell ref="F8:I8"/>
    <mergeCell ref="A9:I9"/>
    <mergeCell ref="D10:I10"/>
    <mergeCell ref="A11:I11"/>
    <mergeCell ref="A1:I1"/>
    <mergeCell ref="A2:I2"/>
    <mergeCell ref="F3:I3"/>
    <mergeCell ref="F4:I4"/>
    <mergeCell ref="F6:I6"/>
    <mergeCell ref="F7:I7"/>
  </mergeCells>
  <printOptions horizontalCentered="1"/>
  <pageMargins left="0.7" right="0.7" top="0.75" bottom="0.75" header="0.3" footer="0.3"/>
  <pageSetup scale="76" fitToHeight="2" orientation="portrait" horizontalDpi="4294967293" verticalDpi="0" r:id="rId1"/>
  <ignoredErrors>
    <ignoredError sqref="C5 B1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X260"/>
  <sheetViews>
    <sheetView zoomScaleNormal="100" workbookViewId="0">
      <selection sqref="A1:I1"/>
    </sheetView>
  </sheetViews>
  <sheetFormatPr defaultColWidth="9.140625" defaultRowHeight="15" x14ac:dyDescent="0.25"/>
  <cols>
    <col min="1" max="1" width="28.140625" style="59" customWidth="1"/>
    <col min="2" max="5" width="9.140625" style="59"/>
    <col min="6" max="6" width="18.7109375" style="56" customWidth="1"/>
    <col min="7" max="17" width="9.140625" style="56"/>
    <col min="18" max="24" width="9.140625" style="87"/>
    <col min="25" max="28" width="9.140625" style="56"/>
    <col min="29" max="29" width="12" style="56" bestFit="1" customWidth="1"/>
    <col min="30" max="30" width="10" style="56" bestFit="1" customWidth="1"/>
    <col min="31" max="16384" width="9.140625" style="56"/>
  </cols>
  <sheetData>
    <row r="1" spans="1:24" ht="24" customHeight="1" thickBot="1" x14ac:dyDescent="0.3">
      <c r="A1" s="526" t="s">
        <v>90</v>
      </c>
      <c r="B1" s="526"/>
      <c r="C1" s="526"/>
      <c r="D1" s="526"/>
      <c r="E1" s="526"/>
      <c r="F1" s="526"/>
      <c r="G1" s="526"/>
      <c r="H1" s="526"/>
      <c r="I1" s="526"/>
      <c r="J1" s="297"/>
      <c r="K1" s="297"/>
      <c r="L1" s="297"/>
      <c r="M1" s="297"/>
      <c r="N1" s="297"/>
      <c r="O1" s="297"/>
      <c r="P1" s="297"/>
      <c r="Q1" s="297"/>
      <c r="R1" s="528" t="s">
        <v>177</v>
      </c>
      <c r="S1" s="528"/>
      <c r="T1" s="528"/>
      <c r="U1" s="528"/>
      <c r="V1" s="178"/>
      <c r="W1" s="517" t="s">
        <v>180</v>
      </c>
      <c r="X1" s="517"/>
    </row>
    <row r="2" spans="1:24" s="330" customFormat="1" ht="18" customHeight="1" thickBot="1" x14ac:dyDescent="0.35">
      <c r="A2" s="336" t="s">
        <v>1</v>
      </c>
      <c r="B2" s="337" t="s">
        <v>25</v>
      </c>
      <c r="C2" s="337" t="s">
        <v>26</v>
      </c>
      <c r="D2" s="337" t="s">
        <v>27</v>
      </c>
      <c r="E2" s="337" t="s">
        <v>28</v>
      </c>
      <c r="F2" s="524" t="s">
        <v>30</v>
      </c>
      <c r="G2" s="524"/>
      <c r="H2" s="524"/>
      <c r="I2" s="525"/>
      <c r="J2" s="298"/>
      <c r="K2" s="298"/>
      <c r="L2" s="298"/>
      <c r="M2" s="298"/>
      <c r="N2" s="298"/>
      <c r="O2" s="298"/>
      <c r="P2" s="298"/>
      <c r="Q2" s="298"/>
      <c r="R2" s="518" t="s">
        <v>178</v>
      </c>
      <c r="S2" s="519"/>
      <c r="T2" s="520" t="s">
        <v>179</v>
      </c>
      <c r="U2" s="521"/>
      <c r="V2" s="178"/>
      <c r="W2" s="263">
        <v>1</v>
      </c>
      <c r="X2" s="263">
        <v>1.2</v>
      </c>
    </row>
    <row r="3" spans="1:24" ht="15.75" thickBot="1" x14ac:dyDescent="0.3">
      <c r="A3" s="69" t="s">
        <v>227</v>
      </c>
      <c r="B3" s="70">
        <v>3.8</v>
      </c>
      <c r="C3" s="70"/>
      <c r="D3" s="70">
        <v>50</v>
      </c>
      <c r="E3" s="71" t="s">
        <v>2</v>
      </c>
      <c r="F3" s="72" t="s">
        <v>278</v>
      </c>
      <c r="G3" s="73"/>
      <c r="H3" s="73"/>
      <c r="I3" s="74"/>
      <c r="J3" s="60"/>
      <c r="K3" s="60"/>
      <c r="L3" s="60"/>
      <c r="M3" s="60"/>
      <c r="N3" s="60"/>
      <c r="O3" s="60"/>
      <c r="P3" s="60"/>
      <c r="Q3" s="60"/>
      <c r="R3" s="300">
        <v>100</v>
      </c>
      <c r="S3" s="301">
        <v>150</v>
      </c>
      <c r="T3" s="300">
        <v>100</v>
      </c>
      <c r="U3" s="302">
        <v>102</v>
      </c>
      <c r="V3" s="178"/>
      <c r="W3" s="263">
        <v>1.2</v>
      </c>
      <c r="X3" s="263">
        <v>1.5</v>
      </c>
    </row>
    <row r="4" spans="1:24" ht="15.75" thickBot="1" x14ac:dyDescent="0.3">
      <c r="A4" s="69" t="s">
        <v>201</v>
      </c>
      <c r="B4" s="70">
        <v>0.192</v>
      </c>
      <c r="C4" s="70">
        <v>0.2</v>
      </c>
      <c r="D4" s="70">
        <v>0.20799999999999999</v>
      </c>
      <c r="E4" s="71" t="s">
        <v>2</v>
      </c>
      <c r="F4" s="72" t="s">
        <v>278</v>
      </c>
      <c r="G4" s="73"/>
      <c r="H4" s="73"/>
      <c r="I4" s="74"/>
      <c r="J4" s="60"/>
      <c r="K4" s="60"/>
      <c r="L4" s="60"/>
      <c r="M4" s="60"/>
      <c r="N4" s="60"/>
      <c r="O4" s="60"/>
      <c r="P4" s="60"/>
      <c r="Q4" s="60"/>
      <c r="R4" s="301">
        <v>150</v>
      </c>
      <c r="S4" s="300">
        <v>220</v>
      </c>
      <c r="T4" s="302">
        <v>102</v>
      </c>
      <c r="U4" s="300">
        <v>105</v>
      </c>
      <c r="V4" s="178"/>
      <c r="W4" s="263">
        <v>1.5</v>
      </c>
      <c r="X4" s="263">
        <v>1.8</v>
      </c>
    </row>
    <row r="5" spans="1:24" ht="15.75" thickBot="1" x14ac:dyDescent="0.3">
      <c r="A5" s="69" t="s">
        <v>202</v>
      </c>
      <c r="B5" s="75">
        <f>100*(B4-C4)/C4</f>
        <v>-4.0000000000000036</v>
      </c>
      <c r="C5" s="76" t="s">
        <v>19</v>
      </c>
      <c r="D5" s="75">
        <f>100*(D4-C4)/C4</f>
        <v>3.9999999999999893</v>
      </c>
      <c r="E5" s="77" t="s">
        <v>21</v>
      </c>
      <c r="F5" s="72" t="s">
        <v>36</v>
      </c>
      <c r="G5" s="73"/>
      <c r="H5" s="73"/>
      <c r="I5" s="74"/>
      <c r="J5" s="60"/>
      <c r="K5" s="60"/>
      <c r="L5" s="60"/>
      <c r="M5" s="60"/>
      <c r="N5" s="60"/>
      <c r="O5" s="60"/>
      <c r="P5" s="60"/>
      <c r="Q5" s="60"/>
      <c r="R5" s="300">
        <v>220</v>
      </c>
      <c r="S5" s="301">
        <v>330</v>
      </c>
      <c r="T5" s="300">
        <v>105</v>
      </c>
      <c r="U5" s="302">
        <v>107</v>
      </c>
      <c r="V5" s="178"/>
      <c r="W5" s="263">
        <v>1.8</v>
      </c>
      <c r="X5" s="263">
        <v>2.2000000000000002</v>
      </c>
    </row>
    <row r="6" spans="1:24" ht="15.75" thickBot="1" x14ac:dyDescent="0.3">
      <c r="A6" s="69" t="s">
        <v>105</v>
      </c>
      <c r="B6" s="76" t="s">
        <v>19</v>
      </c>
      <c r="C6" s="76">
        <v>3</v>
      </c>
      <c r="D6" s="78">
        <v>3.3</v>
      </c>
      <c r="E6" s="77" t="s">
        <v>2</v>
      </c>
      <c r="F6" s="72" t="s">
        <v>278</v>
      </c>
      <c r="G6" s="73"/>
      <c r="H6" s="73"/>
      <c r="I6" s="74"/>
      <c r="J6" s="60"/>
      <c r="K6" s="60"/>
      <c r="L6" s="60"/>
      <c r="M6" s="60"/>
      <c r="N6" s="60"/>
      <c r="O6" s="60"/>
      <c r="P6" s="60"/>
      <c r="Q6" s="60"/>
      <c r="R6" s="301">
        <v>330</v>
      </c>
      <c r="S6" s="300">
        <v>470</v>
      </c>
      <c r="T6" s="302">
        <v>107</v>
      </c>
      <c r="U6" s="300">
        <v>110</v>
      </c>
      <c r="V6" s="178"/>
      <c r="W6" s="263">
        <v>3.3</v>
      </c>
      <c r="X6" s="263">
        <v>3.9</v>
      </c>
    </row>
    <row r="7" spans="1:24" ht="15.75" thickBot="1" x14ac:dyDescent="0.3">
      <c r="A7" s="69" t="s">
        <v>29</v>
      </c>
      <c r="B7" s="79">
        <v>300</v>
      </c>
      <c r="C7" s="76" t="s">
        <v>19</v>
      </c>
      <c r="D7" s="76" t="s">
        <v>19</v>
      </c>
      <c r="E7" s="77" t="s">
        <v>17</v>
      </c>
      <c r="F7" s="72" t="s">
        <v>279</v>
      </c>
      <c r="G7" s="73"/>
      <c r="H7" s="73"/>
      <c r="I7" s="74"/>
      <c r="J7" s="60"/>
      <c r="K7" s="60"/>
      <c r="L7" s="60"/>
      <c r="M7" s="60"/>
      <c r="N7" s="60"/>
      <c r="O7" s="60"/>
      <c r="P7" s="60"/>
      <c r="Q7" s="60"/>
      <c r="R7" s="300">
        <v>470</v>
      </c>
      <c r="S7" s="301">
        <v>680</v>
      </c>
      <c r="T7" s="300">
        <v>110</v>
      </c>
      <c r="U7" s="302">
        <v>113</v>
      </c>
      <c r="V7" s="178"/>
      <c r="W7" s="263">
        <v>4.7</v>
      </c>
      <c r="X7" s="263">
        <v>5.6</v>
      </c>
    </row>
    <row r="8" spans="1:24" ht="15.75" thickBot="1" x14ac:dyDescent="0.3">
      <c r="A8" s="69" t="s">
        <v>83</v>
      </c>
      <c r="B8" s="76" t="s">
        <v>19</v>
      </c>
      <c r="C8" s="76">
        <v>0.5</v>
      </c>
      <c r="D8" s="76" t="s">
        <v>19</v>
      </c>
      <c r="E8" s="76" t="s">
        <v>19</v>
      </c>
      <c r="F8" s="72" t="s">
        <v>84</v>
      </c>
      <c r="G8" s="73"/>
      <c r="H8" s="73"/>
      <c r="I8" s="74"/>
      <c r="J8" s="60"/>
      <c r="K8" s="60"/>
      <c r="L8" s="60"/>
      <c r="M8" s="60"/>
      <c r="N8" s="60"/>
      <c r="O8" s="60"/>
      <c r="P8" s="60"/>
      <c r="Q8" s="60"/>
      <c r="R8" s="301">
        <v>680</v>
      </c>
      <c r="S8" s="301">
        <v>1000</v>
      </c>
      <c r="T8" s="302">
        <v>113</v>
      </c>
      <c r="U8" s="300">
        <v>115</v>
      </c>
      <c r="V8" s="178"/>
      <c r="W8" s="263">
        <v>6.8</v>
      </c>
      <c r="X8" s="263">
        <v>8.1999999999999993</v>
      </c>
    </row>
    <row r="9" spans="1:24" ht="15.75" thickBot="1" x14ac:dyDescent="0.3">
      <c r="A9" s="69" t="s">
        <v>316</v>
      </c>
      <c r="B9" s="76">
        <v>16</v>
      </c>
      <c r="C9" s="76">
        <v>18</v>
      </c>
      <c r="D9" s="76">
        <v>20</v>
      </c>
      <c r="E9" s="76" t="s">
        <v>2</v>
      </c>
      <c r="F9" s="72" t="s">
        <v>278</v>
      </c>
      <c r="G9" s="73"/>
      <c r="H9" s="73"/>
      <c r="I9" s="74"/>
      <c r="J9" s="60"/>
      <c r="K9" s="60"/>
      <c r="L9" s="60"/>
      <c r="M9" s="60"/>
      <c r="N9" s="60"/>
      <c r="O9" s="60"/>
      <c r="P9" s="60"/>
      <c r="Q9" s="60"/>
      <c r="R9" s="518" t="s">
        <v>306</v>
      </c>
      <c r="S9" s="519"/>
      <c r="T9" s="300">
        <v>115</v>
      </c>
      <c r="U9" s="302">
        <v>118</v>
      </c>
      <c r="V9" s="178"/>
      <c r="W9" s="263">
        <v>8.1999999999999993</v>
      </c>
      <c r="X9" s="263">
        <v>10</v>
      </c>
    </row>
    <row r="10" spans="1:24" ht="15.75" thickBot="1" x14ac:dyDescent="0.3">
      <c r="A10" s="69" t="s">
        <v>7</v>
      </c>
      <c r="B10" s="76" t="s">
        <v>19</v>
      </c>
      <c r="C10" s="71">
        <v>60</v>
      </c>
      <c r="D10" s="76" t="s">
        <v>19</v>
      </c>
      <c r="E10" s="77" t="s">
        <v>8</v>
      </c>
      <c r="F10" s="72" t="s">
        <v>279</v>
      </c>
      <c r="G10" s="73"/>
      <c r="H10" s="73"/>
      <c r="I10" s="74"/>
      <c r="J10" s="60"/>
      <c r="K10" s="60"/>
      <c r="L10" s="60"/>
      <c r="M10" s="60"/>
      <c r="N10" s="60"/>
      <c r="O10" s="60"/>
      <c r="P10" s="60"/>
      <c r="Q10" s="60"/>
      <c r="R10" s="300">
        <v>100</v>
      </c>
      <c r="S10" s="301">
        <v>120</v>
      </c>
      <c r="T10" s="302">
        <v>118</v>
      </c>
      <c r="U10" s="300">
        <v>121</v>
      </c>
      <c r="V10" s="178"/>
      <c r="W10" s="517" t="s">
        <v>181</v>
      </c>
      <c r="X10" s="517"/>
    </row>
    <row r="11" spans="1:24" ht="15.75" thickBot="1" x14ac:dyDescent="0.3">
      <c r="A11" s="69" t="s">
        <v>9</v>
      </c>
      <c r="B11" s="71">
        <v>100</v>
      </c>
      <c r="C11" s="71">
        <v>120</v>
      </c>
      <c r="D11" s="71">
        <v>146</v>
      </c>
      <c r="E11" s="77" t="s">
        <v>64</v>
      </c>
      <c r="F11" s="72" t="s">
        <v>278</v>
      </c>
      <c r="G11" s="73"/>
      <c r="H11" s="73"/>
      <c r="I11" s="74"/>
      <c r="J11" s="60"/>
      <c r="K11" s="60"/>
      <c r="L11" s="60"/>
      <c r="M11" s="60"/>
      <c r="N11" s="60"/>
      <c r="O11" s="60"/>
      <c r="P11" s="60"/>
      <c r="Q11" s="60"/>
      <c r="R11" s="301">
        <v>120</v>
      </c>
      <c r="S11" s="301">
        <v>150</v>
      </c>
      <c r="T11" s="300">
        <v>121</v>
      </c>
      <c r="U11" s="302">
        <v>124</v>
      </c>
      <c r="V11" s="178"/>
      <c r="W11" s="263">
        <v>1</v>
      </c>
      <c r="X11" s="303">
        <v>1.5</v>
      </c>
    </row>
    <row r="12" spans="1:24" ht="15.75" thickBot="1" x14ac:dyDescent="0.3">
      <c r="A12" s="69" t="s">
        <v>45</v>
      </c>
      <c r="B12" s="75">
        <f>POWER(10,$C$10/20)/(D11/1000000)/1000000</f>
        <v>6.8493150684931514</v>
      </c>
      <c r="C12" s="75">
        <f>POWER(10,$C$10/20)/(C11/1000000)/1000000</f>
        <v>8.3333333333333321</v>
      </c>
      <c r="D12" s="75">
        <f>POWER(10,$C$10/20)/(B11/1000000)/1000000</f>
        <v>10</v>
      </c>
      <c r="E12" s="77" t="s">
        <v>46</v>
      </c>
      <c r="F12" s="72" t="s">
        <v>36</v>
      </c>
      <c r="G12" s="73"/>
      <c r="H12" s="73"/>
      <c r="I12" s="74"/>
      <c r="J12" s="60"/>
      <c r="K12" s="60"/>
      <c r="L12" s="60"/>
      <c r="M12" s="60"/>
      <c r="N12" s="60"/>
      <c r="O12" s="60"/>
      <c r="P12" s="60"/>
      <c r="Q12" s="60"/>
      <c r="R12" s="301">
        <v>150</v>
      </c>
      <c r="S12" s="301">
        <v>180</v>
      </c>
      <c r="T12" s="302">
        <v>124</v>
      </c>
      <c r="U12" s="300">
        <v>127</v>
      </c>
      <c r="V12" s="178"/>
      <c r="W12" s="303">
        <v>1.5</v>
      </c>
      <c r="X12" s="303">
        <v>2.2000000000000002</v>
      </c>
    </row>
    <row r="13" spans="1:24" ht="15.75" thickBot="1" x14ac:dyDescent="0.3">
      <c r="A13" s="69" t="s">
        <v>0</v>
      </c>
      <c r="B13" s="76" t="s">
        <v>19</v>
      </c>
      <c r="C13" s="260">
        <v>9</v>
      </c>
      <c r="D13" s="76" t="s">
        <v>19</v>
      </c>
      <c r="E13" s="77" t="s">
        <v>3</v>
      </c>
      <c r="F13" s="72" t="s">
        <v>279</v>
      </c>
      <c r="G13" s="73"/>
      <c r="H13" s="73"/>
      <c r="I13" s="74"/>
      <c r="J13" s="60"/>
      <c r="K13" s="60"/>
      <c r="L13" s="60"/>
      <c r="M13" s="60"/>
      <c r="N13" s="60"/>
      <c r="O13" s="60"/>
      <c r="P13" s="60"/>
      <c r="Q13" s="60"/>
      <c r="R13" s="301">
        <v>180</v>
      </c>
      <c r="S13" s="300">
        <v>220</v>
      </c>
      <c r="T13" s="300">
        <v>127</v>
      </c>
      <c r="U13" s="302">
        <v>130</v>
      </c>
      <c r="V13" s="178"/>
      <c r="W13" s="303">
        <v>2.2000000000000002</v>
      </c>
      <c r="X13" s="303">
        <v>3.3</v>
      </c>
    </row>
    <row r="14" spans="1:24" ht="15.75" thickBot="1" x14ac:dyDescent="0.3">
      <c r="A14" s="69" t="s">
        <v>188</v>
      </c>
      <c r="B14" s="76" t="s">
        <v>19</v>
      </c>
      <c r="C14" s="260">
        <v>0.62</v>
      </c>
      <c r="D14" s="76" t="s">
        <v>19</v>
      </c>
      <c r="E14" s="77" t="s">
        <v>186</v>
      </c>
      <c r="F14" s="72" t="s">
        <v>37</v>
      </c>
      <c r="G14" s="73"/>
      <c r="H14" s="73"/>
      <c r="I14" s="74"/>
      <c r="J14" s="60"/>
      <c r="K14" s="60"/>
      <c r="L14" s="60"/>
      <c r="M14" s="60"/>
      <c r="N14" s="60"/>
      <c r="O14" s="60"/>
      <c r="P14" s="60"/>
      <c r="Q14" s="60"/>
      <c r="R14" s="300">
        <v>220</v>
      </c>
      <c r="S14" s="301">
        <v>270</v>
      </c>
      <c r="T14" s="302">
        <v>130</v>
      </c>
      <c r="U14" s="300">
        <v>133</v>
      </c>
      <c r="V14" s="178"/>
      <c r="W14" s="303">
        <v>3.3</v>
      </c>
      <c r="X14" s="303">
        <v>4.7</v>
      </c>
    </row>
    <row r="15" spans="1:24" ht="15.75" thickBot="1" x14ac:dyDescent="0.3">
      <c r="A15" s="69" t="s">
        <v>187</v>
      </c>
      <c r="B15" s="76" t="s">
        <v>19</v>
      </c>
      <c r="C15" s="260">
        <v>3.1</v>
      </c>
      <c r="D15" s="76" t="s">
        <v>19</v>
      </c>
      <c r="E15" s="77" t="s">
        <v>186</v>
      </c>
      <c r="F15" s="72" t="s">
        <v>278</v>
      </c>
      <c r="G15" s="73"/>
      <c r="H15" s="73"/>
      <c r="I15" s="74"/>
      <c r="J15" s="60"/>
      <c r="K15" s="60"/>
      <c r="L15" s="60"/>
      <c r="M15" s="60"/>
      <c r="N15" s="60"/>
      <c r="O15" s="60"/>
      <c r="P15" s="60"/>
      <c r="Q15" s="60"/>
      <c r="R15" s="301">
        <v>270</v>
      </c>
      <c r="S15" s="301">
        <v>330</v>
      </c>
      <c r="T15" s="300">
        <v>133</v>
      </c>
      <c r="U15" s="302">
        <v>137</v>
      </c>
      <c r="V15" s="178"/>
      <c r="W15" s="263">
        <v>4.7</v>
      </c>
      <c r="X15" s="263">
        <v>6.8</v>
      </c>
    </row>
    <row r="16" spans="1:24" ht="15.75" thickBot="1" x14ac:dyDescent="0.3">
      <c r="A16" s="69" t="s">
        <v>165</v>
      </c>
      <c r="B16" s="80">
        <v>0.2</v>
      </c>
      <c r="C16" s="76" t="s">
        <v>19</v>
      </c>
      <c r="D16" s="80">
        <v>2.5</v>
      </c>
      <c r="E16" s="77" t="s">
        <v>14</v>
      </c>
      <c r="F16" s="72" t="s">
        <v>278</v>
      </c>
      <c r="G16" s="73"/>
      <c r="H16" s="73"/>
      <c r="I16" s="74"/>
      <c r="J16" s="60"/>
      <c r="K16" s="60"/>
      <c r="L16" s="60"/>
      <c r="M16" s="60"/>
      <c r="N16" s="60"/>
      <c r="O16" s="60"/>
      <c r="P16" s="60"/>
      <c r="Q16" s="60"/>
      <c r="R16" s="301">
        <v>330</v>
      </c>
      <c r="S16" s="301">
        <v>390</v>
      </c>
      <c r="T16" s="302">
        <v>137</v>
      </c>
      <c r="U16" s="300">
        <v>140</v>
      </c>
      <c r="V16" s="178"/>
      <c r="W16" s="263">
        <v>6.8</v>
      </c>
      <c r="X16" s="303">
        <v>10</v>
      </c>
    </row>
    <row r="17" spans="1:24" ht="15.75" thickBot="1" x14ac:dyDescent="0.3">
      <c r="A17" s="69" t="s">
        <v>185</v>
      </c>
      <c r="B17" s="76">
        <v>-10</v>
      </c>
      <c r="C17" s="76" t="s">
        <v>19</v>
      </c>
      <c r="D17" s="76">
        <v>10</v>
      </c>
      <c r="E17" s="77" t="s">
        <v>21</v>
      </c>
      <c r="F17" s="72" t="s">
        <v>278</v>
      </c>
      <c r="G17" s="73"/>
      <c r="H17" s="73"/>
      <c r="I17" s="74"/>
      <c r="J17" s="60"/>
      <c r="K17" s="60"/>
      <c r="L17" s="60"/>
      <c r="M17" s="60"/>
      <c r="N17" s="60"/>
      <c r="O17" s="60"/>
      <c r="P17" s="60"/>
      <c r="Q17" s="60"/>
      <c r="R17" s="301">
        <v>390</v>
      </c>
      <c r="S17" s="300">
        <v>470</v>
      </c>
      <c r="T17" s="300">
        <v>140</v>
      </c>
      <c r="U17" s="302">
        <v>143</v>
      </c>
      <c r="V17" s="178"/>
      <c r="W17" s="178"/>
      <c r="X17" s="181"/>
    </row>
    <row r="18" spans="1:24" ht="15.75" thickBot="1" x14ac:dyDescent="0.3">
      <c r="A18" s="69" t="s">
        <v>215</v>
      </c>
      <c r="B18" s="76" t="s">
        <v>19</v>
      </c>
      <c r="C18" s="76">
        <v>5</v>
      </c>
      <c r="D18" s="76" t="s">
        <v>19</v>
      </c>
      <c r="E18" s="77" t="s">
        <v>21</v>
      </c>
      <c r="F18" s="72" t="s">
        <v>216</v>
      </c>
      <c r="G18" s="73"/>
      <c r="H18" s="73"/>
      <c r="I18" s="74"/>
      <c r="J18" s="60"/>
      <c r="K18" s="60"/>
      <c r="L18" s="60"/>
      <c r="M18" s="60"/>
      <c r="N18" s="60"/>
      <c r="O18" s="60"/>
      <c r="P18" s="60"/>
      <c r="Q18" s="60"/>
      <c r="R18" s="300">
        <v>470</v>
      </c>
      <c r="S18" s="301">
        <v>560</v>
      </c>
      <c r="T18" s="302">
        <v>143</v>
      </c>
      <c r="U18" s="300">
        <v>147</v>
      </c>
      <c r="V18" s="178"/>
      <c r="X18" s="181"/>
    </row>
    <row r="19" spans="1:24" ht="18.75" thickBot="1" x14ac:dyDescent="0.4">
      <c r="A19" s="69" t="s">
        <v>59</v>
      </c>
      <c r="B19" s="76" t="s">
        <v>19</v>
      </c>
      <c r="C19" s="76">
        <v>80</v>
      </c>
      <c r="D19" s="71">
        <v>100</v>
      </c>
      <c r="E19" s="77" t="s">
        <v>4</v>
      </c>
      <c r="F19" s="72" t="s">
        <v>317</v>
      </c>
      <c r="G19" s="73"/>
      <c r="H19" s="73"/>
      <c r="I19" s="74"/>
      <c r="J19" s="60"/>
      <c r="K19" s="60"/>
      <c r="L19" s="60"/>
      <c r="M19" s="60"/>
      <c r="N19" s="60"/>
      <c r="O19" s="60"/>
      <c r="P19" s="60"/>
      <c r="Q19" s="60"/>
      <c r="R19" s="301">
        <v>560</v>
      </c>
      <c r="S19" s="301">
        <v>680</v>
      </c>
      <c r="T19" s="300">
        <v>147</v>
      </c>
      <c r="U19" s="302">
        <v>150</v>
      </c>
      <c r="V19" s="178"/>
      <c r="W19" s="178"/>
      <c r="X19" s="178"/>
    </row>
    <row r="20" spans="1:24" ht="18.75" thickBot="1" x14ac:dyDescent="0.4">
      <c r="A20" s="69" t="s">
        <v>60</v>
      </c>
      <c r="B20" s="76" t="s">
        <v>19</v>
      </c>
      <c r="C20" s="76">
        <v>100</v>
      </c>
      <c r="D20" s="76" t="s">
        <v>19</v>
      </c>
      <c r="E20" s="77" t="s">
        <v>4</v>
      </c>
      <c r="F20" s="72" t="s">
        <v>280</v>
      </c>
      <c r="G20" s="73"/>
      <c r="H20" s="73"/>
      <c r="I20" s="74"/>
      <c r="J20" s="60"/>
      <c r="K20" s="60"/>
      <c r="L20" s="60"/>
      <c r="M20" s="60"/>
      <c r="N20" s="60"/>
      <c r="O20" s="60"/>
      <c r="P20" s="60"/>
      <c r="Q20" s="60"/>
      <c r="R20" s="304">
        <v>680</v>
      </c>
      <c r="S20" s="301">
        <v>820</v>
      </c>
      <c r="T20" s="302">
        <v>150</v>
      </c>
      <c r="U20" s="300">
        <v>154</v>
      </c>
      <c r="V20" s="178"/>
      <c r="W20" s="178"/>
      <c r="X20" s="178"/>
    </row>
    <row r="21" spans="1:24" ht="15.75" thickBot="1" x14ac:dyDescent="0.3">
      <c r="A21" s="69" t="s">
        <v>102</v>
      </c>
      <c r="B21" s="76" t="s">
        <v>19</v>
      </c>
      <c r="C21" s="157">
        <v>5</v>
      </c>
      <c r="D21" s="76" t="s">
        <v>19</v>
      </c>
      <c r="E21" s="77" t="s">
        <v>220</v>
      </c>
      <c r="F21" s="72" t="s">
        <v>279</v>
      </c>
      <c r="G21" s="73"/>
      <c r="H21" s="73"/>
      <c r="I21" s="74"/>
      <c r="J21" s="60"/>
      <c r="K21" s="60"/>
      <c r="L21" s="60"/>
      <c r="M21" s="60"/>
      <c r="N21" s="60"/>
      <c r="O21" s="60"/>
      <c r="P21" s="60"/>
      <c r="Q21" s="60"/>
      <c r="R21" s="304">
        <v>820</v>
      </c>
      <c r="S21" s="301">
        <v>1000</v>
      </c>
      <c r="T21" s="300">
        <v>154</v>
      </c>
      <c r="U21" s="302">
        <v>158</v>
      </c>
      <c r="V21" s="178"/>
      <c r="W21" s="178"/>
      <c r="X21" s="178"/>
    </row>
    <row r="22" spans="1:24" ht="15.75" thickBot="1" x14ac:dyDescent="0.3">
      <c r="A22" s="69" t="s">
        <v>56</v>
      </c>
      <c r="B22" s="76" t="s">
        <v>19</v>
      </c>
      <c r="C22" s="76">
        <v>150</v>
      </c>
      <c r="D22" s="76" t="s">
        <v>19</v>
      </c>
      <c r="E22" s="77" t="s">
        <v>55</v>
      </c>
      <c r="F22" s="72" t="s">
        <v>37</v>
      </c>
      <c r="G22" s="73"/>
      <c r="H22" s="73"/>
      <c r="I22" s="74"/>
      <c r="J22" s="60"/>
      <c r="K22" s="60"/>
      <c r="L22" s="60"/>
      <c r="M22" s="60"/>
      <c r="N22" s="60"/>
      <c r="O22" s="60"/>
      <c r="P22" s="60"/>
      <c r="Q22" s="60"/>
      <c r="R22" s="522" t="s">
        <v>307</v>
      </c>
      <c r="S22" s="523"/>
      <c r="T22" s="302">
        <v>158</v>
      </c>
      <c r="U22" s="300">
        <v>162</v>
      </c>
      <c r="V22" s="179"/>
      <c r="W22" s="178"/>
      <c r="X22" s="178"/>
    </row>
    <row r="23" spans="1:24" ht="15.75" thickBot="1" x14ac:dyDescent="0.3">
      <c r="A23" s="69" t="s">
        <v>62</v>
      </c>
      <c r="B23" s="76" t="s">
        <v>19</v>
      </c>
      <c r="C23" s="76">
        <v>0.64</v>
      </c>
      <c r="D23" s="76" t="s">
        <v>19</v>
      </c>
      <c r="E23" s="77" t="s">
        <v>63</v>
      </c>
      <c r="F23" s="72" t="s">
        <v>37</v>
      </c>
      <c r="G23" s="73"/>
      <c r="H23" s="73"/>
      <c r="I23" s="74"/>
      <c r="J23" s="60"/>
      <c r="K23" s="60"/>
      <c r="L23" s="60"/>
      <c r="M23" s="60"/>
      <c r="N23" s="60"/>
      <c r="O23" s="60"/>
      <c r="P23" s="60"/>
      <c r="Q23" s="60"/>
      <c r="R23" s="305">
        <v>100</v>
      </c>
      <c r="S23" s="306">
        <v>110</v>
      </c>
      <c r="T23" s="300">
        <v>162</v>
      </c>
      <c r="U23" s="302">
        <v>165</v>
      </c>
      <c r="V23" s="178"/>
      <c r="W23" s="178"/>
      <c r="X23" s="178"/>
    </row>
    <row r="24" spans="1:24" ht="18.75" thickBot="1" x14ac:dyDescent="0.4">
      <c r="A24" s="69" t="s">
        <v>92</v>
      </c>
      <c r="B24" s="76" t="s">
        <v>19</v>
      </c>
      <c r="C24" s="77">
        <v>5</v>
      </c>
      <c r="D24" s="76" t="s">
        <v>19</v>
      </c>
      <c r="E24" s="77" t="s">
        <v>2</v>
      </c>
      <c r="F24" s="72" t="s">
        <v>37</v>
      </c>
      <c r="G24" s="73"/>
      <c r="H24" s="73"/>
      <c r="I24" s="74"/>
      <c r="J24" s="60"/>
      <c r="K24" s="60"/>
      <c r="L24" s="60"/>
      <c r="M24" s="60"/>
      <c r="N24" s="60"/>
      <c r="O24" s="60"/>
      <c r="P24" s="60"/>
      <c r="Q24" s="60"/>
      <c r="R24" s="306">
        <v>110</v>
      </c>
      <c r="S24" s="306">
        <v>120</v>
      </c>
      <c r="T24" s="302">
        <v>165</v>
      </c>
      <c r="U24" s="300">
        <v>169</v>
      </c>
      <c r="V24" s="179"/>
      <c r="W24" s="178"/>
      <c r="X24" s="178"/>
    </row>
    <row r="25" spans="1:24" ht="15.75" thickBot="1" x14ac:dyDescent="0.3">
      <c r="A25" s="69" t="s">
        <v>18</v>
      </c>
      <c r="B25" s="76" t="s">
        <v>19</v>
      </c>
      <c r="C25" s="76" t="s">
        <v>19</v>
      </c>
      <c r="D25" s="77">
        <v>5</v>
      </c>
      <c r="E25" s="77" t="s">
        <v>6</v>
      </c>
      <c r="F25" s="72" t="s">
        <v>37</v>
      </c>
      <c r="G25" s="73"/>
      <c r="H25" s="73"/>
      <c r="I25" s="74"/>
      <c r="J25" s="60"/>
      <c r="K25" s="60"/>
      <c r="L25" s="60"/>
      <c r="M25" s="60"/>
      <c r="N25" s="60"/>
      <c r="O25" s="60"/>
      <c r="P25" s="60"/>
      <c r="Q25" s="60"/>
      <c r="R25" s="306">
        <v>120</v>
      </c>
      <c r="S25" s="306">
        <v>130</v>
      </c>
      <c r="T25" s="300">
        <v>169</v>
      </c>
      <c r="U25" s="302">
        <v>174</v>
      </c>
      <c r="V25" s="179"/>
      <c r="W25" s="178"/>
      <c r="X25" s="178"/>
    </row>
    <row r="26" spans="1:24" ht="15.75" thickBot="1" x14ac:dyDescent="0.3">
      <c r="A26" s="69" t="s">
        <v>162</v>
      </c>
      <c r="B26" s="76" t="s">
        <v>19</v>
      </c>
      <c r="C26" s="81">
        <v>1.5</v>
      </c>
      <c r="D26" s="76" t="s">
        <v>19</v>
      </c>
      <c r="E26" s="77" t="s">
        <v>5</v>
      </c>
      <c r="F26" s="72" t="s">
        <v>281</v>
      </c>
      <c r="G26" s="73"/>
      <c r="H26" s="73"/>
      <c r="I26" s="74"/>
      <c r="J26" s="60"/>
      <c r="K26" s="60"/>
      <c r="L26" s="60"/>
      <c r="M26" s="60"/>
      <c r="N26" s="60"/>
      <c r="O26" s="60"/>
      <c r="P26" s="60"/>
      <c r="Q26" s="60"/>
      <c r="R26" s="306">
        <v>130</v>
      </c>
      <c r="S26" s="306">
        <v>150</v>
      </c>
      <c r="T26" s="302">
        <v>174</v>
      </c>
      <c r="U26" s="300">
        <v>178</v>
      </c>
      <c r="V26" s="179"/>
      <c r="W26" s="178"/>
      <c r="X26" s="178"/>
    </row>
    <row r="27" spans="1:24" ht="15.75" thickBot="1" x14ac:dyDescent="0.3">
      <c r="A27" s="69" t="s">
        <v>163</v>
      </c>
      <c r="B27" s="76" t="s">
        <v>19</v>
      </c>
      <c r="C27" s="81">
        <v>1.2</v>
      </c>
      <c r="D27" s="76" t="s">
        <v>19</v>
      </c>
      <c r="E27" s="77" t="s">
        <v>5</v>
      </c>
      <c r="F27" s="72" t="s">
        <v>281</v>
      </c>
      <c r="G27" s="73"/>
      <c r="H27" s="73"/>
      <c r="I27" s="74"/>
      <c r="J27" s="60"/>
      <c r="K27" s="60"/>
      <c r="L27" s="60"/>
      <c r="M27" s="60"/>
      <c r="N27" s="60"/>
      <c r="O27" s="60"/>
      <c r="P27" s="60"/>
      <c r="Q27" s="60"/>
      <c r="R27" s="306">
        <v>150</v>
      </c>
      <c r="S27" s="306">
        <v>160</v>
      </c>
      <c r="T27" s="300">
        <v>178</v>
      </c>
      <c r="U27" s="302">
        <v>182</v>
      </c>
      <c r="V27" s="178"/>
      <c r="W27" s="178"/>
      <c r="X27" s="178"/>
    </row>
    <row r="28" spans="1:24" s="331" customFormat="1" ht="18" customHeight="1" thickBot="1" x14ac:dyDescent="0.4">
      <c r="A28" s="261" t="s">
        <v>276</v>
      </c>
      <c r="B28" s="81">
        <v>3.5</v>
      </c>
      <c r="C28" s="76">
        <v>5.5</v>
      </c>
      <c r="D28" s="76">
        <v>6.5</v>
      </c>
      <c r="E28" s="77" t="s">
        <v>10</v>
      </c>
      <c r="F28" s="72" t="s">
        <v>277</v>
      </c>
      <c r="G28" s="73"/>
      <c r="H28" s="73"/>
      <c r="I28" s="74"/>
      <c r="J28" s="60"/>
      <c r="K28" s="60"/>
      <c r="L28" s="60"/>
      <c r="M28" s="60"/>
      <c r="N28" s="60"/>
      <c r="O28" s="60"/>
      <c r="P28" s="60"/>
      <c r="Q28" s="60"/>
      <c r="R28" s="306">
        <v>160</v>
      </c>
      <c r="S28" s="306">
        <v>180</v>
      </c>
      <c r="T28" s="302">
        <v>182</v>
      </c>
      <c r="U28" s="300">
        <v>187</v>
      </c>
      <c r="V28" s="178"/>
      <c r="W28" s="178"/>
      <c r="X28" s="178"/>
    </row>
    <row r="29" spans="1:24" s="331" customFormat="1" ht="18" customHeight="1" thickBot="1" x14ac:dyDescent="0.3">
      <c r="A29" s="338" t="s">
        <v>76</v>
      </c>
      <c r="B29" s="76" t="s">
        <v>19</v>
      </c>
      <c r="C29" s="339">
        <v>-1.06E-2</v>
      </c>
      <c r="D29" s="76" t="s">
        <v>19</v>
      </c>
      <c r="E29" s="77" t="s">
        <v>78</v>
      </c>
      <c r="F29" s="72" t="s">
        <v>93</v>
      </c>
      <c r="G29" s="73"/>
      <c r="H29" s="73"/>
      <c r="I29" s="74"/>
      <c r="J29" s="60"/>
      <c r="K29" s="60"/>
      <c r="L29" s="60"/>
      <c r="M29" s="60"/>
      <c r="N29" s="60"/>
      <c r="O29" s="60"/>
      <c r="P29" s="60"/>
      <c r="Q29" s="60"/>
      <c r="R29" s="306">
        <v>180</v>
      </c>
      <c r="S29" s="307">
        <v>200</v>
      </c>
      <c r="T29" s="300">
        <v>187</v>
      </c>
      <c r="U29" s="302">
        <v>191</v>
      </c>
      <c r="V29" s="263"/>
      <c r="W29" s="178"/>
      <c r="X29" s="178"/>
    </row>
    <row r="30" spans="1:24" ht="15.75" thickBot="1" x14ac:dyDescent="0.3">
      <c r="A30" s="338" t="s">
        <v>77</v>
      </c>
      <c r="B30" s="76" t="s">
        <v>19</v>
      </c>
      <c r="C30" s="339">
        <v>4.9528999999999996</v>
      </c>
      <c r="D30" s="76" t="s">
        <v>19</v>
      </c>
      <c r="E30" s="77" t="s">
        <v>10</v>
      </c>
      <c r="F30" s="72" t="s">
        <v>94</v>
      </c>
      <c r="G30" s="73"/>
      <c r="H30" s="73"/>
      <c r="I30" s="74"/>
      <c r="J30" s="60"/>
      <c r="K30" s="60"/>
      <c r="L30" s="60"/>
      <c r="M30" s="60"/>
      <c r="N30" s="60"/>
      <c r="O30" s="60"/>
      <c r="P30" s="60"/>
      <c r="Q30" s="60"/>
      <c r="R30" s="307">
        <v>200</v>
      </c>
      <c r="S30" s="305">
        <v>220</v>
      </c>
      <c r="T30" s="302">
        <v>191</v>
      </c>
      <c r="U30" s="300">
        <v>196</v>
      </c>
      <c r="V30" s="178"/>
      <c r="W30" s="180"/>
      <c r="X30" s="180"/>
    </row>
    <row r="31" spans="1:24" ht="15.75" thickBot="1" x14ac:dyDescent="0.3">
      <c r="A31" s="340" t="s">
        <v>318</v>
      </c>
      <c r="B31" s="76" t="s">
        <v>19</v>
      </c>
      <c r="C31" s="341">
        <v>170</v>
      </c>
      <c r="D31" s="76" t="s">
        <v>19</v>
      </c>
      <c r="E31" s="249" t="s">
        <v>261</v>
      </c>
      <c r="F31" s="250" t="s">
        <v>262</v>
      </c>
      <c r="G31" s="251"/>
      <c r="H31" s="251"/>
      <c r="I31" s="252"/>
      <c r="J31" s="60"/>
      <c r="K31" s="60"/>
      <c r="L31" s="60"/>
      <c r="M31" s="60"/>
      <c r="N31" s="60"/>
      <c r="O31" s="60"/>
      <c r="P31" s="60"/>
      <c r="Q31" s="60"/>
      <c r="R31" s="305">
        <v>220</v>
      </c>
      <c r="S31" s="306">
        <v>240</v>
      </c>
      <c r="T31" s="300">
        <v>196</v>
      </c>
      <c r="U31" s="302">
        <v>200</v>
      </c>
      <c r="V31" s="178"/>
      <c r="W31" s="180"/>
      <c r="X31" s="180"/>
    </row>
    <row r="32" spans="1:24" ht="15.75" thickBot="1" x14ac:dyDescent="0.3">
      <c r="A32" s="342" t="s">
        <v>124</v>
      </c>
      <c r="B32" s="82" t="s">
        <v>19</v>
      </c>
      <c r="C32" s="343">
        <v>0.39300000000000002</v>
      </c>
      <c r="D32" s="82" t="s">
        <v>19</v>
      </c>
      <c r="E32" s="83" t="s">
        <v>125</v>
      </c>
      <c r="F32" s="84" t="s">
        <v>129</v>
      </c>
      <c r="G32" s="85"/>
      <c r="H32" s="85"/>
      <c r="I32" s="86"/>
      <c r="R32" s="306">
        <v>240</v>
      </c>
      <c r="S32" s="306">
        <v>270</v>
      </c>
      <c r="T32" s="302">
        <v>200</v>
      </c>
      <c r="U32" s="300">
        <v>205</v>
      </c>
      <c r="V32" s="263"/>
      <c r="W32" s="180"/>
      <c r="X32" s="180"/>
    </row>
    <row r="33" spans="1:24" ht="15.75" thickBot="1" x14ac:dyDescent="0.3">
      <c r="A33" s="332"/>
      <c r="B33" s="332"/>
      <c r="C33" s="332"/>
      <c r="D33" s="332"/>
      <c r="E33" s="332"/>
      <c r="F33" s="333"/>
      <c r="R33" s="306">
        <v>270</v>
      </c>
      <c r="S33" s="306">
        <v>300</v>
      </c>
      <c r="T33" s="300">
        <v>205</v>
      </c>
      <c r="U33" s="302">
        <v>210</v>
      </c>
      <c r="V33" s="178"/>
      <c r="W33" s="180"/>
      <c r="X33" s="180"/>
    </row>
    <row r="34" spans="1:24" ht="15.75" thickBot="1" x14ac:dyDescent="0.3">
      <c r="A34" s="332" t="s">
        <v>207</v>
      </c>
      <c r="B34" s="334">
        <f>POWER(10,-9)</f>
        <v>1.0000000000000001E-9</v>
      </c>
      <c r="C34" s="334"/>
      <c r="D34" s="332"/>
      <c r="E34" s="332" t="s">
        <v>250</v>
      </c>
      <c r="F34" s="333"/>
      <c r="R34" s="306">
        <v>300</v>
      </c>
      <c r="S34" s="306">
        <v>330</v>
      </c>
      <c r="T34" s="302">
        <v>210</v>
      </c>
      <c r="U34" s="300">
        <v>215</v>
      </c>
      <c r="V34" s="178"/>
      <c r="W34" s="180"/>
      <c r="X34" s="180"/>
    </row>
    <row r="35" spans="1:24" ht="15.75" thickBot="1" x14ac:dyDescent="0.3">
      <c r="A35" s="332" t="s">
        <v>208</v>
      </c>
      <c r="B35" s="334">
        <f>POWER(10,-6)</f>
        <v>9.9999999999999995E-7</v>
      </c>
      <c r="C35" s="332"/>
      <c r="D35" s="332"/>
      <c r="E35" s="332" t="s">
        <v>251</v>
      </c>
      <c r="F35" s="333"/>
      <c r="R35" s="306">
        <v>330</v>
      </c>
      <c r="S35" s="306">
        <v>360</v>
      </c>
      <c r="T35" s="300">
        <v>215</v>
      </c>
      <c r="U35" s="302">
        <v>221</v>
      </c>
      <c r="V35" s="178"/>
      <c r="W35" s="180"/>
      <c r="X35" s="180"/>
    </row>
    <row r="36" spans="1:24" ht="15.75" thickBot="1" x14ac:dyDescent="0.3">
      <c r="A36" s="332" t="s">
        <v>209</v>
      </c>
      <c r="B36" s="334">
        <f>POWER(10,-3)</f>
        <v>1E-3</v>
      </c>
      <c r="C36" s="332"/>
      <c r="D36" s="332"/>
      <c r="E36" s="332"/>
      <c r="F36" s="333"/>
      <c r="R36" s="306">
        <v>360</v>
      </c>
      <c r="S36" s="306">
        <v>390</v>
      </c>
      <c r="T36" s="302">
        <v>221</v>
      </c>
      <c r="U36" s="300">
        <v>226</v>
      </c>
      <c r="V36" s="178"/>
      <c r="W36" s="180"/>
      <c r="X36" s="180"/>
    </row>
    <row r="37" spans="1:24" ht="15.75" thickBot="1" x14ac:dyDescent="0.3">
      <c r="A37" s="332" t="s">
        <v>210</v>
      </c>
      <c r="B37" s="334">
        <f>POWER(10,3)</f>
        <v>1000</v>
      </c>
      <c r="C37" s="332"/>
      <c r="D37" s="332"/>
      <c r="E37" s="332"/>
      <c r="F37" s="333"/>
      <c r="R37" s="306">
        <v>390</v>
      </c>
      <c r="S37" s="307">
        <v>430</v>
      </c>
      <c r="T37" s="300">
        <v>226</v>
      </c>
      <c r="U37" s="302">
        <v>232</v>
      </c>
      <c r="V37" s="178"/>
      <c r="W37" s="180"/>
      <c r="X37" s="180"/>
    </row>
    <row r="38" spans="1:24" ht="15.75" thickBot="1" x14ac:dyDescent="0.3">
      <c r="A38" s="332" t="s">
        <v>211</v>
      </c>
      <c r="B38" s="334">
        <f>POWER(10,6)</f>
        <v>1000000</v>
      </c>
      <c r="C38" s="332"/>
      <c r="D38" s="332"/>
      <c r="E38" s="332"/>
      <c r="F38" s="333"/>
      <c r="R38" s="307">
        <v>430</v>
      </c>
      <c r="S38" s="305">
        <v>470</v>
      </c>
      <c r="T38" s="302">
        <v>232</v>
      </c>
      <c r="U38" s="300">
        <v>237</v>
      </c>
      <c r="V38" s="178"/>
      <c r="W38" s="180"/>
      <c r="X38" s="180"/>
    </row>
    <row r="39" spans="1:24" s="299" customFormat="1" ht="15.75" thickBot="1" x14ac:dyDescent="0.3">
      <c r="A39" s="332" t="s">
        <v>212</v>
      </c>
      <c r="B39" s="334">
        <f>POWER(10,9)</f>
        <v>1000000000</v>
      </c>
      <c r="C39" s="332"/>
      <c r="D39" s="332"/>
      <c r="E39" s="332"/>
      <c r="F39" s="333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305">
        <v>470</v>
      </c>
      <c r="S39" s="306">
        <v>510</v>
      </c>
      <c r="T39" s="300">
        <v>237</v>
      </c>
      <c r="U39" s="302">
        <v>243</v>
      </c>
      <c r="V39" s="178"/>
      <c r="W39" s="180"/>
      <c r="X39" s="180"/>
    </row>
    <row r="40" spans="1:24" s="299" customFormat="1" ht="15.75" thickBot="1" x14ac:dyDescent="0.3">
      <c r="A40" s="332"/>
      <c r="B40" s="332"/>
      <c r="C40" s="332"/>
      <c r="D40" s="332"/>
      <c r="E40" s="332"/>
      <c r="F40" s="333"/>
      <c r="G40" s="56"/>
      <c r="H40" s="56"/>
      <c r="I40" s="56"/>
      <c r="R40" s="306">
        <v>510</v>
      </c>
      <c r="S40" s="306">
        <v>560</v>
      </c>
      <c r="T40" s="302">
        <v>243</v>
      </c>
      <c r="U40" s="300">
        <v>249</v>
      </c>
      <c r="V40" s="178"/>
      <c r="W40" s="180"/>
      <c r="X40" s="180"/>
    </row>
    <row r="41" spans="1:24" s="299" customFormat="1" ht="13.5" thickBot="1" x14ac:dyDescent="0.25">
      <c r="A41" s="335"/>
      <c r="B41" s="335"/>
      <c r="C41" s="335"/>
      <c r="D41" s="335"/>
      <c r="E41" s="335"/>
      <c r="F41" s="335"/>
      <c r="R41" s="306">
        <v>560</v>
      </c>
      <c r="S41" s="306">
        <v>620</v>
      </c>
      <c r="T41" s="300">
        <v>249</v>
      </c>
      <c r="U41" s="302">
        <v>255</v>
      </c>
      <c r="V41" s="178"/>
      <c r="W41" s="180"/>
      <c r="X41" s="180"/>
    </row>
    <row r="42" spans="1:24" s="299" customFormat="1" ht="13.5" thickBot="1" x14ac:dyDescent="0.25">
      <c r="A42" s="335"/>
      <c r="B42" s="335"/>
      <c r="C42" s="335"/>
      <c r="D42" s="335"/>
      <c r="E42" s="335"/>
      <c r="F42" s="335"/>
      <c r="R42" s="306">
        <v>620</v>
      </c>
      <c r="S42" s="306">
        <v>680</v>
      </c>
      <c r="T42" s="302">
        <v>255</v>
      </c>
      <c r="U42" s="300">
        <v>261</v>
      </c>
      <c r="V42" s="178"/>
      <c r="W42" s="178"/>
      <c r="X42" s="178"/>
    </row>
    <row r="43" spans="1:24" s="299" customFormat="1" ht="13.5" thickBot="1" x14ac:dyDescent="0.25">
      <c r="A43" s="335"/>
      <c r="B43" s="335"/>
      <c r="C43" s="335"/>
      <c r="D43" s="335"/>
      <c r="E43" s="335"/>
      <c r="F43" s="335"/>
      <c r="R43" s="306">
        <v>680</v>
      </c>
      <c r="S43" s="306">
        <v>750</v>
      </c>
      <c r="T43" s="300">
        <v>261</v>
      </c>
      <c r="U43" s="302">
        <v>267</v>
      </c>
      <c r="V43" s="178"/>
      <c r="W43" s="178"/>
      <c r="X43" s="178"/>
    </row>
    <row r="44" spans="1:24" s="299" customFormat="1" ht="13.5" thickBot="1" x14ac:dyDescent="0.25">
      <c r="R44" s="306">
        <v>750</v>
      </c>
      <c r="S44" s="306">
        <v>820</v>
      </c>
      <c r="T44" s="302">
        <v>267</v>
      </c>
      <c r="U44" s="300">
        <v>274</v>
      </c>
      <c r="V44" s="178"/>
      <c r="W44" s="178"/>
      <c r="X44" s="178"/>
    </row>
    <row r="45" spans="1:24" s="299" customFormat="1" ht="13.5" thickBot="1" x14ac:dyDescent="0.25">
      <c r="R45" s="306">
        <v>820</v>
      </c>
      <c r="S45" s="307">
        <v>910</v>
      </c>
      <c r="T45" s="300">
        <v>274</v>
      </c>
      <c r="U45" s="302">
        <v>280</v>
      </c>
      <c r="V45" s="178"/>
      <c r="W45" s="178"/>
      <c r="X45" s="178"/>
    </row>
    <row r="46" spans="1:24" s="299" customFormat="1" ht="13.5" thickBot="1" x14ac:dyDescent="0.25">
      <c r="R46" s="307">
        <v>910</v>
      </c>
      <c r="S46" s="307">
        <v>1000</v>
      </c>
      <c r="T46" s="302">
        <v>280</v>
      </c>
      <c r="U46" s="300">
        <v>287</v>
      </c>
      <c r="V46" s="178"/>
      <c r="W46" s="178"/>
      <c r="X46" s="178"/>
    </row>
    <row r="47" spans="1:24" s="299" customFormat="1" ht="13.5" thickBot="1" x14ac:dyDescent="0.25">
      <c r="R47" s="529" t="s">
        <v>182</v>
      </c>
      <c r="S47" s="529"/>
      <c r="T47" s="300">
        <v>287</v>
      </c>
      <c r="U47" s="302">
        <v>294</v>
      </c>
      <c r="V47" s="178"/>
      <c r="W47" s="178"/>
      <c r="X47" s="178"/>
    </row>
    <row r="48" spans="1:24" s="299" customFormat="1" ht="13.5" thickBot="1" x14ac:dyDescent="0.25">
      <c r="R48" s="308">
        <v>100</v>
      </c>
      <c r="S48" s="308">
        <v>105</v>
      </c>
      <c r="T48" s="302">
        <v>294</v>
      </c>
      <c r="U48" s="300">
        <v>301</v>
      </c>
      <c r="V48" s="178"/>
      <c r="W48" s="178"/>
      <c r="X48" s="178"/>
    </row>
    <row r="49" spans="2:24" s="299" customFormat="1" ht="13.5" thickBot="1" x14ac:dyDescent="0.25">
      <c r="R49" s="308">
        <v>105</v>
      </c>
      <c r="S49" s="308">
        <v>110</v>
      </c>
      <c r="T49" s="300">
        <v>301</v>
      </c>
      <c r="U49" s="302">
        <v>309</v>
      </c>
      <c r="V49" s="178"/>
      <c r="W49" s="178"/>
      <c r="X49" s="178"/>
    </row>
    <row r="50" spans="2:24" s="299" customFormat="1" ht="13.5" thickBot="1" x14ac:dyDescent="0.25">
      <c r="R50" s="308">
        <v>110</v>
      </c>
      <c r="S50" s="308">
        <v>115</v>
      </c>
      <c r="T50" s="302">
        <v>309</v>
      </c>
      <c r="U50" s="300">
        <v>316</v>
      </c>
      <c r="V50" s="178"/>
      <c r="W50" s="178"/>
      <c r="X50" s="178"/>
    </row>
    <row r="51" spans="2:24" s="299" customFormat="1" ht="13.5" thickBot="1" x14ac:dyDescent="0.25">
      <c r="R51" s="308">
        <v>115</v>
      </c>
      <c r="S51" s="308">
        <v>121</v>
      </c>
      <c r="T51" s="300">
        <v>316</v>
      </c>
      <c r="U51" s="302">
        <v>324</v>
      </c>
      <c r="V51" s="178"/>
      <c r="W51" s="178"/>
      <c r="X51" s="178"/>
    </row>
    <row r="52" spans="2:24" s="299" customFormat="1" ht="13.5" thickBot="1" x14ac:dyDescent="0.25">
      <c r="R52" s="308">
        <v>121</v>
      </c>
      <c r="S52" s="308">
        <v>127</v>
      </c>
      <c r="T52" s="302">
        <v>324</v>
      </c>
      <c r="U52" s="300">
        <v>332</v>
      </c>
      <c r="V52" s="178"/>
      <c r="W52" s="178"/>
      <c r="X52" s="178"/>
    </row>
    <row r="53" spans="2:24" s="299" customFormat="1" ht="13.5" thickBot="1" x14ac:dyDescent="0.25">
      <c r="R53" s="308">
        <v>127</v>
      </c>
      <c r="S53" s="308">
        <v>133</v>
      </c>
      <c r="T53" s="300">
        <v>332</v>
      </c>
      <c r="U53" s="302">
        <v>340</v>
      </c>
      <c r="V53" s="178"/>
      <c r="W53" s="178"/>
      <c r="X53" s="178"/>
    </row>
    <row r="54" spans="2:24" s="299" customFormat="1" ht="13.5" thickBot="1" x14ac:dyDescent="0.25">
      <c r="R54" s="308">
        <v>133</v>
      </c>
      <c r="S54" s="308">
        <v>140</v>
      </c>
      <c r="T54" s="302">
        <v>340</v>
      </c>
      <c r="U54" s="300">
        <v>348</v>
      </c>
      <c r="V54" s="178"/>
      <c r="W54" s="178"/>
      <c r="X54" s="178"/>
    </row>
    <row r="55" spans="2:24" s="299" customFormat="1" ht="13.5" thickBot="1" x14ac:dyDescent="0.25">
      <c r="R55" s="308">
        <v>140</v>
      </c>
      <c r="S55" s="308">
        <v>147</v>
      </c>
      <c r="T55" s="300">
        <v>348</v>
      </c>
      <c r="U55" s="302">
        <v>357</v>
      </c>
      <c r="V55" s="178"/>
      <c r="W55" s="178"/>
      <c r="X55" s="178"/>
    </row>
    <row r="56" spans="2:24" s="299" customFormat="1" ht="13.5" thickBot="1" x14ac:dyDescent="0.25">
      <c r="R56" s="308">
        <v>147</v>
      </c>
      <c r="S56" s="308">
        <v>154</v>
      </c>
      <c r="T56" s="302">
        <v>357</v>
      </c>
      <c r="U56" s="300">
        <v>365</v>
      </c>
      <c r="V56" s="178"/>
      <c r="W56" s="178"/>
      <c r="X56" s="178"/>
    </row>
    <row r="57" spans="2:24" s="299" customFormat="1" ht="13.5" thickBot="1" x14ac:dyDescent="0.25">
      <c r="B57" s="527"/>
      <c r="C57" s="527"/>
      <c r="H57" s="527"/>
      <c r="I57" s="527"/>
      <c r="R57" s="308">
        <v>154</v>
      </c>
      <c r="S57" s="308">
        <v>162</v>
      </c>
      <c r="T57" s="300">
        <v>365</v>
      </c>
      <c r="U57" s="302">
        <v>374</v>
      </c>
      <c r="V57" s="178"/>
      <c r="W57" s="178"/>
      <c r="X57" s="178"/>
    </row>
    <row r="58" spans="2:24" s="299" customFormat="1" ht="13.5" thickBot="1" x14ac:dyDescent="0.25">
      <c r="R58" s="308">
        <v>162</v>
      </c>
      <c r="S58" s="308">
        <v>169</v>
      </c>
      <c r="T58" s="302">
        <v>374</v>
      </c>
      <c r="U58" s="300">
        <v>383</v>
      </c>
      <c r="V58" s="178"/>
      <c r="W58" s="178"/>
      <c r="X58" s="178"/>
    </row>
    <row r="59" spans="2:24" s="299" customFormat="1" ht="13.5" thickBot="1" x14ac:dyDescent="0.25">
      <c r="R59" s="308">
        <v>169</v>
      </c>
      <c r="S59" s="308">
        <v>178</v>
      </c>
      <c r="T59" s="300">
        <v>383</v>
      </c>
      <c r="U59" s="302">
        <v>392</v>
      </c>
      <c r="V59" s="178"/>
      <c r="W59" s="178"/>
      <c r="X59" s="178"/>
    </row>
    <row r="60" spans="2:24" s="299" customFormat="1" ht="13.5" thickBot="1" x14ac:dyDescent="0.25">
      <c r="R60" s="308">
        <v>178</v>
      </c>
      <c r="S60" s="308">
        <v>187</v>
      </c>
      <c r="T60" s="302">
        <v>392</v>
      </c>
      <c r="U60" s="300">
        <v>402</v>
      </c>
      <c r="V60" s="178"/>
      <c r="W60" s="178"/>
      <c r="X60" s="178"/>
    </row>
    <row r="61" spans="2:24" s="299" customFormat="1" ht="13.5" thickBot="1" x14ac:dyDescent="0.25">
      <c r="R61" s="308">
        <v>187</v>
      </c>
      <c r="S61" s="308">
        <v>196</v>
      </c>
      <c r="T61" s="300">
        <v>402</v>
      </c>
      <c r="U61" s="302">
        <v>412</v>
      </c>
      <c r="V61" s="178"/>
      <c r="W61" s="178"/>
      <c r="X61" s="178"/>
    </row>
    <row r="62" spans="2:24" s="299" customFormat="1" ht="13.5" thickBot="1" x14ac:dyDescent="0.25">
      <c r="R62" s="308">
        <v>196</v>
      </c>
      <c r="S62" s="308">
        <v>205</v>
      </c>
      <c r="T62" s="302">
        <v>412</v>
      </c>
      <c r="U62" s="300">
        <v>422</v>
      </c>
      <c r="V62" s="178"/>
      <c r="W62" s="178"/>
      <c r="X62" s="178"/>
    </row>
    <row r="63" spans="2:24" s="299" customFormat="1" ht="13.5" thickBot="1" x14ac:dyDescent="0.25">
      <c r="R63" s="308">
        <v>205</v>
      </c>
      <c r="S63" s="308">
        <v>215</v>
      </c>
      <c r="T63" s="300">
        <v>422</v>
      </c>
      <c r="U63" s="302">
        <v>432</v>
      </c>
      <c r="V63" s="178"/>
      <c r="W63" s="178"/>
      <c r="X63" s="178"/>
    </row>
    <row r="64" spans="2:24" s="299" customFormat="1" ht="13.5" thickBot="1" x14ac:dyDescent="0.25">
      <c r="R64" s="308">
        <v>215</v>
      </c>
      <c r="S64" s="308">
        <v>226</v>
      </c>
      <c r="T64" s="302">
        <v>432</v>
      </c>
      <c r="U64" s="300">
        <v>442</v>
      </c>
      <c r="V64" s="178"/>
      <c r="W64" s="178"/>
      <c r="X64" s="178"/>
    </row>
    <row r="65" spans="18:24" s="299" customFormat="1" ht="13.5" thickBot="1" x14ac:dyDescent="0.25">
      <c r="R65" s="308">
        <v>226</v>
      </c>
      <c r="S65" s="308">
        <v>237</v>
      </c>
      <c r="T65" s="300">
        <v>442</v>
      </c>
      <c r="U65" s="302">
        <v>453</v>
      </c>
      <c r="V65" s="178"/>
      <c r="W65" s="178"/>
      <c r="X65" s="178"/>
    </row>
    <row r="66" spans="18:24" s="299" customFormat="1" ht="13.5" thickBot="1" x14ac:dyDescent="0.25">
      <c r="R66" s="308">
        <v>237</v>
      </c>
      <c r="S66" s="308">
        <v>249</v>
      </c>
      <c r="T66" s="302">
        <v>453</v>
      </c>
      <c r="U66" s="300">
        <v>464</v>
      </c>
      <c r="V66" s="178"/>
      <c r="W66" s="178"/>
      <c r="X66" s="178"/>
    </row>
    <row r="67" spans="18:24" s="299" customFormat="1" ht="13.5" thickBot="1" x14ac:dyDescent="0.25">
      <c r="R67" s="308">
        <v>249</v>
      </c>
      <c r="S67" s="308">
        <v>261</v>
      </c>
      <c r="T67" s="300">
        <v>464</v>
      </c>
      <c r="U67" s="302">
        <v>475</v>
      </c>
      <c r="V67" s="178"/>
      <c r="W67" s="178"/>
      <c r="X67" s="178"/>
    </row>
    <row r="68" spans="18:24" s="299" customFormat="1" ht="13.5" thickBot="1" x14ac:dyDescent="0.25">
      <c r="R68" s="308">
        <v>261</v>
      </c>
      <c r="S68" s="308">
        <v>274</v>
      </c>
      <c r="T68" s="302">
        <v>475</v>
      </c>
      <c r="U68" s="300">
        <v>487</v>
      </c>
      <c r="V68" s="178"/>
      <c r="W68" s="178"/>
      <c r="X68" s="178"/>
    </row>
    <row r="69" spans="18:24" s="299" customFormat="1" ht="13.5" thickBot="1" x14ac:dyDescent="0.25">
      <c r="R69" s="308">
        <v>274</v>
      </c>
      <c r="S69" s="308">
        <v>287</v>
      </c>
      <c r="T69" s="300">
        <v>487</v>
      </c>
      <c r="U69" s="302">
        <v>499</v>
      </c>
      <c r="V69" s="178"/>
      <c r="W69" s="178"/>
      <c r="X69" s="178"/>
    </row>
    <row r="70" spans="18:24" s="299" customFormat="1" ht="13.5" thickBot="1" x14ac:dyDescent="0.25">
      <c r="R70" s="308">
        <v>287</v>
      </c>
      <c r="S70" s="308">
        <v>301</v>
      </c>
      <c r="T70" s="302">
        <v>499</v>
      </c>
      <c r="U70" s="300">
        <v>511</v>
      </c>
      <c r="V70" s="178"/>
      <c r="W70" s="178"/>
      <c r="X70" s="178"/>
    </row>
    <row r="71" spans="18:24" s="299" customFormat="1" ht="13.5" thickBot="1" x14ac:dyDescent="0.25">
      <c r="R71" s="308">
        <v>301</v>
      </c>
      <c r="S71" s="308">
        <v>316</v>
      </c>
      <c r="T71" s="300">
        <v>511</v>
      </c>
      <c r="U71" s="302">
        <v>523</v>
      </c>
      <c r="V71" s="178"/>
      <c r="W71" s="178"/>
      <c r="X71" s="178"/>
    </row>
    <row r="72" spans="18:24" s="299" customFormat="1" ht="13.5" thickBot="1" x14ac:dyDescent="0.25">
      <c r="R72" s="308">
        <v>316</v>
      </c>
      <c r="S72" s="308">
        <v>332</v>
      </c>
      <c r="T72" s="302">
        <v>523</v>
      </c>
      <c r="U72" s="300">
        <v>536</v>
      </c>
      <c r="V72" s="178"/>
      <c r="W72" s="178"/>
      <c r="X72" s="178"/>
    </row>
    <row r="73" spans="18:24" s="299" customFormat="1" ht="13.5" thickBot="1" x14ac:dyDescent="0.25">
      <c r="R73" s="308">
        <v>332</v>
      </c>
      <c r="S73" s="308">
        <v>348</v>
      </c>
      <c r="T73" s="300">
        <v>536</v>
      </c>
      <c r="U73" s="302">
        <v>549</v>
      </c>
      <c r="V73" s="178"/>
      <c r="W73" s="178"/>
      <c r="X73" s="178"/>
    </row>
    <row r="74" spans="18:24" s="299" customFormat="1" ht="13.5" thickBot="1" x14ac:dyDescent="0.25">
      <c r="R74" s="308">
        <v>348</v>
      </c>
      <c r="S74" s="308">
        <v>365</v>
      </c>
      <c r="T74" s="302">
        <v>549</v>
      </c>
      <c r="U74" s="300">
        <v>562</v>
      </c>
      <c r="V74" s="178"/>
      <c r="W74" s="178"/>
      <c r="X74" s="178"/>
    </row>
    <row r="75" spans="18:24" s="299" customFormat="1" ht="13.5" thickBot="1" x14ac:dyDescent="0.25">
      <c r="R75" s="308">
        <v>365</v>
      </c>
      <c r="S75" s="308">
        <v>383</v>
      </c>
      <c r="T75" s="300">
        <v>562</v>
      </c>
      <c r="U75" s="302">
        <v>576</v>
      </c>
      <c r="V75" s="178"/>
      <c r="W75" s="178"/>
      <c r="X75" s="178"/>
    </row>
    <row r="76" spans="18:24" s="299" customFormat="1" ht="13.5" thickBot="1" x14ac:dyDescent="0.25">
      <c r="R76" s="308">
        <v>383</v>
      </c>
      <c r="S76" s="308">
        <v>402</v>
      </c>
      <c r="T76" s="302">
        <v>576</v>
      </c>
      <c r="U76" s="300">
        <v>590</v>
      </c>
      <c r="V76" s="178"/>
      <c r="W76" s="178"/>
      <c r="X76" s="178"/>
    </row>
    <row r="77" spans="18:24" s="299" customFormat="1" ht="13.5" thickBot="1" x14ac:dyDescent="0.25">
      <c r="R77" s="308">
        <v>402</v>
      </c>
      <c r="S77" s="308">
        <v>422</v>
      </c>
      <c r="T77" s="300">
        <v>590</v>
      </c>
      <c r="U77" s="302">
        <v>604</v>
      </c>
      <c r="V77" s="309"/>
      <c r="W77" s="309"/>
      <c r="X77" s="309"/>
    </row>
    <row r="78" spans="18:24" s="299" customFormat="1" ht="13.5" thickBot="1" x14ac:dyDescent="0.25">
      <c r="R78" s="308">
        <v>422</v>
      </c>
      <c r="S78" s="308">
        <v>442</v>
      </c>
      <c r="T78" s="302">
        <v>604</v>
      </c>
      <c r="U78" s="300">
        <v>619</v>
      </c>
      <c r="V78" s="309"/>
      <c r="W78" s="309"/>
      <c r="X78" s="309"/>
    </row>
    <row r="79" spans="18:24" s="299" customFormat="1" ht="13.5" thickBot="1" x14ac:dyDescent="0.25">
      <c r="R79" s="308">
        <v>442</v>
      </c>
      <c r="S79" s="308">
        <v>464</v>
      </c>
      <c r="T79" s="300">
        <v>619</v>
      </c>
      <c r="U79" s="302">
        <v>634</v>
      </c>
      <c r="V79" s="309"/>
      <c r="W79" s="309"/>
      <c r="X79" s="309"/>
    </row>
    <row r="80" spans="18:24" s="299" customFormat="1" ht="13.5" thickBot="1" x14ac:dyDescent="0.25">
      <c r="R80" s="308">
        <v>464</v>
      </c>
      <c r="S80" s="308">
        <v>487</v>
      </c>
      <c r="T80" s="302">
        <v>634</v>
      </c>
      <c r="U80" s="300">
        <v>649</v>
      </c>
      <c r="V80" s="309"/>
      <c r="W80" s="309"/>
      <c r="X80" s="309"/>
    </row>
    <row r="81" spans="18:24" s="299" customFormat="1" ht="13.5" thickBot="1" x14ac:dyDescent="0.25">
      <c r="R81" s="308">
        <v>487</v>
      </c>
      <c r="S81" s="308">
        <v>511</v>
      </c>
      <c r="T81" s="300">
        <v>649</v>
      </c>
      <c r="U81" s="302">
        <v>665</v>
      </c>
      <c r="V81" s="309"/>
      <c r="W81" s="309"/>
      <c r="X81" s="309"/>
    </row>
    <row r="82" spans="18:24" s="299" customFormat="1" ht="13.5" thickBot="1" x14ac:dyDescent="0.25">
      <c r="R82" s="308">
        <v>511</v>
      </c>
      <c r="S82" s="308">
        <v>536</v>
      </c>
      <c r="T82" s="302">
        <v>665</v>
      </c>
      <c r="U82" s="300">
        <v>681</v>
      </c>
      <c r="V82" s="309"/>
      <c r="W82" s="309"/>
      <c r="X82" s="309"/>
    </row>
    <row r="83" spans="18:24" s="299" customFormat="1" ht="13.5" thickBot="1" x14ac:dyDescent="0.25">
      <c r="R83" s="308">
        <v>536</v>
      </c>
      <c r="S83" s="308">
        <v>562</v>
      </c>
      <c r="T83" s="300">
        <v>681</v>
      </c>
      <c r="U83" s="302">
        <v>698</v>
      </c>
      <c r="V83" s="309"/>
      <c r="W83" s="309"/>
      <c r="X83" s="309"/>
    </row>
    <row r="84" spans="18:24" s="299" customFormat="1" ht="13.5" thickBot="1" x14ac:dyDescent="0.25">
      <c r="R84" s="308">
        <v>562</v>
      </c>
      <c r="S84" s="308">
        <v>590</v>
      </c>
      <c r="T84" s="302">
        <v>698</v>
      </c>
      <c r="U84" s="300">
        <v>715</v>
      </c>
      <c r="V84" s="309"/>
      <c r="W84" s="309"/>
      <c r="X84" s="309"/>
    </row>
    <row r="85" spans="18:24" s="299" customFormat="1" ht="13.5" thickBot="1" x14ac:dyDescent="0.25">
      <c r="R85" s="308">
        <v>590</v>
      </c>
      <c r="S85" s="308">
        <v>619</v>
      </c>
      <c r="T85" s="300">
        <v>715</v>
      </c>
      <c r="U85" s="302">
        <v>732</v>
      </c>
      <c r="V85" s="309"/>
      <c r="W85" s="309"/>
      <c r="X85" s="309"/>
    </row>
    <row r="86" spans="18:24" s="299" customFormat="1" ht="13.5" thickBot="1" x14ac:dyDescent="0.25">
      <c r="R86" s="308">
        <v>619</v>
      </c>
      <c r="S86" s="308">
        <v>649</v>
      </c>
      <c r="T86" s="302">
        <v>732</v>
      </c>
      <c r="U86" s="300">
        <v>750</v>
      </c>
      <c r="V86" s="309"/>
      <c r="W86" s="309"/>
      <c r="X86" s="309"/>
    </row>
    <row r="87" spans="18:24" s="299" customFormat="1" ht="13.5" thickBot="1" x14ac:dyDescent="0.25">
      <c r="R87" s="308">
        <v>649</v>
      </c>
      <c r="S87" s="308">
        <v>681</v>
      </c>
      <c r="T87" s="300">
        <v>750</v>
      </c>
      <c r="U87" s="302">
        <v>768</v>
      </c>
      <c r="V87" s="309"/>
      <c r="W87" s="309"/>
      <c r="X87" s="309"/>
    </row>
    <row r="88" spans="18:24" s="299" customFormat="1" ht="13.5" thickBot="1" x14ac:dyDescent="0.25">
      <c r="R88" s="308">
        <v>681</v>
      </c>
      <c r="S88" s="308">
        <v>715</v>
      </c>
      <c r="T88" s="302">
        <v>768</v>
      </c>
      <c r="U88" s="300">
        <v>787</v>
      </c>
      <c r="V88" s="309"/>
      <c r="W88" s="309"/>
      <c r="X88" s="309"/>
    </row>
    <row r="89" spans="18:24" s="299" customFormat="1" ht="13.5" thickBot="1" x14ac:dyDescent="0.25">
      <c r="R89" s="308">
        <v>715</v>
      </c>
      <c r="S89" s="308">
        <v>750</v>
      </c>
      <c r="T89" s="300">
        <v>787</v>
      </c>
      <c r="U89" s="302">
        <v>806</v>
      </c>
      <c r="V89" s="309"/>
      <c r="W89" s="309"/>
      <c r="X89" s="309"/>
    </row>
    <row r="90" spans="18:24" s="299" customFormat="1" ht="13.5" thickBot="1" x14ac:dyDescent="0.25">
      <c r="R90" s="308">
        <v>750</v>
      </c>
      <c r="S90" s="308">
        <v>787</v>
      </c>
      <c r="T90" s="302">
        <v>806</v>
      </c>
      <c r="U90" s="300">
        <v>825</v>
      </c>
      <c r="V90" s="309"/>
      <c r="W90" s="309"/>
      <c r="X90" s="309"/>
    </row>
    <row r="91" spans="18:24" s="299" customFormat="1" ht="13.5" thickBot="1" x14ac:dyDescent="0.25">
      <c r="R91" s="308">
        <v>787</v>
      </c>
      <c r="S91" s="308">
        <v>825</v>
      </c>
      <c r="T91" s="300">
        <v>825</v>
      </c>
      <c r="U91" s="302">
        <v>845</v>
      </c>
      <c r="V91" s="309"/>
      <c r="W91" s="309"/>
      <c r="X91" s="309"/>
    </row>
    <row r="92" spans="18:24" s="299" customFormat="1" ht="13.5" thickBot="1" x14ac:dyDescent="0.25">
      <c r="R92" s="308">
        <v>825</v>
      </c>
      <c r="S92" s="308">
        <v>866</v>
      </c>
      <c r="T92" s="302">
        <v>845</v>
      </c>
      <c r="U92" s="300">
        <v>866</v>
      </c>
      <c r="V92" s="309"/>
      <c r="W92" s="309"/>
      <c r="X92" s="309"/>
    </row>
    <row r="93" spans="18:24" s="299" customFormat="1" ht="13.5" thickBot="1" x14ac:dyDescent="0.25">
      <c r="R93" s="308">
        <v>866</v>
      </c>
      <c r="S93" s="308">
        <v>909</v>
      </c>
      <c r="T93" s="300">
        <v>866</v>
      </c>
      <c r="U93" s="302">
        <v>887</v>
      </c>
      <c r="V93" s="309"/>
      <c r="W93" s="309"/>
      <c r="X93" s="309"/>
    </row>
    <row r="94" spans="18:24" s="299" customFormat="1" ht="13.5" thickBot="1" x14ac:dyDescent="0.25">
      <c r="R94" s="308">
        <v>909</v>
      </c>
      <c r="S94" s="308">
        <v>953</v>
      </c>
      <c r="T94" s="302">
        <v>887</v>
      </c>
      <c r="U94" s="300">
        <v>909</v>
      </c>
      <c r="V94" s="309"/>
      <c r="W94" s="309"/>
      <c r="X94" s="309"/>
    </row>
    <row r="95" spans="18:24" s="299" customFormat="1" ht="13.5" thickBot="1" x14ac:dyDescent="0.25">
      <c r="R95" s="308">
        <v>953</v>
      </c>
      <c r="S95" s="308">
        <v>1000</v>
      </c>
      <c r="T95" s="300">
        <v>909</v>
      </c>
      <c r="U95" s="302">
        <v>931</v>
      </c>
      <c r="V95" s="309"/>
      <c r="W95" s="309"/>
      <c r="X95" s="309"/>
    </row>
    <row r="96" spans="18:24" s="299" customFormat="1" ht="13.5" thickBot="1" x14ac:dyDescent="0.25">
      <c r="R96" s="310"/>
      <c r="S96" s="311"/>
      <c r="T96" s="302">
        <v>931</v>
      </c>
      <c r="U96" s="300">
        <v>953</v>
      </c>
      <c r="V96" s="309"/>
      <c r="W96" s="309"/>
      <c r="X96" s="309"/>
    </row>
    <row r="97" spans="18:24" s="299" customFormat="1" ht="13.5" thickBot="1" x14ac:dyDescent="0.25">
      <c r="R97" s="310"/>
      <c r="S97" s="311"/>
      <c r="T97" s="300">
        <v>953</v>
      </c>
      <c r="U97" s="302">
        <v>976</v>
      </c>
      <c r="V97" s="309"/>
      <c r="W97" s="309"/>
      <c r="X97" s="309"/>
    </row>
    <row r="98" spans="18:24" s="299" customFormat="1" ht="13.5" thickBot="1" x14ac:dyDescent="0.25">
      <c r="R98" s="310"/>
      <c r="S98" s="311"/>
      <c r="T98" s="302">
        <v>976</v>
      </c>
      <c r="U98" s="302">
        <v>1000</v>
      </c>
      <c r="V98" s="309"/>
      <c r="W98" s="309"/>
      <c r="X98" s="309"/>
    </row>
    <row r="99" spans="18:24" s="299" customFormat="1" ht="12.75" x14ac:dyDescent="0.2">
      <c r="R99" s="309"/>
      <c r="S99" s="309"/>
      <c r="T99" s="309"/>
      <c r="U99" s="309"/>
      <c r="V99" s="309"/>
      <c r="W99" s="309"/>
      <c r="X99" s="309"/>
    </row>
    <row r="100" spans="18:24" s="299" customFormat="1" ht="12.75" x14ac:dyDescent="0.2">
      <c r="R100" s="309"/>
      <c r="S100" s="309"/>
      <c r="T100" s="309"/>
      <c r="U100" s="309"/>
      <c r="V100" s="309"/>
      <c r="W100" s="309"/>
      <c r="X100" s="309"/>
    </row>
    <row r="101" spans="18:24" s="299" customFormat="1" ht="12.75" x14ac:dyDescent="0.2">
      <c r="R101" s="309"/>
      <c r="S101" s="309"/>
      <c r="T101" s="309"/>
      <c r="U101" s="309"/>
      <c r="V101" s="309"/>
      <c r="W101" s="309"/>
      <c r="X101" s="309"/>
    </row>
    <row r="102" spans="18:24" s="299" customFormat="1" ht="12.75" x14ac:dyDescent="0.2">
      <c r="R102" s="309"/>
      <c r="S102" s="309"/>
      <c r="T102" s="309"/>
      <c r="U102" s="309"/>
      <c r="V102" s="309"/>
      <c r="W102" s="309"/>
      <c r="X102" s="309"/>
    </row>
    <row r="103" spans="18:24" s="299" customFormat="1" ht="12.75" x14ac:dyDescent="0.2">
      <c r="R103" s="309"/>
      <c r="S103" s="309"/>
      <c r="T103" s="309"/>
      <c r="U103" s="309"/>
      <c r="V103" s="309"/>
      <c r="W103" s="309"/>
      <c r="X103" s="309"/>
    </row>
    <row r="104" spans="18:24" s="299" customFormat="1" ht="12.75" x14ac:dyDescent="0.2">
      <c r="R104" s="309"/>
      <c r="S104" s="309"/>
      <c r="T104" s="309"/>
      <c r="U104" s="309"/>
      <c r="V104" s="309"/>
      <c r="W104" s="309"/>
      <c r="X104" s="309"/>
    </row>
    <row r="105" spans="18:24" s="299" customFormat="1" ht="12.75" x14ac:dyDescent="0.2">
      <c r="R105" s="309"/>
      <c r="S105" s="309"/>
      <c r="T105" s="309"/>
      <c r="U105" s="309"/>
      <c r="V105" s="309"/>
      <c r="W105" s="309"/>
      <c r="X105" s="309"/>
    </row>
    <row r="106" spans="18:24" s="299" customFormat="1" ht="12.75" x14ac:dyDescent="0.2">
      <c r="R106" s="309"/>
      <c r="S106" s="309"/>
      <c r="T106" s="309"/>
      <c r="U106" s="309"/>
      <c r="V106" s="309"/>
      <c r="W106" s="309"/>
      <c r="X106" s="309"/>
    </row>
    <row r="107" spans="18:24" s="299" customFormat="1" ht="12.75" x14ac:dyDescent="0.2">
      <c r="R107" s="309"/>
      <c r="S107" s="309"/>
      <c r="T107" s="309"/>
      <c r="U107" s="309"/>
      <c r="V107" s="309"/>
      <c r="W107" s="309"/>
      <c r="X107" s="309"/>
    </row>
    <row r="108" spans="18:24" s="299" customFormat="1" ht="12.75" x14ac:dyDescent="0.2">
      <c r="R108" s="309"/>
      <c r="S108" s="309"/>
      <c r="T108" s="309"/>
      <c r="U108" s="309"/>
      <c r="V108" s="309"/>
      <c r="W108" s="309"/>
      <c r="X108" s="309"/>
    </row>
    <row r="109" spans="18:24" s="299" customFormat="1" ht="12.75" x14ac:dyDescent="0.2">
      <c r="R109" s="309"/>
      <c r="S109" s="309"/>
      <c r="T109" s="309"/>
      <c r="U109" s="309"/>
      <c r="V109" s="309"/>
      <c r="W109" s="309"/>
      <c r="X109" s="309"/>
    </row>
    <row r="110" spans="18:24" s="299" customFormat="1" ht="12.75" x14ac:dyDescent="0.2">
      <c r="R110" s="309"/>
      <c r="S110" s="309"/>
      <c r="T110" s="309"/>
      <c r="U110" s="309"/>
      <c r="V110" s="309"/>
      <c r="W110" s="309"/>
      <c r="X110" s="309"/>
    </row>
    <row r="111" spans="18:24" s="299" customFormat="1" ht="12.75" x14ac:dyDescent="0.2">
      <c r="R111" s="309"/>
      <c r="S111" s="309"/>
      <c r="T111" s="309"/>
      <c r="U111" s="309"/>
      <c r="V111" s="309"/>
      <c r="W111" s="309"/>
      <c r="X111" s="309"/>
    </row>
    <row r="112" spans="18:24" s="299" customFormat="1" ht="12.75" x14ac:dyDescent="0.2">
      <c r="R112" s="309"/>
      <c r="S112" s="309"/>
      <c r="T112" s="309"/>
      <c r="U112" s="309"/>
      <c r="V112" s="309"/>
      <c r="W112" s="309"/>
      <c r="X112" s="309"/>
    </row>
    <row r="113" spans="18:24" s="299" customFormat="1" ht="12.75" x14ac:dyDescent="0.2">
      <c r="R113" s="309"/>
      <c r="S113" s="309"/>
      <c r="T113" s="309"/>
      <c r="U113" s="309"/>
      <c r="V113" s="309"/>
      <c r="W113" s="309"/>
      <c r="X113" s="309"/>
    </row>
    <row r="114" spans="18:24" s="299" customFormat="1" ht="12.75" x14ac:dyDescent="0.2">
      <c r="R114" s="309"/>
      <c r="S114" s="309"/>
      <c r="T114" s="309"/>
      <c r="U114" s="309"/>
      <c r="V114" s="309"/>
      <c r="W114" s="309"/>
      <c r="X114" s="309"/>
    </row>
    <row r="115" spans="18:24" s="299" customFormat="1" ht="12.75" x14ac:dyDescent="0.2">
      <c r="R115" s="309"/>
      <c r="S115" s="309"/>
      <c r="T115" s="309"/>
      <c r="U115" s="309"/>
      <c r="V115" s="309"/>
      <c r="W115" s="309"/>
      <c r="X115" s="309"/>
    </row>
    <row r="116" spans="18:24" s="299" customFormat="1" ht="12.75" x14ac:dyDescent="0.2">
      <c r="R116" s="309"/>
      <c r="S116" s="309"/>
      <c r="T116" s="309"/>
      <c r="U116" s="309"/>
      <c r="V116" s="309"/>
      <c r="W116" s="309"/>
      <c r="X116" s="309"/>
    </row>
    <row r="117" spans="18:24" s="299" customFormat="1" ht="12.75" x14ac:dyDescent="0.2">
      <c r="R117" s="309"/>
      <c r="S117" s="309"/>
      <c r="T117" s="309"/>
      <c r="U117" s="309"/>
      <c r="V117" s="309"/>
      <c r="W117" s="309"/>
      <c r="X117" s="309"/>
    </row>
    <row r="118" spans="18:24" s="299" customFormat="1" ht="12.75" x14ac:dyDescent="0.2">
      <c r="R118" s="309"/>
      <c r="S118" s="309"/>
      <c r="T118" s="309"/>
      <c r="U118" s="309"/>
      <c r="V118" s="309"/>
      <c r="W118" s="309"/>
      <c r="X118" s="309"/>
    </row>
    <row r="119" spans="18:24" s="299" customFormat="1" ht="12.75" x14ac:dyDescent="0.2">
      <c r="R119" s="309"/>
      <c r="S119" s="309"/>
      <c r="T119" s="309"/>
      <c r="U119" s="309"/>
      <c r="V119" s="309"/>
      <c r="W119" s="309"/>
      <c r="X119" s="309"/>
    </row>
    <row r="120" spans="18:24" s="299" customFormat="1" ht="12.75" x14ac:dyDescent="0.2">
      <c r="R120" s="309"/>
      <c r="S120" s="309"/>
      <c r="T120" s="309"/>
      <c r="U120" s="309"/>
      <c r="V120" s="309"/>
      <c r="W120" s="309"/>
      <c r="X120" s="309"/>
    </row>
    <row r="121" spans="18:24" s="299" customFormat="1" ht="12.75" x14ac:dyDescent="0.2">
      <c r="R121" s="309"/>
      <c r="S121" s="309"/>
      <c r="T121" s="309"/>
      <c r="U121" s="309"/>
      <c r="V121" s="309"/>
      <c r="W121" s="309"/>
      <c r="X121" s="309"/>
    </row>
    <row r="122" spans="18:24" s="299" customFormat="1" ht="12.75" x14ac:dyDescent="0.2">
      <c r="R122" s="309"/>
      <c r="S122" s="309"/>
      <c r="T122" s="309"/>
      <c r="U122" s="309"/>
      <c r="V122" s="309"/>
      <c r="W122" s="309"/>
      <c r="X122" s="309"/>
    </row>
    <row r="123" spans="18:24" s="299" customFormat="1" ht="12.75" x14ac:dyDescent="0.2">
      <c r="R123" s="309"/>
      <c r="S123" s="309"/>
      <c r="T123" s="309"/>
      <c r="U123" s="309"/>
      <c r="V123" s="309"/>
      <c r="W123" s="309"/>
      <c r="X123" s="309"/>
    </row>
    <row r="124" spans="18:24" s="299" customFormat="1" ht="12.75" x14ac:dyDescent="0.2">
      <c r="R124" s="309"/>
      <c r="S124" s="309"/>
      <c r="T124" s="309"/>
      <c r="U124" s="309"/>
      <c r="V124" s="309"/>
      <c r="W124" s="309"/>
      <c r="X124" s="309"/>
    </row>
    <row r="125" spans="18:24" s="299" customFormat="1" ht="12.75" x14ac:dyDescent="0.2">
      <c r="R125" s="309"/>
      <c r="S125" s="309"/>
      <c r="T125" s="309"/>
      <c r="U125" s="309"/>
      <c r="V125" s="309"/>
      <c r="W125" s="309"/>
      <c r="X125" s="309"/>
    </row>
    <row r="126" spans="18:24" s="299" customFormat="1" ht="12.75" x14ac:dyDescent="0.2">
      <c r="R126" s="309"/>
      <c r="S126" s="309"/>
      <c r="T126" s="309"/>
      <c r="U126" s="309"/>
      <c r="V126" s="309"/>
      <c r="W126" s="309"/>
      <c r="X126" s="309"/>
    </row>
    <row r="127" spans="18:24" s="299" customFormat="1" ht="12.75" x14ac:dyDescent="0.2">
      <c r="R127" s="309"/>
      <c r="S127" s="309"/>
      <c r="T127" s="309"/>
      <c r="U127" s="309"/>
      <c r="V127" s="309"/>
      <c r="W127" s="309"/>
      <c r="X127" s="309"/>
    </row>
    <row r="128" spans="18:24" s="299" customFormat="1" ht="12.75" x14ac:dyDescent="0.2">
      <c r="R128" s="309"/>
      <c r="S128" s="309"/>
      <c r="T128" s="309"/>
      <c r="U128" s="309"/>
      <c r="V128" s="309"/>
      <c r="W128" s="309"/>
      <c r="X128" s="309"/>
    </row>
    <row r="129" spans="18:24" s="299" customFormat="1" ht="12.75" x14ac:dyDescent="0.2">
      <c r="R129" s="309"/>
      <c r="S129" s="309"/>
      <c r="T129" s="309"/>
      <c r="U129" s="309"/>
      <c r="V129" s="309"/>
      <c r="W129" s="309"/>
      <c r="X129" s="309"/>
    </row>
    <row r="130" spans="18:24" s="299" customFormat="1" ht="12.75" x14ac:dyDescent="0.2">
      <c r="R130" s="309"/>
      <c r="S130" s="309"/>
      <c r="T130" s="309"/>
      <c r="U130" s="309"/>
      <c r="V130" s="309"/>
      <c r="W130" s="309"/>
      <c r="X130" s="309"/>
    </row>
    <row r="131" spans="18:24" s="299" customFormat="1" ht="12.75" x14ac:dyDescent="0.2">
      <c r="R131" s="309"/>
      <c r="S131" s="309"/>
      <c r="T131" s="309"/>
      <c r="U131" s="309"/>
      <c r="V131" s="309"/>
      <c r="W131" s="309"/>
      <c r="X131" s="309"/>
    </row>
    <row r="132" spans="18:24" s="299" customFormat="1" ht="12.75" x14ac:dyDescent="0.2">
      <c r="R132" s="309"/>
      <c r="S132" s="309"/>
      <c r="T132" s="309"/>
      <c r="U132" s="309"/>
      <c r="V132" s="309"/>
      <c r="W132" s="309"/>
      <c r="X132" s="309"/>
    </row>
    <row r="133" spans="18:24" s="299" customFormat="1" ht="12.75" x14ac:dyDescent="0.2">
      <c r="R133" s="309"/>
      <c r="S133" s="309"/>
      <c r="T133" s="309"/>
      <c r="U133" s="309"/>
      <c r="V133" s="309"/>
      <c r="W133" s="309"/>
      <c r="X133" s="309"/>
    </row>
    <row r="134" spans="18:24" s="299" customFormat="1" ht="12.75" x14ac:dyDescent="0.2">
      <c r="R134" s="309"/>
      <c r="S134" s="309"/>
      <c r="T134" s="309"/>
      <c r="U134" s="309"/>
      <c r="V134" s="309"/>
      <c r="W134" s="309"/>
      <c r="X134" s="309"/>
    </row>
    <row r="135" spans="18:24" s="299" customFormat="1" ht="12.75" x14ac:dyDescent="0.2">
      <c r="R135" s="309"/>
      <c r="S135" s="309"/>
      <c r="T135" s="309"/>
      <c r="U135" s="309"/>
      <c r="V135" s="309"/>
      <c r="W135" s="309"/>
      <c r="X135" s="309"/>
    </row>
    <row r="136" spans="18:24" s="299" customFormat="1" ht="12.75" x14ac:dyDescent="0.2">
      <c r="R136" s="309"/>
      <c r="S136" s="309"/>
      <c r="T136" s="309"/>
      <c r="U136" s="309"/>
      <c r="V136" s="309"/>
      <c r="W136" s="309"/>
      <c r="X136" s="309"/>
    </row>
    <row r="137" spans="18:24" s="299" customFormat="1" ht="12.75" x14ac:dyDescent="0.2">
      <c r="R137" s="309"/>
      <c r="S137" s="309"/>
      <c r="T137" s="309"/>
      <c r="U137" s="309"/>
      <c r="V137" s="309"/>
      <c r="W137" s="309"/>
      <c r="X137" s="309"/>
    </row>
    <row r="138" spans="18:24" s="299" customFormat="1" ht="12.75" x14ac:dyDescent="0.2">
      <c r="R138" s="309"/>
      <c r="S138" s="309"/>
      <c r="T138" s="309"/>
      <c r="U138" s="309"/>
      <c r="V138" s="309"/>
      <c r="W138" s="309"/>
      <c r="X138" s="309"/>
    </row>
    <row r="139" spans="18:24" s="299" customFormat="1" ht="12.75" x14ac:dyDescent="0.2">
      <c r="R139" s="309"/>
      <c r="S139" s="309"/>
      <c r="T139" s="309"/>
      <c r="U139" s="309"/>
      <c r="V139" s="309"/>
      <c r="W139" s="309"/>
      <c r="X139" s="309"/>
    </row>
    <row r="140" spans="18:24" s="299" customFormat="1" ht="12.75" x14ac:dyDescent="0.2">
      <c r="R140" s="309"/>
      <c r="S140" s="309"/>
      <c r="T140" s="309"/>
      <c r="U140" s="309"/>
      <c r="V140" s="309"/>
      <c r="W140" s="309"/>
      <c r="X140" s="309"/>
    </row>
    <row r="141" spans="18:24" s="299" customFormat="1" ht="12.75" x14ac:dyDescent="0.2">
      <c r="R141" s="309"/>
      <c r="S141" s="309"/>
      <c r="T141" s="309"/>
      <c r="U141" s="309"/>
      <c r="V141" s="309"/>
      <c r="W141" s="309"/>
      <c r="X141" s="309"/>
    </row>
    <row r="142" spans="18:24" s="299" customFormat="1" ht="12.75" x14ac:dyDescent="0.2">
      <c r="R142" s="309"/>
      <c r="S142" s="309"/>
      <c r="T142" s="309"/>
      <c r="U142" s="309"/>
      <c r="V142" s="309"/>
      <c r="W142" s="309"/>
      <c r="X142" s="309"/>
    </row>
    <row r="143" spans="18:24" s="299" customFormat="1" ht="12.75" x14ac:dyDescent="0.2">
      <c r="R143" s="309"/>
      <c r="S143" s="309"/>
      <c r="T143" s="309"/>
      <c r="U143" s="309"/>
      <c r="V143" s="309"/>
      <c r="W143" s="309"/>
      <c r="X143" s="309"/>
    </row>
    <row r="144" spans="18:24" s="299" customFormat="1" ht="12.75" x14ac:dyDescent="0.2">
      <c r="R144" s="309"/>
      <c r="S144" s="309"/>
      <c r="T144" s="309"/>
      <c r="U144" s="309"/>
      <c r="V144" s="309"/>
      <c r="W144" s="309"/>
      <c r="X144" s="309"/>
    </row>
    <row r="145" spans="18:24" s="299" customFormat="1" ht="12.75" x14ac:dyDescent="0.2">
      <c r="R145" s="309"/>
      <c r="S145" s="309"/>
      <c r="T145" s="309"/>
      <c r="U145" s="309"/>
      <c r="V145" s="309"/>
      <c r="W145" s="309"/>
      <c r="X145" s="309"/>
    </row>
    <row r="146" spans="18:24" s="299" customFormat="1" ht="12.75" x14ac:dyDescent="0.2">
      <c r="R146" s="309"/>
      <c r="S146" s="309"/>
      <c r="T146" s="309"/>
      <c r="U146" s="309"/>
      <c r="V146" s="309"/>
      <c r="W146" s="309"/>
      <c r="X146" s="309"/>
    </row>
    <row r="147" spans="18:24" s="299" customFormat="1" ht="12.75" x14ac:dyDescent="0.2">
      <c r="R147" s="309"/>
      <c r="S147" s="309"/>
      <c r="T147" s="309"/>
      <c r="U147" s="309"/>
      <c r="V147" s="309"/>
      <c r="W147" s="309"/>
      <c r="X147" s="309"/>
    </row>
    <row r="148" spans="18:24" s="299" customFormat="1" ht="12.75" x14ac:dyDescent="0.2">
      <c r="R148" s="309"/>
      <c r="S148" s="309"/>
      <c r="T148" s="309"/>
      <c r="U148" s="309"/>
      <c r="V148" s="309"/>
      <c r="W148" s="309"/>
      <c r="X148" s="309"/>
    </row>
    <row r="149" spans="18:24" s="299" customFormat="1" ht="12.75" x14ac:dyDescent="0.2">
      <c r="R149" s="309"/>
      <c r="S149" s="309"/>
      <c r="T149" s="309"/>
      <c r="U149" s="309"/>
      <c r="V149" s="309"/>
      <c r="W149" s="309"/>
      <c r="X149" s="309"/>
    </row>
    <row r="150" spans="18:24" s="299" customFormat="1" ht="12.75" x14ac:dyDescent="0.2">
      <c r="R150" s="309"/>
      <c r="S150" s="309"/>
      <c r="T150" s="309"/>
      <c r="U150" s="309"/>
      <c r="V150" s="309"/>
      <c r="W150" s="309"/>
      <c r="X150" s="309"/>
    </row>
    <row r="151" spans="18:24" s="299" customFormat="1" ht="12.75" x14ac:dyDescent="0.2">
      <c r="R151" s="309"/>
      <c r="S151" s="309"/>
      <c r="T151" s="309"/>
      <c r="U151" s="309"/>
      <c r="V151" s="309"/>
      <c r="W151" s="309"/>
      <c r="X151" s="309"/>
    </row>
    <row r="152" spans="18:24" s="299" customFormat="1" ht="12.75" x14ac:dyDescent="0.2">
      <c r="R152" s="309"/>
      <c r="S152" s="309"/>
      <c r="T152" s="309"/>
      <c r="U152" s="309"/>
      <c r="V152" s="309"/>
      <c r="W152" s="309"/>
      <c r="X152" s="309"/>
    </row>
    <row r="153" spans="18:24" s="299" customFormat="1" ht="12.75" x14ac:dyDescent="0.2">
      <c r="R153" s="309"/>
      <c r="S153" s="309"/>
      <c r="T153" s="309"/>
      <c r="U153" s="309"/>
      <c r="V153" s="309"/>
      <c r="W153" s="309"/>
      <c r="X153" s="309"/>
    </row>
    <row r="154" spans="18:24" s="299" customFormat="1" ht="12.75" x14ac:dyDescent="0.2">
      <c r="R154" s="309"/>
      <c r="S154" s="309"/>
      <c r="T154" s="309"/>
      <c r="U154" s="309"/>
      <c r="V154" s="309"/>
      <c r="W154" s="309"/>
      <c r="X154" s="309"/>
    </row>
    <row r="155" spans="18:24" s="299" customFormat="1" ht="12.75" x14ac:dyDescent="0.2">
      <c r="R155" s="309"/>
      <c r="S155" s="309"/>
      <c r="T155" s="309"/>
      <c r="U155" s="309"/>
      <c r="V155" s="309"/>
      <c r="W155" s="309"/>
      <c r="X155" s="309"/>
    </row>
    <row r="156" spans="18:24" s="299" customFormat="1" ht="12.75" x14ac:dyDescent="0.2">
      <c r="R156" s="309"/>
      <c r="S156" s="309"/>
      <c r="T156" s="309"/>
      <c r="U156" s="309"/>
      <c r="V156" s="309"/>
      <c r="W156" s="309"/>
      <c r="X156" s="309"/>
    </row>
    <row r="157" spans="18:24" s="299" customFormat="1" ht="12.75" x14ac:dyDescent="0.2">
      <c r="R157" s="309"/>
      <c r="S157" s="309"/>
      <c r="T157" s="309"/>
      <c r="U157" s="309"/>
      <c r="V157" s="309"/>
      <c r="W157" s="309"/>
      <c r="X157" s="309"/>
    </row>
    <row r="158" spans="18:24" s="299" customFormat="1" ht="12.75" x14ac:dyDescent="0.2">
      <c r="R158" s="309"/>
      <c r="S158" s="309"/>
      <c r="T158" s="309"/>
      <c r="U158" s="309"/>
      <c r="V158" s="309"/>
      <c r="W158" s="309"/>
      <c r="X158" s="309"/>
    </row>
    <row r="159" spans="18:24" s="299" customFormat="1" ht="12.75" x14ac:dyDescent="0.2">
      <c r="R159" s="309"/>
      <c r="S159" s="309"/>
      <c r="T159" s="309"/>
      <c r="U159" s="309"/>
      <c r="V159" s="309"/>
      <c r="W159" s="309"/>
      <c r="X159" s="309"/>
    </row>
    <row r="160" spans="18:24" s="299" customFormat="1" ht="12.75" x14ac:dyDescent="0.2">
      <c r="R160" s="309"/>
      <c r="S160" s="309"/>
      <c r="T160" s="309"/>
      <c r="U160" s="309"/>
      <c r="V160" s="309"/>
      <c r="W160" s="309"/>
      <c r="X160" s="309"/>
    </row>
    <row r="161" spans="18:24" s="299" customFormat="1" ht="12.75" x14ac:dyDescent="0.2">
      <c r="R161" s="309"/>
      <c r="S161" s="309"/>
      <c r="T161" s="309"/>
      <c r="U161" s="309"/>
      <c r="V161" s="309"/>
      <c r="W161" s="309"/>
      <c r="X161" s="309"/>
    </row>
    <row r="162" spans="18:24" s="299" customFormat="1" ht="12.75" x14ac:dyDescent="0.2">
      <c r="R162" s="309"/>
      <c r="S162" s="309"/>
      <c r="T162" s="309"/>
      <c r="U162" s="309"/>
      <c r="V162" s="309"/>
      <c r="W162" s="309"/>
      <c r="X162" s="309"/>
    </row>
    <row r="163" spans="18:24" s="299" customFormat="1" ht="12.75" x14ac:dyDescent="0.2">
      <c r="R163" s="309"/>
      <c r="S163" s="309"/>
      <c r="T163" s="309"/>
      <c r="U163" s="309"/>
      <c r="V163" s="309"/>
      <c r="W163" s="309"/>
      <c r="X163" s="309"/>
    </row>
    <row r="164" spans="18:24" s="299" customFormat="1" ht="12.75" x14ac:dyDescent="0.2">
      <c r="R164" s="309"/>
      <c r="S164" s="309"/>
      <c r="T164" s="309"/>
      <c r="U164" s="309"/>
      <c r="V164" s="309"/>
      <c r="W164" s="309"/>
      <c r="X164" s="309"/>
    </row>
    <row r="165" spans="18:24" s="299" customFormat="1" ht="12.75" x14ac:dyDescent="0.2">
      <c r="R165" s="309"/>
      <c r="S165" s="309"/>
      <c r="T165" s="309"/>
      <c r="U165" s="309"/>
      <c r="V165" s="309"/>
      <c r="W165" s="309"/>
      <c r="X165" s="309"/>
    </row>
    <row r="166" spans="18:24" s="299" customFormat="1" ht="12.75" x14ac:dyDescent="0.2">
      <c r="R166" s="309"/>
      <c r="S166" s="309"/>
      <c r="T166" s="309"/>
      <c r="U166" s="309"/>
      <c r="V166" s="309"/>
      <c r="W166" s="309"/>
      <c r="X166" s="309"/>
    </row>
    <row r="167" spans="18:24" s="299" customFormat="1" ht="12.75" x14ac:dyDescent="0.2">
      <c r="R167" s="309"/>
      <c r="S167" s="309"/>
      <c r="T167" s="309"/>
      <c r="U167" s="309"/>
      <c r="V167" s="309"/>
      <c r="W167" s="309"/>
      <c r="X167" s="309"/>
    </row>
    <row r="168" spans="18:24" s="299" customFormat="1" ht="12.75" x14ac:dyDescent="0.2">
      <c r="R168" s="309"/>
      <c r="S168" s="309"/>
      <c r="T168" s="309"/>
      <c r="U168" s="309"/>
      <c r="V168" s="309"/>
      <c r="W168" s="309"/>
      <c r="X168" s="309"/>
    </row>
    <row r="169" spans="18:24" s="299" customFormat="1" ht="12.75" x14ac:dyDescent="0.2">
      <c r="R169" s="309"/>
      <c r="S169" s="309"/>
      <c r="T169" s="309"/>
      <c r="U169" s="309"/>
      <c r="V169" s="309"/>
      <c r="W169" s="309"/>
      <c r="X169" s="309"/>
    </row>
    <row r="170" spans="18:24" s="299" customFormat="1" ht="12.75" x14ac:dyDescent="0.2">
      <c r="R170" s="309"/>
      <c r="S170" s="309"/>
      <c r="T170" s="309"/>
      <c r="U170" s="309"/>
      <c r="V170" s="309"/>
      <c r="W170" s="309"/>
      <c r="X170" s="309"/>
    </row>
    <row r="171" spans="18:24" s="299" customFormat="1" ht="12.75" x14ac:dyDescent="0.2">
      <c r="R171" s="309"/>
      <c r="S171" s="309"/>
      <c r="T171" s="309"/>
      <c r="U171" s="309"/>
      <c r="V171" s="309"/>
      <c r="W171" s="309"/>
      <c r="X171" s="309"/>
    </row>
    <row r="172" spans="18:24" s="299" customFormat="1" ht="12.75" x14ac:dyDescent="0.2">
      <c r="R172" s="309"/>
      <c r="S172" s="309"/>
      <c r="T172" s="309"/>
      <c r="U172" s="309"/>
      <c r="V172" s="309"/>
      <c r="W172" s="309"/>
      <c r="X172" s="309"/>
    </row>
    <row r="173" spans="18:24" s="299" customFormat="1" ht="12.75" x14ac:dyDescent="0.2">
      <c r="R173" s="309"/>
      <c r="S173" s="309"/>
      <c r="T173" s="309"/>
      <c r="U173" s="309"/>
      <c r="V173" s="309"/>
      <c r="W173" s="309"/>
      <c r="X173" s="309"/>
    </row>
    <row r="174" spans="18:24" s="299" customFormat="1" ht="12.75" x14ac:dyDescent="0.2">
      <c r="R174" s="309"/>
      <c r="S174" s="309"/>
      <c r="T174" s="309"/>
      <c r="U174" s="309"/>
      <c r="V174" s="309"/>
      <c r="W174" s="309"/>
      <c r="X174" s="309"/>
    </row>
    <row r="175" spans="18:24" s="299" customFormat="1" ht="12.75" x14ac:dyDescent="0.2">
      <c r="R175" s="309"/>
      <c r="S175" s="309"/>
      <c r="T175" s="309"/>
      <c r="U175" s="309"/>
      <c r="V175" s="309"/>
      <c r="W175" s="309"/>
      <c r="X175" s="309"/>
    </row>
    <row r="176" spans="18:24" s="299" customFormat="1" ht="12.75" x14ac:dyDescent="0.2">
      <c r="R176" s="309"/>
      <c r="S176" s="309"/>
      <c r="T176" s="309"/>
      <c r="U176" s="309"/>
      <c r="V176" s="309"/>
      <c r="W176" s="309"/>
      <c r="X176" s="309"/>
    </row>
    <row r="177" spans="18:24" s="299" customFormat="1" ht="12.75" x14ac:dyDescent="0.2">
      <c r="R177" s="309"/>
      <c r="S177" s="309"/>
      <c r="T177" s="309"/>
      <c r="U177" s="309"/>
      <c r="V177" s="309"/>
      <c r="W177" s="309"/>
      <c r="X177" s="309"/>
    </row>
    <row r="178" spans="18:24" s="299" customFormat="1" ht="12.75" x14ac:dyDescent="0.2">
      <c r="R178" s="309"/>
      <c r="S178" s="309"/>
      <c r="T178" s="309"/>
      <c r="U178" s="309"/>
      <c r="V178" s="309"/>
      <c r="W178" s="309"/>
      <c r="X178" s="309"/>
    </row>
    <row r="179" spans="18:24" s="299" customFormat="1" ht="12.75" x14ac:dyDescent="0.2">
      <c r="R179" s="309"/>
      <c r="S179" s="309"/>
      <c r="T179" s="309"/>
      <c r="U179" s="309"/>
      <c r="V179" s="309"/>
      <c r="W179" s="309"/>
      <c r="X179" s="309"/>
    </row>
    <row r="180" spans="18:24" s="299" customFormat="1" ht="12.75" x14ac:dyDescent="0.2">
      <c r="R180" s="309"/>
      <c r="S180" s="309"/>
      <c r="T180" s="309"/>
      <c r="U180" s="309"/>
      <c r="V180" s="309"/>
      <c r="W180" s="309"/>
      <c r="X180" s="309"/>
    </row>
    <row r="181" spans="18:24" s="299" customFormat="1" ht="12.75" x14ac:dyDescent="0.2">
      <c r="R181" s="309"/>
      <c r="S181" s="309"/>
      <c r="T181" s="309"/>
      <c r="U181" s="309"/>
      <c r="V181" s="309"/>
      <c r="W181" s="309"/>
      <c r="X181" s="309"/>
    </row>
    <row r="182" spans="18:24" s="299" customFormat="1" ht="12.75" x14ac:dyDescent="0.2">
      <c r="R182" s="309"/>
      <c r="S182" s="309"/>
      <c r="T182" s="309"/>
      <c r="U182" s="309"/>
      <c r="V182" s="309"/>
      <c r="W182" s="309"/>
      <c r="X182" s="309"/>
    </row>
    <row r="183" spans="18:24" s="299" customFormat="1" ht="12.75" x14ac:dyDescent="0.2">
      <c r="R183" s="309"/>
      <c r="S183" s="309"/>
      <c r="T183" s="309"/>
      <c r="U183" s="309"/>
      <c r="V183" s="309"/>
      <c r="W183" s="309"/>
      <c r="X183" s="309"/>
    </row>
    <row r="184" spans="18:24" s="299" customFormat="1" ht="12.75" x14ac:dyDescent="0.2">
      <c r="R184" s="309"/>
      <c r="S184" s="309"/>
      <c r="T184" s="309"/>
      <c r="U184" s="309"/>
      <c r="V184" s="309"/>
      <c r="W184" s="309"/>
      <c r="X184" s="309"/>
    </row>
    <row r="185" spans="18:24" s="299" customFormat="1" ht="12.75" x14ac:dyDescent="0.2">
      <c r="R185" s="309"/>
      <c r="S185" s="309"/>
      <c r="T185" s="309"/>
      <c r="U185" s="309"/>
      <c r="V185" s="309"/>
      <c r="W185" s="309"/>
      <c r="X185" s="309"/>
    </row>
    <row r="186" spans="18:24" s="299" customFormat="1" ht="12.75" x14ac:dyDescent="0.2">
      <c r="R186" s="309"/>
      <c r="S186" s="309"/>
      <c r="T186" s="309"/>
      <c r="U186" s="309"/>
      <c r="V186" s="309"/>
      <c r="W186" s="309"/>
      <c r="X186" s="309"/>
    </row>
    <row r="187" spans="18:24" s="299" customFormat="1" ht="12.75" x14ac:dyDescent="0.2">
      <c r="R187" s="309"/>
      <c r="S187" s="309"/>
      <c r="T187" s="309"/>
      <c r="U187" s="309"/>
      <c r="V187" s="309"/>
      <c r="W187" s="309"/>
      <c r="X187" s="309"/>
    </row>
    <row r="188" spans="18:24" s="299" customFormat="1" ht="12.75" x14ac:dyDescent="0.2">
      <c r="R188" s="309"/>
      <c r="S188" s="309"/>
      <c r="T188" s="309"/>
      <c r="U188" s="309"/>
      <c r="V188" s="309"/>
      <c r="W188" s="309"/>
      <c r="X188" s="309"/>
    </row>
    <row r="189" spans="18:24" s="299" customFormat="1" ht="12.75" x14ac:dyDescent="0.2">
      <c r="R189" s="309"/>
      <c r="S189" s="309"/>
      <c r="T189" s="309"/>
      <c r="U189" s="309"/>
      <c r="V189" s="309"/>
      <c r="W189" s="309"/>
      <c r="X189" s="309"/>
    </row>
    <row r="190" spans="18:24" s="299" customFormat="1" ht="12.75" x14ac:dyDescent="0.2">
      <c r="R190" s="309"/>
      <c r="S190" s="309"/>
      <c r="T190" s="309"/>
      <c r="U190" s="309"/>
      <c r="V190" s="309"/>
      <c r="W190" s="309"/>
      <c r="X190" s="309"/>
    </row>
    <row r="191" spans="18:24" s="299" customFormat="1" ht="12.75" x14ac:dyDescent="0.2">
      <c r="R191" s="309"/>
      <c r="S191" s="309"/>
      <c r="T191" s="309"/>
      <c r="U191" s="309"/>
      <c r="V191" s="309"/>
      <c r="W191" s="309"/>
      <c r="X191" s="309"/>
    </row>
    <row r="192" spans="18:24" s="299" customFormat="1" ht="12.75" x14ac:dyDescent="0.2">
      <c r="R192" s="309"/>
      <c r="S192" s="309"/>
      <c r="T192" s="309"/>
      <c r="U192" s="309"/>
      <c r="V192" s="309"/>
      <c r="W192" s="309"/>
      <c r="X192" s="309"/>
    </row>
    <row r="193" spans="18:24" s="299" customFormat="1" ht="12.75" x14ac:dyDescent="0.2">
      <c r="R193" s="309"/>
      <c r="S193" s="309"/>
      <c r="T193" s="309"/>
      <c r="U193" s="309"/>
      <c r="V193" s="309"/>
      <c r="W193" s="309"/>
      <c r="X193" s="309"/>
    </row>
    <row r="194" spans="18:24" s="299" customFormat="1" ht="12.75" x14ac:dyDescent="0.2">
      <c r="R194" s="309"/>
      <c r="S194" s="309"/>
      <c r="T194" s="309"/>
      <c r="U194" s="309"/>
      <c r="V194" s="309"/>
      <c r="W194" s="309"/>
      <c r="X194" s="309"/>
    </row>
    <row r="195" spans="18:24" s="299" customFormat="1" ht="12.75" x14ac:dyDescent="0.2">
      <c r="R195" s="309"/>
      <c r="S195" s="309"/>
      <c r="T195" s="309"/>
      <c r="U195" s="309"/>
      <c r="V195" s="309"/>
      <c r="W195" s="309"/>
      <c r="X195" s="309"/>
    </row>
    <row r="196" spans="18:24" s="299" customFormat="1" ht="12.75" x14ac:dyDescent="0.2">
      <c r="R196" s="309"/>
      <c r="S196" s="309"/>
      <c r="T196" s="309"/>
      <c r="U196" s="309"/>
      <c r="V196" s="309"/>
      <c r="W196" s="309"/>
      <c r="X196" s="309"/>
    </row>
    <row r="197" spans="18:24" s="299" customFormat="1" ht="12.75" x14ac:dyDescent="0.2">
      <c r="R197" s="309"/>
      <c r="S197" s="309"/>
      <c r="T197" s="309"/>
      <c r="U197" s="309"/>
      <c r="V197" s="309"/>
      <c r="W197" s="309"/>
      <c r="X197" s="309"/>
    </row>
    <row r="198" spans="18:24" s="299" customFormat="1" ht="12.75" x14ac:dyDescent="0.2">
      <c r="R198" s="309"/>
      <c r="S198" s="309"/>
      <c r="T198" s="309"/>
      <c r="U198" s="309"/>
      <c r="V198" s="309"/>
      <c r="W198" s="309"/>
      <c r="X198" s="309"/>
    </row>
    <row r="199" spans="18:24" s="299" customFormat="1" ht="12.75" x14ac:dyDescent="0.2">
      <c r="R199" s="309"/>
      <c r="S199" s="309"/>
      <c r="T199" s="309"/>
      <c r="U199" s="309"/>
      <c r="V199" s="309"/>
      <c r="W199" s="309"/>
      <c r="X199" s="309"/>
    </row>
    <row r="200" spans="18:24" s="299" customFormat="1" ht="12.75" x14ac:dyDescent="0.2">
      <c r="R200" s="309"/>
      <c r="S200" s="309"/>
      <c r="T200" s="309"/>
      <c r="U200" s="309"/>
      <c r="V200" s="309"/>
      <c r="W200" s="309"/>
      <c r="X200" s="309"/>
    </row>
    <row r="201" spans="18:24" s="299" customFormat="1" ht="12.75" x14ac:dyDescent="0.2">
      <c r="R201" s="309"/>
      <c r="S201" s="309"/>
      <c r="T201" s="309"/>
      <c r="U201" s="309"/>
      <c r="V201" s="309"/>
      <c r="W201" s="309"/>
      <c r="X201" s="309"/>
    </row>
    <row r="202" spans="18:24" s="299" customFormat="1" ht="12.75" x14ac:dyDescent="0.2">
      <c r="R202" s="309"/>
      <c r="S202" s="309"/>
      <c r="T202" s="309"/>
      <c r="U202" s="309"/>
      <c r="V202" s="309"/>
      <c r="W202" s="309"/>
      <c r="X202" s="309"/>
    </row>
    <row r="203" spans="18:24" s="299" customFormat="1" ht="12.75" x14ac:dyDescent="0.2">
      <c r="R203" s="309"/>
      <c r="S203" s="309"/>
      <c r="T203" s="309"/>
      <c r="U203" s="309"/>
      <c r="V203" s="309"/>
      <c r="W203" s="309"/>
      <c r="X203" s="309"/>
    </row>
    <row r="204" spans="18:24" s="299" customFormat="1" ht="12.75" x14ac:dyDescent="0.2">
      <c r="R204" s="309"/>
      <c r="S204" s="309"/>
      <c r="T204" s="309"/>
      <c r="U204" s="309"/>
      <c r="V204" s="309"/>
      <c r="W204" s="309"/>
      <c r="X204" s="309"/>
    </row>
    <row r="205" spans="18:24" s="299" customFormat="1" ht="12.75" x14ac:dyDescent="0.2">
      <c r="R205" s="309"/>
      <c r="S205" s="309"/>
      <c r="T205" s="309"/>
      <c r="U205" s="309"/>
      <c r="V205" s="309"/>
      <c r="W205" s="309"/>
      <c r="X205" s="309"/>
    </row>
    <row r="206" spans="18:24" s="299" customFormat="1" ht="12.75" x14ac:dyDescent="0.2">
      <c r="R206" s="309"/>
      <c r="S206" s="309"/>
      <c r="T206" s="309"/>
      <c r="U206" s="309"/>
      <c r="V206" s="309"/>
      <c r="W206" s="309"/>
      <c r="X206" s="309"/>
    </row>
    <row r="207" spans="18:24" s="299" customFormat="1" ht="12.75" x14ac:dyDescent="0.2">
      <c r="R207" s="309"/>
      <c r="S207" s="309"/>
      <c r="T207" s="309"/>
      <c r="U207" s="309"/>
      <c r="V207" s="309"/>
      <c r="W207" s="309"/>
      <c r="X207" s="309"/>
    </row>
    <row r="208" spans="18:24" s="299" customFormat="1" ht="12.75" x14ac:dyDescent="0.2">
      <c r="R208" s="309"/>
      <c r="S208" s="309"/>
      <c r="T208" s="309"/>
      <c r="U208" s="309"/>
      <c r="V208" s="309"/>
      <c r="W208" s="309"/>
      <c r="X208" s="309"/>
    </row>
    <row r="209" spans="18:24" s="299" customFormat="1" ht="12.75" x14ac:dyDescent="0.2">
      <c r="R209" s="309"/>
      <c r="S209" s="309"/>
      <c r="T209" s="309"/>
      <c r="U209" s="309"/>
      <c r="V209" s="309"/>
      <c r="W209" s="309"/>
      <c r="X209" s="309"/>
    </row>
    <row r="210" spans="18:24" s="299" customFormat="1" ht="12.75" x14ac:dyDescent="0.2">
      <c r="R210" s="309"/>
      <c r="S210" s="309"/>
      <c r="T210" s="309"/>
      <c r="U210" s="309"/>
      <c r="V210" s="309"/>
      <c r="W210" s="309"/>
      <c r="X210" s="309"/>
    </row>
    <row r="211" spans="18:24" s="299" customFormat="1" ht="12.75" x14ac:dyDescent="0.2">
      <c r="R211" s="309"/>
      <c r="S211" s="309"/>
      <c r="T211" s="309"/>
      <c r="U211" s="309"/>
      <c r="V211" s="309"/>
      <c r="W211" s="309"/>
      <c r="X211" s="309"/>
    </row>
    <row r="212" spans="18:24" s="299" customFormat="1" ht="12.75" x14ac:dyDescent="0.2">
      <c r="R212" s="309"/>
      <c r="S212" s="309"/>
      <c r="T212" s="309"/>
      <c r="U212" s="309"/>
      <c r="V212" s="309"/>
      <c r="W212" s="309"/>
      <c r="X212" s="309"/>
    </row>
    <row r="213" spans="18:24" s="299" customFormat="1" ht="12.75" x14ac:dyDescent="0.2">
      <c r="R213" s="309"/>
      <c r="S213" s="309"/>
      <c r="T213" s="309"/>
      <c r="U213" s="309"/>
      <c r="V213" s="309"/>
      <c r="W213" s="309"/>
      <c r="X213" s="309"/>
    </row>
    <row r="214" spans="18:24" s="299" customFormat="1" ht="12.75" x14ac:dyDescent="0.2">
      <c r="R214" s="309"/>
      <c r="S214" s="309"/>
      <c r="T214" s="309"/>
      <c r="U214" s="309"/>
      <c r="V214" s="309"/>
      <c r="W214" s="309"/>
      <c r="X214" s="309"/>
    </row>
    <row r="215" spans="18:24" s="299" customFormat="1" ht="12.75" x14ac:dyDescent="0.2">
      <c r="R215" s="309"/>
      <c r="S215" s="309"/>
      <c r="T215" s="309"/>
      <c r="U215" s="309"/>
      <c r="V215" s="309"/>
      <c r="W215" s="309"/>
      <c r="X215" s="309"/>
    </row>
    <row r="216" spans="18:24" s="299" customFormat="1" ht="12.75" x14ac:dyDescent="0.2">
      <c r="R216" s="309"/>
      <c r="S216" s="309"/>
      <c r="T216" s="309"/>
      <c r="U216" s="309"/>
      <c r="V216" s="309"/>
      <c r="W216" s="309"/>
      <c r="X216" s="309"/>
    </row>
    <row r="217" spans="18:24" s="299" customFormat="1" ht="12.75" x14ac:dyDescent="0.2">
      <c r="R217" s="309"/>
      <c r="S217" s="309"/>
      <c r="T217" s="309"/>
      <c r="U217" s="309"/>
      <c r="V217" s="309"/>
      <c r="W217" s="309"/>
      <c r="X217" s="309"/>
    </row>
    <row r="218" spans="18:24" s="299" customFormat="1" ht="12.75" x14ac:dyDescent="0.2">
      <c r="R218" s="309"/>
      <c r="S218" s="309"/>
      <c r="T218" s="309"/>
      <c r="U218" s="309"/>
      <c r="V218" s="309"/>
      <c r="W218" s="309"/>
      <c r="X218" s="309"/>
    </row>
    <row r="219" spans="18:24" s="299" customFormat="1" ht="12.75" x14ac:dyDescent="0.2">
      <c r="R219" s="309"/>
      <c r="S219" s="309"/>
      <c r="T219" s="309"/>
      <c r="U219" s="309"/>
      <c r="V219" s="309"/>
      <c r="W219" s="309"/>
      <c r="X219" s="309"/>
    </row>
    <row r="220" spans="18:24" s="299" customFormat="1" ht="12.75" x14ac:dyDescent="0.2">
      <c r="R220" s="309"/>
      <c r="S220" s="309"/>
      <c r="T220" s="309"/>
      <c r="U220" s="309"/>
      <c r="V220" s="309"/>
      <c r="W220" s="309"/>
      <c r="X220" s="309"/>
    </row>
    <row r="221" spans="18:24" s="299" customFormat="1" ht="12.75" x14ac:dyDescent="0.2">
      <c r="R221" s="309"/>
      <c r="S221" s="309"/>
      <c r="T221" s="309"/>
      <c r="U221" s="309"/>
      <c r="V221" s="309"/>
      <c r="W221" s="309"/>
      <c r="X221" s="309"/>
    </row>
    <row r="222" spans="18:24" s="299" customFormat="1" ht="12.75" x14ac:dyDescent="0.2">
      <c r="R222" s="309"/>
      <c r="S222" s="309"/>
      <c r="T222" s="309"/>
      <c r="U222" s="309"/>
      <c r="V222" s="309"/>
      <c r="W222" s="309"/>
      <c r="X222" s="309"/>
    </row>
    <row r="223" spans="18:24" s="299" customFormat="1" ht="12.75" x14ac:dyDescent="0.2">
      <c r="R223" s="309"/>
      <c r="S223" s="309"/>
      <c r="T223" s="309"/>
      <c r="U223" s="309"/>
      <c r="V223" s="309"/>
      <c r="W223" s="309"/>
      <c r="X223" s="309"/>
    </row>
    <row r="224" spans="18:24" s="299" customFormat="1" ht="12.75" x14ac:dyDescent="0.2">
      <c r="R224" s="309"/>
      <c r="S224" s="309"/>
      <c r="T224" s="309"/>
      <c r="U224" s="309"/>
      <c r="V224" s="309"/>
      <c r="W224" s="309"/>
      <c r="X224" s="309"/>
    </row>
    <row r="225" spans="18:24" s="299" customFormat="1" ht="12.75" x14ac:dyDescent="0.2">
      <c r="R225" s="309"/>
      <c r="S225" s="309"/>
      <c r="T225" s="309"/>
      <c r="U225" s="309"/>
      <c r="V225" s="309"/>
      <c r="W225" s="309"/>
      <c r="X225" s="309"/>
    </row>
    <row r="226" spans="18:24" s="299" customFormat="1" ht="12.75" x14ac:dyDescent="0.2">
      <c r="R226" s="309"/>
      <c r="S226" s="309"/>
      <c r="T226" s="309"/>
      <c r="U226" s="309"/>
      <c r="V226" s="309"/>
      <c r="W226" s="309"/>
      <c r="X226" s="309"/>
    </row>
    <row r="227" spans="18:24" s="299" customFormat="1" ht="12.75" x14ac:dyDescent="0.2">
      <c r="R227" s="309"/>
      <c r="S227" s="309"/>
      <c r="T227" s="309"/>
      <c r="U227" s="309"/>
      <c r="V227" s="309"/>
      <c r="W227" s="309"/>
      <c r="X227" s="309"/>
    </row>
    <row r="228" spans="18:24" s="299" customFormat="1" ht="12.75" x14ac:dyDescent="0.2">
      <c r="R228" s="309"/>
      <c r="S228" s="309"/>
      <c r="T228" s="309"/>
      <c r="U228" s="309"/>
      <c r="V228" s="309"/>
      <c r="W228" s="309"/>
      <c r="X228" s="309"/>
    </row>
    <row r="229" spans="18:24" s="299" customFormat="1" ht="12.75" x14ac:dyDescent="0.2">
      <c r="R229" s="309"/>
      <c r="S229" s="309"/>
      <c r="T229" s="309"/>
      <c r="U229" s="309"/>
      <c r="V229" s="309"/>
      <c r="W229" s="309"/>
      <c r="X229" s="309"/>
    </row>
    <row r="230" spans="18:24" s="299" customFormat="1" ht="12.75" x14ac:dyDescent="0.2">
      <c r="R230" s="309"/>
      <c r="S230" s="309"/>
      <c r="T230" s="309"/>
      <c r="U230" s="309"/>
      <c r="V230" s="309"/>
      <c r="W230" s="309"/>
      <c r="X230" s="309"/>
    </row>
    <row r="231" spans="18:24" s="299" customFormat="1" ht="12.75" x14ac:dyDescent="0.2">
      <c r="R231" s="309"/>
      <c r="S231" s="309"/>
      <c r="T231" s="309"/>
      <c r="U231" s="309"/>
      <c r="V231" s="309"/>
      <c r="W231" s="309"/>
      <c r="X231" s="309"/>
    </row>
    <row r="232" spans="18:24" s="299" customFormat="1" ht="12.75" x14ac:dyDescent="0.2">
      <c r="R232" s="309"/>
      <c r="S232" s="309"/>
      <c r="T232" s="309"/>
      <c r="U232" s="309"/>
      <c r="V232" s="309"/>
      <c r="W232" s="309"/>
      <c r="X232" s="309"/>
    </row>
    <row r="233" spans="18:24" s="299" customFormat="1" ht="12.75" x14ac:dyDescent="0.2">
      <c r="R233" s="309"/>
      <c r="S233" s="309"/>
      <c r="T233" s="309"/>
      <c r="U233" s="309"/>
      <c r="V233" s="309"/>
      <c r="W233" s="309"/>
      <c r="X233" s="309"/>
    </row>
    <row r="234" spans="18:24" s="299" customFormat="1" ht="12.75" x14ac:dyDescent="0.2">
      <c r="R234" s="309"/>
      <c r="S234" s="309"/>
      <c r="T234" s="309"/>
      <c r="U234" s="309"/>
      <c r="V234" s="309"/>
      <c r="W234" s="309"/>
      <c r="X234" s="309"/>
    </row>
    <row r="235" spans="18:24" s="299" customFormat="1" ht="12.75" x14ac:dyDescent="0.2">
      <c r="R235" s="309"/>
      <c r="S235" s="309"/>
      <c r="T235" s="309"/>
      <c r="U235" s="309"/>
      <c r="V235" s="309"/>
      <c r="W235" s="309"/>
      <c r="X235" s="309"/>
    </row>
    <row r="236" spans="18:24" s="299" customFormat="1" ht="12.75" x14ac:dyDescent="0.2">
      <c r="R236" s="309"/>
      <c r="S236" s="309"/>
      <c r="T236" s="309"/>
      <c r="U236" s="309"/>
      <c r="V236" s="309"/>
      <c r="W236" s="309"/>
      <c r="X236" s="309"/>
    </row>
    <row r="237" spans="18:24" s="299" customFormat="1" ht="12.75" x14ac:dyDescent="0.2">
      <c r="R237" s="309"/>
      <c r="S237" s="309"/>
      <c r="T237" s="309"/>
      <c r="U237" s="309"/>
      <c r="V237" s="309"/>
      <c r="W237" s="309"/>
      <c r="X237" s="309"/>
    </row>
    <row r="238" spans="18:24" s="299" customFormat="1" ht="12.75" x14ac:dyDescent="0.2">
      <c r="R238" s="309"/>
      <c r="S238" s="309"/>
      <c r="T238" s="309"/>
      <c r="U238" s="309"/>
      <c r="V238" s="309"/>
      <c r="W238" s="309"/>
      <c r="X238" s="309"/>
    </row>
    <row r="239" spans="18:24" s="299" customFormat="1" ht="12.75" x14ac:dyDescent="0.2">
      <c r="R239" s="309"/>
      <c r="S239" s="309"/>
      <c r="T239" s="309"/>
      <c r="U239" s="309"/>
      <c r="V239" s="309"/>
      <c r="W239" s="309"/>
      <c r="X239" s="309"/>
    </row>
    <row r="240" spans="18:24" s="299" customFormat="1" ht="12.75" x14ac:dyDescent="0.2">
      <c r="R240" s="309"/>
      <c r="S240" s="309"/>
      <c r="T240" s="309"/>
      <c r="U240" s="309"/>
      <c r="V240" s="309"/>
      <c r="W240" s="309"/>
      <c r="X240" s="309"/>
    </row>
    <row r="241" spans="18:24" s="299" customFormat="1" ht="12.75" x14ac:dyDescent="0.2">
      <c r="R241" s="309"/>
      <c r="S241" s="309"/>
      <c r="T241" s="309"/>
      <c r="U241" s="309"/>
      <c r="V241" s="309"/>
      <c r="W241" s="309"/>
      <c r="X241" s="309"/>
    </row>
    <row r="242" spans="18:24" s="299" customFormat="1" ht="12.75" x14ac:dyDescent="0.2">
      <c r="R242" s="309"/>
      <c r="S242" s="309"/>
      <c r="T242" s="309"/>
      <c r="U242" s="309"/>
      <c r="V242" s="309"/>
      <c r="W242" s="309"/>
      <c r="X242" s="309"/>
    </row>
    <row r="243" spans="18:24" s="299" customFormat="1" ht="12.75" x14ac:dyDescent="0.2">
      <c r="R243" s="309"/>
      <c r="S243" s="309"/>
      <c r="T243" s="309"/>
      <c r="U243" s="309"/>
      <c r="V243" s="309"/>
      <c r="W243" s="309"/>
      <c r="X243" s="309"/>
    </row>
    <row r="244" spans="18:24" s="299" customFormat="1" ht="12.75" x14ac:dyDescent="0.2">
      <c r="R244" s="309"/>
      <c r="S244" s="309"/>
      <c r="T244" s="309"/>
      <c r="U244" s="309"/>
      <c r="V244" s="309"/>
      <c r="W244" s="309"/>
      <c r="X244" s="309"/>
    </row>
    <row r="245" spans="18:24" s="299" customFormat="1" ht="12.75" x14ac:dyDescent="0.2">
      <c r="R245" s="309"/>
      <c r="S245" s="309"/>
      <c r="T245" s="309"/>
      <c r="U245" s="309"/>
      <c r="V245" s="309"/>
      <c r="W245" s="309"/>
      <c r="X245" s="309"/>
    </row>
    <row r="246" spans="18:24" s="299" customFormat="1" ht="12.75" x14ac:dyDescent="0.2">
      <c r="R246" s="309"/>
      <c r="S246" s="309"/>
      <c r="T246" s="309"/>
      <c r="U246" s="309"/>
      <c r="V246" s="309"/>
      <c r="W246" s="309"/>
      <c r="X246" s="309"/>
    </row>
    <row r="247" spans="18:24" s="299" customFormat="1" ht="12.75" x14ac:dyDescent="0.2">
      <c r="R247" s="309"/>
      <c r="S247" s="309"/>
      <c r="T247" s="309"/>
      <c r="U247" s="309"/>
      <c r="V247" s="309"/>
      <c r="W247" s="309"/>
      <c r="X247" s="309"/>
    </row>
    <row r="248" spans="18:24" s="299" customFormat="1" ht="12.75" x14ac:dyDescent="0.2">
      <c r="R248" s="309"/>
      <c r="S248" s="309"/>
      <c r="T248" s="309"/>
      <c r="U248" s="309"/>
      <c r="V248" s="309"/>
      <c r="W248" s="309"/>
      <c r="X248" s="309"/>
    </row>
    <row r="249" spans="18:24" s="299" customFormat="1" ht="12.75" x14ac:dyDescent="0.2">
      <c r="R249" s="309"/>
      <c r="S249" s="309"/>
      <c r="T249" s="309"/>
      <c r="U249" s="309"/>
      <c r="V249" s="309"/>
      <c r="W249" s="309"/>
      <c r="X249" s="309"/>
    </row>
    <row r="250" spans="18:24" s="299" customFormat="1" ht="12.75" x14ac:dyDescent="0.2">
      <c r="R250" s="309"/>
      <c r="S250" s="309"/>
      <c r="T250" s="309"/>
      <c r="U250" s="309"/>
      <c r="V250" s="309"/>
      <c r="W250" s="309"/>
      <c r="X250" s="309"/>
    </row>
    <row r="251" spans="18:24" s="299" customFormat="1" ht="12.75" x14ac:dyDescent="0.2">
      <c r="R251" s="309"/>
      <c r="S251" s="309"/>
      <c r="T251" s="309"/>
      <c r="U251" s="309"/>
      <c r="V251" s="309"/>
      <c r="W251" s="309"/>
      <c r="X251" s="309"/>
    </row>
    <row r="252" spans="18:24" s="299" customFormat="1" ht="12.75" x14ac:dyDescent="0.2">
      <c r="R252" s="309"/>
      <c r="S252" s="309"/>
      <c r="T252" s="309"/>
      <c r="U252" s="309"/>
      <c r="V252" s="309"/>
      <c r="W252" s="309"/>
      <c r="X252" s="309"/>
    </row>
    <row r="253" spans="18:24" s="299" customFormat="1" ht="12.75" x14ac:dyDescent="0.2">
      <c r="R253" s="309"/>
      <c r="S253" s="309"/>
      <c r="T253" s="309"/>
      <c r="U253" s="309"/>
      <c r="V253" s="309"/>
      <c r="W253" s="309"/>
      <c r="X253" s="309"/>
    </row>
    <row r="254" spans="18:24" s="299" customFormat="1" ht="12.75" x14ac:dyDescent="0.2">
      <c r="R254" s="309"/>
      <c r="S254" s="309"/>
      <c r="T254" s="309"/>
      <c r="U254" s="309"/>
      <c r="V254" s="309"/>
      <c r="W254" s="309"/>
      <c r="X254" s="309"/>
    </row>
    <row r="255" spans="18:24" s="299" customFormat="1" ht="12.75" x14ac:dyDescent="0.2">
      <c r="R255" s="309"/>
      <c r="S255" s="309"/>
      <c r="T255" s="309"/>
      <c r="U255" s="309"/>
      <c r="V255" s="309"/>
      <c r="W255" s="309"/>
      <c r="X255" s="309"/>
    </row>
    <row r="256" spans="18:24" s="299" customFormat="1" ht="12.75" x14ac:dyDescent="0.2">
      <c r="R256" s="309"/>
      <c r="S256" s="309"/>
      <c r="T256" s="309"/>
      <c r="U256" s="309"/>
      <c r="V256" s="309"/>
      <c r="W256" s="309"/>
      <c r="X256" s="309"/>
    </row>
    <row r="257" spans="1:24" s="299" customFormat="1" ht="12.75" x14ac:dyDescent="0.2">
      <c r="R257" s="309"/>
      <c r="S257" s="309"/>
      <c r="T257" s="309"/>
      <c r="U257" s="309"/>
      <c r="V257" s="309"/>
      <c r="W257" s="309"/>
      <c r="X257" s="309"/>
    </row>
    <row r="258" spans="1:24" s="299" customFormat="1" ht="12.75" x14ac:dyDescent="0.2">
      <c r="R258" s="309"/>
      <c r="S258" s="309"/>
      <c r="T258" s="309"/>
      <c r="U258" s="309"/>
      <c r="V258" s="309"/>
      <c r="W258" s="309"/>
      <c r="X258" s="309"/>
    </row>
    <row r="259" spans="1:24" x14ac:dyDescent="0.25">
      <c r="A259" s="299"/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  <c r="Q259" s="299"/>
    </row>
    <row r="260" spans="1:24" x14ac:dyDescent="0.25">
      <c r="A260" s="299"/>
      <c r="B260" s="299"/>
      <c r="C260" s="299"/>
      <c r="D260" s="299"/>
      <c r="E260" s="299"/>
      <c r="F260" s="299"/>
      <c r="G260" s="299"/>
      <c r="H260" s="299"/>
      <c r="I260" s="299"/>
    </row>
  </sheetData>
  <sheetProtection algorithmName="SHA-512" hashValue="pO7fqG09VDDLoKPx+m/lHLqs1143B6nBQZ1Zz3pOn613mZJOHgO0dfKQGxBGf7su89Ul26qr9xlksEBf8BQvsQ==" saltValue="W7BdciEpvBzV6RqxN79BIg==" spinCount="100000" sheet="1" selectLockedCells="1"/>
  <mergeCells count="12">
    <mergeCell ref="R22:S22"/>
    <mergeCell ref="F2:I2"/>
    <mergeCell ref="A1:I1"/>
    <mergeCell ref="H57:I57"/>
    <mergeCell ref="B57:C57"/>
    <mergeCell ref="R1:U1"/>
    <mergeCell ref="R47:S47"/>
    <mergeCell ref="W1:X1"/>
    <mergeCell ref="R2:S2"/>
    <mergeCell ref="T2:U2"/>
    <mergeCell ref="W10:X10"/>
    <mergeCell ref="R9:S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77</vt:i4>
      </vt:variant>
    </vt:vector>
  </HeadingPairs>
  <TitlesOfParts>
    <vt:vector size="82" baseType="lpstr">
      <vt:lpstr>Design</vt:lpstr>
      <vt:lpstr>Efficiency</vt:lpstr>
      <vt:lpstr>Snubber</vt:lpstr>
      <vt:lpstr>Constants</vt:lpstr>
      <vt:lpstr>Sheet1</vt:lpstr>
      <vt:lpstr>BIN_2</vt:lpstr>
      <vt:lpstr>BIN_3</vt:lpstr>
      <vt:lpstr>BIN_4</vt:lpstr>
      <vt:lpstr>Bin_Coeff</vt:lpstr>
      <vt:lpstr>BIN2_Coeff</vt:lpstr>
      <vt:lpstr>BIN4_Coeff</vt:lpstr>
      <vt:lpstr>C_f1</vt:lpstr>
      <vt:lpstr>C_f2</vt:lpstr>
      <vt:lpstr>c_s1</vt:lpstr>
      <vt:lpstr>C_s2</vt:lpstr>
      <vt:lpstr>C_SNUB</vt:lpstr>
      <vt:lpstr>Cout</vt:lpstr>
      <vt:lpstr>Cp</vt:lpstr>
      <vt:lpstr>Cz</vt:lpstr>
      <vt:lpstr>D_max</vt:lpstr>
      <vt:lpstr>D_typ</vt:lpstr>
      <vt:lpstr>DCR</vt:lpstr>
      <vt:lpstr>E12_f</vt:lpstr>
      <vt:lpstr>E12_s</vt:lpstr>
      <vt:lpstr>E24_f</vt:lpstr>
      <vt:lpstr>E24_s</vt:lpstr>
      <vt:lpstr>E48_f</vt:lpstr>
      <vt:lpstr>E48_s</vt:lpstr>
      <vt:lpstr>E6_f</vt:lpstr>
      <vt:lpstr>E6_s</vt:lpstr>
      <vt:lpstr>E96_f</vt:lpstr>
      <vt:lpstr>E96_s</vt:lpstr>
      <vt:lpstr>ESR</vt:lpstr>
      <vt:lpstr>fc</vt:lpstr>
      <vt:lpstr>fsw</vt:lpstr>
      <vt:lpstr>giga</vt:lpstr>
      <vt:lpstr>gm_POWER</vt:lpstr>
      <vt:lpstr>gmv</vt:lpstr>
      <vt:lpstr>IOUT</vt:lpstr>
      <vt:lpstr>Iout_typ</vt:lpstr>
      <vt:lpstr>Iq</vt:lpstr>
      <vt:lpstr>kilo</vt:lpstr>
      <vt:lpstr>Lout</vt:lpstr>
      <vt:lpstr>mega</vt:lpstr>
      <vt:lpstr>micro</vt:lpstr>
      <vt:lpstr>milli</vt:lpstr>
      <vt:lpstr>Min_tOFF_typ</vt:lpstr>
      <vt:lpstr>nano</vt:lpstr>
      <vt:lpstr>Snubber!Print_Area</vt:lpstr>
      <vt:lpstr>Qg</vt:lpstr>
      <vt:lpstr>R_1</vt:lpstr>
      <vt:lpstr>R_1k</vt:lpstr>
      <vt:lpstr>R_2</vt:lpstr>
      <vt:lpstr>R_2k</vt:lpstr>
      <vt:lpstr>R_3</vt:lpstr>
      <vt:lpstr>R_3k</vt:lpstr>
      <vt:lpstr>Rdson</vt:lpstr>
      <vt:lpstr>RESET</vt:lpstr>
      <vt:lpstr>RFB_1</vt:lpstr>
      <vt:lpstr>RLED</vt:lpstr>
      <vt:lpstr>Rsense</vt:lpstr>
      <vt:lpstr>RthJA</vt:lpstr>
      <vt:lpstr>RthJA_IC</vt:lpstr>
      <vt:lpstr>Rz</vt:lpstr>
      <vt:lpstr>Se_2MHz</vt:lpstr>
      <vt:lpstr>Se_400kHz</vt:lpstr>
      <vt:lpstr>Se_p</vt:lpstr>
      <vt:lpstr>Slew_fall</vt:lpstr>
      <vt:lpstr>Slew_rise</vt:lpstr>
      <vt:lpstr>TCR_Cu</vt:lpstr>
      <vt:lpstr>TCR_RdsON</vt:lpstr>
      <vt:lpstr>Tmax</vt:lpstr>
      <vt:lpstr>Tsw</vt:lpstr>
      <vt:lpstr>V_cs</vt:lpstr>
      <vt:lpstr>V_cs_max</vt:lpstr>
      <vt:lpstr>V_cs_min</vt:lpstr>
      <vt:lpstr>VF</vt:lpstr>
      <vt:lpstr>Vgs</vt:lpstr>
      <vt:lpstr>Vin_nom</vt:lpstr>
      <vt:lpstr>VOUT</vt:lpstr>
      <vt:lpstr>Vreg</vt:lpstr>
      <vt:lpstr>ΔILo_typ</vt:lpstr>
    </vt:vector>
  </TitlesOfParts>
  <Company>Allegro MicroSystems,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Garvey, Richard</cp:lastModifiedBy>
  <cp:lastPrinted>2012-02-02T03:45:48Z</cp:lastPrinted>
  <dcterms:created xsi:type="dcterms:W3CDTF">2012-01-10T15:56:57Z</dcterms:created>
  <dcterms:modified xsi:type="dcterms:W3CDTF">2018-11-05T14:30:57Z</dcterms:modified>
</cp:coreProperties>
</file>