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eicher\Documents\ARG81801 Repackage of A8590-2\Design Tools\"/>
    </mc:Choice>
  </mc:AlternateContent>
  <xr:revisionPtr revIDLastSave="0" documentId="10_ncr:100000_{762F1E90-E18C-4B00-864F-C40C28D93EB2}" xr6:coauthVersionLast="31" xr6:coauthVersionMax="31" xr10:uidLastSave="{00000000-0000-0000-0000-000000000000}"/>
  <workbookProtection lockStructure="1"/>
  <bookViews>
    <workbookView xWindow="5676" yWindow="3468" windowWidth="19152" windowHeight="8580" xr2:uid="{00000000-000D-0000-FFFF-FFFF00000000}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</sheets>
  <definedNames>
    <definedName name="_xlnm.Print_Area" localSheetId="0">Design!$A$1:$I$89</definedName>
    <definedName name="_xlnm.Print_Area" localSheetId="1">Snubber!$A$2:$I$34</definedName>
  </definedNames>
  <calcPr calcId="179017" iterate="1"/>
</workbook>
</file>

<file path=xl/calcChain.xml><?xml version="1.0" encoding="utf-8"?>
<calcChain xmlns="http://schemas.openxmlformats.org/spreadsheetml/2006/main">
  <c r="B64" i="1" l="1"/>
  <c r="B44" i="7" l="1"/>
  <c r="AP5" i="12" l="1"/>
  <c r="AP6" i="12" s="1"/>
  <c r="B16" i="12"/>
  <c r="B17" i="12" s="1"/>
  <c r="B18" i="12" s="1"/>
  <c r="B19" i="12" s="1"/>
  <c r="B20" i="12" s="1"/>
  <c r="B21" i="12" s="1"/>
  <c r="B22" i="12" s="1"/>
  <c r="B23" i="12" s="1"/>
  <c r="B24" i="12" s="1"/>
  <c r="V16" i="12"/>
  <c r="V17" i="12" s="1"/>
  <c r="V18" i="12" s="1"/>
  <c r="V19" i="12" s="1"/>
  <c r="V20" i="12" s="1"/>
  <c r="V21" i="12" s="1"/>
  <c r="V22" i="12" s="1"/>
  <c r="V23" i="12" s="1"/>
  <c r="V24" i="12" s="1"/>
  <c r="V5" i="12"/>
  <c r="V6" i="12" s="1"/>
  <c r="V7" i="12" s="1"/>
  <c r="V8" i="12" s="1"/>
  <c r="V9" i="12" s="1"/>
  <c r="V10" i="12" s="1"/>
  <c r="V11" i="12" s="1"/>
  <c r="V12" i="12" s="1"/>
  <c r="V13" i="12" s="1"/>
  <c r="B5" i="12"/>
  <c r="B6" i="12" s="1"/>
  <c r="B7" i="12" s="1"/>
  <c r="B8" i="12" s="1"/>
  <c r="B9" i="12" s="1"/>
  <c r="B10" i="12" s="1"/>
  <c r="B11" i="12" s="1"/>
  <c r="B12" i="12" s="1"/>
  <c r="B13" i="12" s="1"/>
  <c r="AW18" i="12"/>
  <c r="B22" i="1"/>
  <c r="C4" i="7"/>
  <c r="AP16" i="12" l="1"/>
  <c r="AP7" i="12"/>
  <c r="AP17" i="12"/>
  <c r="C35" i="1"/>
  <c r="B35" i="1"/>
  <c r="B32" i="1"/>
  <c r="AW19" i="12"/>
  <c r="AW20" i="12"/>
  <c r="AW21" i="12"/>
  <c r="AW22" i="12"/>
  <c r="AW23" i="12"/>
  <c r="AW24" i="12"/>
  <c r="AW10" i="12"/>
  <c r="AW11" i="12"/>
  <c r="AW12" i="12"/>
  <c r="AW13" i="12"/>
  <c r="AC19" i="12"/>
  <c r="AC20" i="12"/>
  <c r="AC21" i="12"/>
  <c r="AC22" i="12"/>
  <c r="AC23" i="12"/>
  <c r="AC24" i="12"/>
  <c r="AC10" i="12"/>
  <c r="AC11" i="12"/>
  <c r="AC12" i="12"/>
  <c r="AC13" i="12"/>
  <c r="A19" i="12"/>
  <c r="I19" i="12"/>
  <c r="A20" i="12"/>
  <c r="I20" i="12"/>
  <c r="A21" i="12"/>
  <c r="I21" i="12"/>
  <c r="A22" i="12"/>
  <c r="I22" i="12"/>
  <c r="A23" i="12"/>
  <c r="I23" i="12"/>
  <c r="A24" i="12"/>
  <c r="I24" i="12"/>
  <c r="I10" i="12"/>
  <c r="I11" i="12"/>
  <c r="I12" i="12"/>
  <c r="I13" i="12"/>
  <c r="AP8" i="12" l="1"/>
  <c r="AP18" i="12"/>
  <c r="B71" i="1"/>
  <c r="I56" i="2"/>
  <c r="H56" i="2"/>
  <c r="G56" i="2"/>
  <c r="AP9" i="12" l="1"/>
  <c r="AP19" i="12"/>
  <c r="F4" i="1"/>
  <c r="H114" i="7"/>
  <c r="H113" i="7"/>
  <c r="B51" i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" i="7"/>
  <c r="A47" i="7"/>
  <c r="AU88" i="7"/>
  <c r="AQ2" i="12"/>
  <c r="W2" i="12"/>
  <c r="C2" i="12"/>
  <c r="A18" i="12"/>
  <c r="A17" i="12"/>
  <c r="A16" i="12"/>
  <c r="A15" i="12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G87" i="7"/>
  <c r="R87" i="7"/>
  <c r="C87" i="7"/>
  <c r="B87" i="7"/>
  <c r="AG86" i="7"/>
  <c r="R86" i="7"/>
  <c r="C86" i="7"/>
  <c r="AG85" i="7"/>
  <c r="R85" i="7"/>
  <c r="C85" i="7"/>
  <c r="AG84" i="7"/>
  <c r="R84" i="7"/>
  <c r="C84" i="7"/>
  <c r="AG83" i="7"/>
  <c r="R83" i="7"/>
  <c r="C83" i="7"/>
  <c r="AG82" i="7"/>
  <c r="R82" i="7"/>
  <c r="C82" i="7"/>
  <c r="AG81" i="7"/>
  <c r="R81" i="7"/>
  <c r="C81" i="7"/>
  <c r="AG80" i="7"/>
  <c r="R80" i="7"/>
  <c r="C80" i="7"/>
  <c r="AG79" i="7"/>
  <c r="R79" i="7"/>
  <c r="C79" i="7"/>
  <c r="AG78" i="7"/>
  <c r="R78" i="7"/>
  <c r="C78" i="7"/>
  <c r="AG77" i="7"/>
  <c r="R77" i="7"/>
  <c r="C77" i="7"/>
  <c r="AG76" i="7"/>
  <c r="R76" i="7"/>
  <c r="C76" i="7"/>
  <c r="AG75" i="7"/>
  <c r="R75" i="7"/>
  <c r="C75" i="7"/>
  <c r="AG74" i="7"/>
  <c r="R74" i="7"/>
  <c r="C74" i="7"/>
  <c r="AG73" i="7"/>
  <c r="R73" i="7"/>
  <c r="C73" i="7"/>
  <c r="AG72" i="7"/>
  <c r="R72" i="7"/>
  <c r="C72" i="7"/>
  <c r="AG71" i="7"/>
  <c r="R71" i="7"/>
  <c r="C71" i="7"/>
  <c r="AG70" i="7"/>
  <c r="R70" i="7"/>
  <c r="C70" i="7"/>
  <c r="AG69" i="7"/>
  <c r="R69" i="7"/>
  <c r="C69" i="7"/>
  <c r="AG68" i="7"/>
  <c r="R68" i="7"/>
  <c r="C68" i="7"/>
  <c r="AG67" i="7"/>
  <c r="R67" i="7"/>
  <c r="C67" i="7"/>
  <c r="AG66" i="7"/>
  <c r="R66" i="7"/>
  <c r="C66" i="7"/>
  <c r="AG65" i="7"/>
  <c r="R65" i="7"/>
  <c r="C65" i="7"/>
  <c r="AG64" i="7"/>
  <c r="R64" i="7"/>
  <c r="C64" i="7"/>
  <c r="AG63" i="7"/>
  <c r="R63" i="7"/>
  <c r="C63" i="7"/>
  <c r="AG62" i="7"/>
  <c r="R62" i="7"/>
  <c r="C62" i="7"/>
  <c r="AG61" i="7"/>
  <c r="R61" i="7"/>
  <c r="C61" i="7"/>
  <c r="AG60" i="7"/>
  <c r="R60" i="7"/>
  <c r="C60" i="7"/>
  <c r="AG59" i="7"/>
  <c r="R59" i="7"/>
  <c r="C59" i="7"/>
  <c r="AG58" i="7"/>
  <c r="R58" i="7"/>
  <c r="C58" i="7"/>
  <c r="AG57" i="7"/>
  <c r="R57" i="7"/>
  <c r="C57" i="7"/>
  <c r="AG56" i="7"/>
  <c r="R56" i="7"/>
  <c r="C56" i="7"/>
  <c r="AG55" i="7"/>
  <c r="R55" i="7"/>
  <c r="C55" i="7"/>
  <c r="AG54" i="7"/>
  <c r="R54" i="7"/>
  <c r="C54" i="7"/>
  <c r="AG53" i="7"/>
  <c r="R53" i="7"/>
  <c r="C53" i="7"/>
  <c r="AG52" i="7"/>
  <c r="R52" i="7"/>
  <c r="C52" i="7"/>
  <c r="AG51" i="7"/>
  <c r="R51" i="7"/>
  <c r="C51" i="7"/>
  <c r="AG50" i="7"/>
  <c r="R50" i="7"/>
  <c r="C50" i="7"/>
  <c r="AG49" i="7"/>
  <c r="R49" i="7"/>
  <c r="C49" i="7"/>
  <c r="AG48" i="7"/>
  <c r="R48" i="7"/>
  <c r="C48" i="7"/>
  <c r="AG47" i="7"/>
  <c r="R47" i="7"/>
  <c r="C47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" i="7"/>
  <c r="C5" i="8"/>
  <c r="B15" i="8" s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AP10" i="12" l="1"/>
  <c r="AP20" i="12"/>
  <c r="BA19" i="12"/>
  <c r="BA20" i="12"/>
  <c r="BA21" i="12"/>
  <c r="BA22" i="12"/>
  <c r="BA23" i="12"/>
  <c r="BA24" i="12"/>
  <c r="BA10" i="12"/>
  <c r="BA11" i="12"/>
  <c r="BA12" i="12"/>
  <c r="BA13" i="12"/>
  <c r="AT19" i="12"/>
  <c r="AT20" i="12"/>
  <c r="AT21" i="12"/>
  <c r="AT22" i="12"/>
  <c r="AT23" i="12"/>
  <c r="AT24" i="12"/>
  <c r="AT10" i="12"/>
  <c r="AT11" i="12"/>
  <c r="AT12" i="12"/>
  <c r="AT13" i="12"/>
  <c r="AG16" i="12"/>
  <c r="AG19" i="12"/>
  <c r="AG20" i="12"/>
  <c r="AG21" i="12"/>
  <c r="AG22" i="12"/>
  <c r="AG23" i="12"/>
  <c r="AG24" i="12"/>
  <c r="AG10" i="12"/>
  <c r="AG11" i="12"/>
  <c r="AG12" i="12"/>
  <c r="AG13" i="12"/>
  <c r="Z19" i="12"/>
  <c r="Z20" i="12"/>
  <c r="Z21" i="12"/>
  <c r="Z22" i="12"/>
  <c r="Z23" i="12"/>
  <c r="Z24" i="12"/>
  <c r="Z10" i="12"/>
  <c r="Z11" i="12"/>
  <c r="Z12" i="12"/>
  <c r="Z13" i="12"/>
  <c r="F21" i="12"/>
  <c r="F22" i="12"/>
  <c r="F24" i="12"/>
  <c r="F19" i="12"/>
  <c r="F10" i="12"/>
  <c r="F11" i="12"/>
  <c r="F12" i="12"/>
  <c r="F13" i="12"/>
  <c r="M19" i="12"/>
  <c r="M20" i="12"/>
  <c r="M21" i="12"/>
  <c r="M22" i="12"/>
  <c r="M23" i="12"/>
  <c r="M24" i="12"/>
  <c r="M10" i="12"/>
  <c r="M11" i="12"/>
  <c r="M12" i="12"/>
  <c r="M13" i="12"/>
  <c r="F20" i="12"/>
  <c r="F23" i="12"/>
  <c r="B12" i="8"/>
  <c r="B13" i="8" s="1"/>
  <c r="B68" i="1"/>
  <c r="B72" i="1" s="1"/>
  <c r="B69" i="1"/>
  <c r="AG5" i="12"/>
  <c r="AG9" i="12"/>
  <c r="AG17" i="12"/>
  <c r="AG6" i="12"/>
  <c r="AG4" i="12"/>
  <c r="AG18" i="12"/>
  <c r="AG7" i="12"/>
  <c r="AG15" i="12"/>
  <c r="B86" i="7"/>
  <c r="B85" i="7" s="1"/>
  <c r="B84" i="7" s="1"/>
  <c r="AG8" i="12"/>
  <c r="BA6" i="12"/>
  <c r="BA4" i="12"/>
  <c r="BA7" i="12"/>
  <c r="BA16" i="12"/>
  <c r="BA8" i="12"/>
  <c r="BA15" i="12"/>
  <c r="BA17" i="12"/>
  <c r="BA9" i="12"/>
  <c r="BA5" i="12"/>
  <c r="BA18" i="12"/>
  <c r="M7" i="12"/>
  <c r="M16" i="12"/>
  <c r="M15" i="12"/>
  <c r="M9" i="12"/>
  <c r="M5" i="12"/>
  <c r="M18" i="12"/>
  <c r="M8" i="12"/>
  <c r="M17" i="12"/>
  <c r="M4" i="12"/>
  <c r="M6" i="12"/>
  <c r="AA24" i="12"/>
  <c r="G13" i="12"/>
  <c r="B43" i="7"/>
  <c r="AP11" i="12" l="1"/>
  <c r="AP21" i="12"/>
  <c r="AU21" i="12"/>
  <c r="AU20" i="12"/>
  <c r="AA22" i="12"/>
  <c r="G10" i="12"/>
  <c r="AA23" i="12"/>
  <c r="AA19" i="12"/>
  <c r="AA20" i="12"/>
  <c r="G11" i="12"/>
  <c r="AA21" i="12"/>
  <c r="AU19" i="12"/>
  <c r="G12" i="12"/>
  <c r="G19" i="12"/>
  <c r="G20" i="12"/>
  <c r="B83" i="7"/>
  <c r="B42" i="7"/>
  <c r="B38" i="2"/>
  <c r="AP12" i="12" l="1"/>
  <c r="AP22" i="12"/>
  <c r="AU22" i="12" s="1"/>
  <c r="AA10" i="12"/>
  <c r="AU10" i="12"/>
  <c r="G21" i="12"/>
  <c r="B82" i="7"/>
  <c r="B41" i="7"/>
  <c r="B12" i="2"/>
  <c r="D12" i="2"/>
  <c r="C12" i="2"/>
  <c r="B24" i="1"/>
  <c r="B59" i="1"/>
  <c r="B61" i="1" s="1"/>
  <c r="D4" i="2"/>
  <c r="B4" i="2"/>
  <c r="AP13" i="12" l="1"/>
  <c r="AP24" i="12" s="1"/>
  <c r="AU24" i="12" s="1"/>
  <c r="AP23" i="12"/>
  <c r="AU23" i="12" s="1"/>
  <c r="AA11" i="12"/>
  <c r="AU11" i="12"/>
  <c r="G22" i="12"/>
  <c r="G23" i="12"/>
  <c r="B81" i="7"/>
  <c r="B40" i="7"/>
  <c r="C27" i="1"/>
  <c r="B62" i="1"/>
  <c r="B27" i="1"/>
  <c r="D27" i="1"/>
  <c r="AA13" i="12" l="1"/>
  <c r="AA12" i="12"/>
  <c r="AU13" i="12"/>
  <c r="AU12" i="12"/>
  <c r="G24" i="12"/>
  <c r="B80" i="7"/>
  <c r="B79" i="7" s="1"/>
  <c r="B39" i="7"/>
  <c r="B78" i="7" l="1"/>
  <c r="B38" i="7"/>
  <c r="B77" i="7" l="1"/>
  <c r="B37" i="7"/>
  <c r="B76" i="7" l="1"/>
  <c r="B36" i="7"/>
  <c r="B75" i="7" l="1"/>
  <c r="B35" i="7"/>
  <c r="B74" i="7" l="1"/>
  <c r="B34" i="7"/>
  <c r="B33" i="7" s="1"/>
  <c r="B73" i="7" l="1"/>
  <c r="B72" i="7" l="1"/>
  <c r="B32" i="7"/>
  <c r="B71" i="7" l="1"/>
  <c r="B31" i="7"/>
  <c r="B70" i="7" l="1"/>
  <c r="B30" i="7"/>
  <c r="B69" i="7" l="1"/>
  <c r="B29" i="7"/>
  <c r="B68" i="7" l="1"/>
  <c r="B28" i="7"/>
  <c r="B67" i="7" l="1"/>
  <c r="B27" i="7"/>
  <c r="B66" i="7" l="1"/>
  <c r="B26" i="7"/>
  <c r="B65" i="7" l="1"/>
  <c r="B25" i="7"/>
  <c r="B64" i="7" l="1"/>
  <c r="B24" i="7"/>
  <c r="B63" i="7" l="1"/>
  <c r="B23" i="7"/>
  <c r="B62" i="7" l="1"/>
  <c r="B22" i="7"/>
  <c r="B61" i="7" l="1"/>
  <c r="B21" i="7"/>
  <c r="B60" i="7" l="1"/>
  <c r="B20" i="7"/>
  <c r="B59" i="7" l="1"/>
  <c r="B19" i="7"/>
  <c r="B58" i="7" l="1"/>
  <c r="B18" i="7"/>
  <c r="B57" i="7" l="1"/>
  <c r="B17" i="7"/>
  <c r="B56" i="7" l="1"/>
  <c r="B16" i="7"/>
  <c r="B55" i="7" l="1"/>
  <c r="B15" i="7"/>
  <c r="B54" i="7" l="1"/>
  <c r="B14" i="7"/>
  <c r="B53" i="7" l="1"/>
  <c r="B13" i="7"/>
  <c r="B52" i="7" l="1"/>
  <c r="B12" i="7"/>
  <c r="B51" i="7" l="1"/>
  <c r="B11" i="7"/>
  <c r="B50" i="7" l="1"/>
  <c r="B10" i="7"/>
  <c r="B49" i="7" l="1"/>
  <c r="B9" i="7"/>
  <c r="B48" i="7" l="1"/>
  <c r="B8" i="7"/>
  <c r="B47" i="7" l="1"/>
  <c r="B7" i="7"/>
  <c r="B6" i="7" l="1"/>
  <c r="B5" i="7" l="1"/>
  <c r="B4" i="7" s="1"/>
  <c r="B33" i="1" l="1"/>
  <c r="C33" i="1"/>
  <c r="B34" i="1"/>
  <c r="C34" i="1"/>
  <c r="B49" i="1"/>
  <c r="G4" i="7"/>
  <c r="H4" i="7"/>
  <c r="J4" i="7"/>
  <c r="V4" i="7"/>
  <c r="W4" i="7"/>
  <c r="Y4" i="7"/>
  <c r="AK4" i="7"/>
  <c r="AL4" i="7"/>
  <c r="AN4" i="7"/>
  <c r="G5" i="7"/>
  <c r="H5" i="7"/>
  <c r="J5" i="7"/>
  <c r="V5" i="7"/>
  <c r="W5" i="7"/>
  <c r="Y5" i="7"/>
  <c r="AK5" i="7"/>
  <c r="AL5" i="7"/>
  <c r="AN5" i="7"/>
  <c r="G6" i="7"/>
  <c r="H6" i="7"/>
  <c r="J6" i="7"/>
  <c r="V6" i="7"/>
  <c r="W6" i="7"/>
  <c r="Y6" i="7"/>
  <c r="AK6" i="7"/>
  <c r="AL6" i="7"/>
  <c r="AN6" i="7"/>
  <c r="G7" i="7"/>
  <c r="H7" i="7"/>
  <c r="J7" i="7"/>
  <c r="V7" i="7"/>
  <c r="W7" i="7"/>
  <c r="Y7" i="7"/>
  <c r="AK7" i="7"/>
  <c r="AL7" i="7"/>
  <c r="AN7" i="7"/>
  <c r="G8" i="7"/>
  <c r="H8" i="7"/>
  <c r="J8" i="7"/>
  <c r="V8" i="7"/>
  <c r="W8" i="7"/>
  <c r="Y8" i="7"/>
  <c r="AK8" i="7"/>
  <c r="AL8" i="7"/>
  <c r="AN8" i="7"/>
  <c r="G9" i="7"/>
  <c r="H9" i="7"/>
  <c r="J9" i="7"/>
  <c r="V9" i="7"/>
  <c r="W9" i="7"/>
  <c r="Y9" i="7"/>
  <c r="AK9" i="7"/>
  <c r="AL9" i="7"/>
  <c r="AN9" i="7"/>
  <c r="G10" i="7"/>
  <c r="H10" i="7"/>
  <c r="J10" i="7"/>
  <c r="V10" i="7"/>
  <c r="W10" i="7"/>
  <c r="Y10" i="7"/>
  <c r="AK10" i="7"/>
  <c r="AL10" i="7"/>
  <c r="AN10" i="7"/>
  <c r="G11" i="7"/>
  <c r="H11" i="7"/>
  <c r="J11" i="7"/>
  <c r="V11" i="7"/>
  <c r="W11" i="7"/>
  <c r="Y11" i="7"/>
  <c r="AK11" i="7"/>
  <c r="AL11" i="7"/>
  <c r="AN11" i="7"/>
  <c r="G12" i="7"/>
  <c r="H12" i="7"/>
  <c r="J12" i="7"/>
  <c r="V12" i="7"/>
  <c r="W12" i="7"/>
  <c r="Y12" i="7"/>
  <c r="AK12" i="7"/>
  <c r="AL12" i="7"/>
  <c r="AN12" i="7"/>
  <c r="G13" i="7"/>
  <c r="H13" i="7"/>
  <c r="J13" i="7"/>
  <c r="V13" i="7"/>
  <c r="W13" i="7"/>
  <c r="Y13" i="7"/>
  <c r="AK13" i="7"/>
  <c r="AL13" i="7"/>
  <c r="AN13" i="7"/>
  <c r="G14" i="7"/>
  <c r="H14" i="7"/>
  <c r="J14" i="7"/>
  <c r="V14" i="7"/>
  <c r="W14" i="7"/>
  <c r="Y14" i="7"/>
  <c r="AK14" i="7"/>
  <c r="AL14" i="7"/>
  <c r="AN14" i="7"/>
  <c r="G15" i="7"/>
  <c r="H15" i="7"/>
  <c r="J15" i="7"/>
  <c r="V15" i="7"/>
  <c r="W15" i="7"/>
  <c r="Y15" i="7"/>
  <c r="AK15" i="7"/>
  <c r="AL15" i="7"/>
  <c r="AN15" i="7"/>
  <c r="G16" i="7"/>
  <c r="H16" i="7"/>
  <c r="J16" i="7"/>
  <c r="V16" i="7"/>
  <c r="W16" i="7"/>
  <c r="Y16" i="7"/>
  <c r="AK16" i="7"/>
  <c r="AL16" i="7"/>
  <c r="AN16" i="7"/>
  <c r="G17" i="7"/>
  <c r="H17" i="7"/>
  <c r="J17" i="7"/>
  <c r="V17" i="7"/>
  <c r="W17" i="7"/>
  <c r="Y17" i="7"/>
  <c r="AK17" i="7"/>
  <c r="AL17" i="7"/>
  <c r="AN17" i="7"/>
  <c r="G18" i="7"/>
  <c r="H18" i="7"/>
  <c r="J18" i="7"/>
  <c r="V18" i="7"/>
  <c r="W18" i="7"/>
  <c r="Y18" i="7"/>
  <c r="AK18" i="7"/>
  <c r="AL18" i="7"/>
  <c r="AN18" i="7"/>
  <c r="G19" i="7"/>
  <c r="H19" i="7"/>
  <c r="J19" i="7"/>
  <c r="V19" i="7"/>
  <c r="W19" i="7"/>
  <c r="Y19" i="7"/>
  <c r="AK19" i="7"/>
  <c r="AL19" i="7"/>
  <c r="AN19" i="7"/>
  <c r="G20" i="7"/>
  <c r="H20" i="7"/>
  <c r="J20" i="7"/>
  <c r="V20" i="7"/>
  <c r="W20" i="7"/>
  <c r="Y20" i="7"/>
  <c r="AK20" i="7"/>
  <c r="AL20" i="7"/>
  <c r="AN20" i="7"/>
  <c r="G21" i="7"/>
  <c r="H21" i="7"/>
  <c r="J21" i="7"/>
  <c r="V21" i="7"/>
  <c r="W21" i="7"/>
  <c r="Y21" i="7"/>
  <c r="AK21" i="7"/>
  <c r="AL21" i="7"/>
  <c r="AN21" i="7"/>
  <c r="G22" i="7"/>
  <c r="H22" i="7"/>
  <c r="J22" i="7"/>
  <c r="V22" i="7"/>
  <c r="W22" i="7"/>
  <c r="Y22" i="7"/>
  <c r="AK22" i="7"/>
  <c r="AL22" i="7"/>
  <c r="AN22" i="7"/>
  <c r="G23" i="7"/>
  <c r="H23" i="7"/>
  <c r="J23" i="7"/>
  <c r="V23" i="7"/>
  <c r="W23" i="7"/>
  <c r="Y23" i="7"/>
  <c r="AK23" i="7"/>
  <c r="AL23" i="7"/>
  <c r="AN23" i="7"/>
  <c r="G24" i="7"/>
  <c r="H24" i="7"/>
  <c r="J24" i="7"/>
  <c r="V24" i="7"/>
  <c r="W24" i="7"/>
  <c r="Y24" i="7"/>
  <c r="AK24" i="7"/>
  <c r="AL24" i="7"/>
  <c r="AN24" i="7"/>
  <c r="G25" i="7"/>
  <c r="H25" i="7"/>
  <c r="J25" i="7"/>
  <c r="V25" i="7"/>
  <c r="W25" i="7"/>
  <c r="Y25" i="7"/>
  <c r="AK25" i="7"/>
  <c r="AL25" i="7"/>
  <c r="AN25" i="7"/>
  <c r="G26" i="7"/>
  <c r="H26" i="7"/>
  <c r="J26" i="7"/>
  <c r="V26" i="7"/>
  <c r="W26" i="7"/>
  <c r="Y26" i="7"/>
  <c r="AK26" i="7"/>
  <c r="AL26" i="7"/>
  <c r="AN26" i="7"/>
  <c r="G27" i="7"/>
  <c r="H27" i="7"/>
  <c r="J27" i="7"/>
  <c r="V27" i="7"/>
  <c r="W27" i="7"/>
  <c r="Y27" i="7"/>
  <c r="AK27" i="7"/>
  <c r="AL27" i="7"/>
  <c r="AN27" i="7"/>
  <c r="G28" i="7"/>
  <c r="H28" i="7"/>
  <c r="J28" i="7"/>
  <c r="V28" i="7"/>
  <c r="W28" i="7"/>
  <c r="Y28" i="7"/>
  <c r="AK28" i="7"/>
  <c r="AL28" i="7"/>
  <c r="AN28" i="7"/>
  <c r="G29" i="7"/>
  <c r="H29" i="7"/>
  <c r="J29" i="7"/>
  <c r="V29" i="7"/>
  <c r="W29" i="7"/>
  <c r="Y29" i="7"/>
  <c r="AK29" i="7"/>
  <c r="AL29" i="7"/>
  <c r="AN29" i="7"/>
  <c r="G30" i="7"/>
  <c r="H30" i="7"/>
  <c r="J30" i="7"/>
  <c r="V30" i="7"/>
  <c r="W30" i="7"/>
  <c r="Y30" i="7"/>
  <c r="AK30" i="7"/>
  <c r="AL30" i="7"/>
  <c r="AN30" i="7"/>
  <c r="G31" i="7"/>
  <c r="H31" i="7"/>
  <c r="J31" i="7"/>
  <c r="V31" i="7"/>
  <c r="W31" i="7"/>
  <c r="Y31" i="7"/>
  <c r="AK31" i="7"/>
  <c r="AL31" i="7"/>
  <c r="AN31" i="7"/>
  <c r="G32" i="7"/>
  <c r="H32" i="7"/>
  <c r="J32" i="7"/>
  <c r="V32" i="7"/>
  <c r="W32" i="7"/>
  <c r="Y32" i="7"/>
  <c r="AK32" i="7"/>
  <c r="AL32" i="7"/>
  <c r="AN32" i="7"/>
  <c r="G33" i="7"/>
  <c r="H33" i="7"/>
  <c r="J33" i="7"/>
  <c r="V33" i="7"/>
  <c r="W33" i="7"/>
  <c r="Y33" i="7"/>
  <c r="AK33" i="7"/>
  <c r="AL33" i="7"/>
  <c r="AN33" i="7"/>
  <c r="G34" i="7"/>
  <c r="H34" i="7"/>
  <c r="J34" i="7"/>
  <c r="V34" i="7"/>
  <c r="W34" i="7"/>
  <c r="Y34" i="7"/>
  <c r="AK34" i="7"/>
  <c r="AL34" i="7"/>
  <c r="AN34" i="7"/>
  <c r="G35" i="7"/>
  <c r="H35" i="7"/>
  <c r="J35" i="7"/>
  <c r="V35" i="7"/>
  <c r="W35" i="7"/>
  <c r="Y35" i="7"/>
  <c r="AK35" i="7"/>
  <c r="AL35" i="7"/>
  <c r="AN35" i="7"/>
  <c r="G36" i="7"/>
  <c r="H36" i="7"/>
  <c r="J36" i="7"/>
  <c r="V36" i="7"/>
  <c r="W36" i="7"/>
  <c r="Y36" i="7"/>
  <c r="AK36" i="7"/>
  <c r="AL36" i="7"/>
  <c r="AN36" i="7"/>
  <c r="G37" i="7"/>
  <c r="H37" i="7"/>
  <c r="J37" i="7"/>
  <c r="V37" i="7"/>
  <c r="W37" i="7"/>
  <c r="Y37" i="7"/>
  <c r="AK37" i="7"/>
  <c r="AL37" i="7"/>
  <c r="AN37" i="7"/>
  <c r="G38" i="7"/>
  <c r="H38" i="7"/>
  <c r="J38" i="7"/>
  <c r="V38" i="7"/>
  <c r="W38" i="7"/>
  <c r="Y38" i="7"/>
  <c r="AK38" i="7"/>
  <c r="AL38" i="7"/>
  <c r="AN38" i="7"/>
  <c r="G39" i="7"/>
  <c r="H39" i="7"/>
  <c r="J39" i="7"/>
  <c r="V39" i="7"/>
  <c r="W39" i="7"/>
  <c r="Y39" i="7"/>
  <c r="AK39" i="7"/>
  <c r="AL39" i="7"/>
  <c r="AN39" i="7"/>
  <c r="G40" i="7"/>
  <c r="H40" i="7"/>
  <c r="J40" i="7"/>
  <c r="V40" i="7"/>
  <c r="W40" i="7"/>
  <c r="Y40" i="7"/>
  <c r="AK40" i="7"/>
  <c r="AL40" i="7"/>
  <c r="AN40" i="7"/>
  <c r="G41" i="7"/>
  <c r="H41" i="7"/>
  <c r="J41" i="7"/>
  <c r="V41" i="7"/>
  <c r="W41" i="7"/>
  <c r="Y41" i="7"/>
  <c r="AK41" i="7"/>
  <c r="AL41" i="7"/>
  <c r="AN41" i="7"/>
  <c r="G42" i="7"/>
  <c r="H42" i="7"/>
  <c r="J42" i="7"/>
  <c r="V42" i="7"/>
  <c r="W42" i="7"/>
  <c r="Y42" i="7"/>
  <c r="AK42" i="7"/>
  <c r="AL42" i="7"/>
  <c r="AN42" i="7"/>
  <c r="G43" i="7"/>
  <c r="H43" i="7"/>
  <c r="J43" i="7"/>
  <c r="V43" i="7"/>
  <c r="W43" i="7"/>
  <c r="Y43" i="7"/>
  <c r="AK43" i="7"/>
  <c r="AL43" i="7"/>
  <c r="AN43" i="7"/>
  <c r="G44" i="7"/>
  <c r="H44" i="7"/>
  <c r="J44" i="7"/>
  <c r="V44" i="7"/>
  <c r="W44" i="7"/>
  <c r="Y44" i="7"/>
  <c r="AK44" i="7"/>
  <c r="AL44" i="7"/>
  <c r="AN44" i="7"/>
  <c r="G47" i="7"/>
  <c r="H47" i="7"/>
  <c r="J47" i="7"/>
  <c r="V47" i="7"/>
  <c r="W47" i="7"/>
  <c r="Y47" i="7"/>
  <c r="AK47" i="7"/>
  <c r="AL47" i="7"/>
  <c r="AN47" i="7"/>
  <c r="G48" i="7"/>
  <c r="H48" i="7"/>
  <c r="J48" i="7"/>
  <c r="V48" i="7"/>
  <c r="W48" i="7"/>
  <c r="Y48" i="7"/>
  <c r="AK48" i="7"/>
  <c r="AL48" i="7"/>
  <c r="AN48" i="7"/>
  <c r="G49" i="7"/>
  <c r="H49" i="7"/>
  <c r="J49" i="7"/>
  <c r="V49" i="7"/>
  <c r="W49" i="7"/>
  <c r="Y49" i="7"/>
  <c r="AK49" i="7"/>
  <c r="AL49" i="7"/>
  <c r="AN49" i="7"/>
  <c r="G50" i="7"/>
  <c r="H50" i="7"/>
  <c r="J50" i="7"/>
  <c r="V50" i="7"/>
  <c r="W50" i="7"/>
  <c r="Y50" i="7"/>
  <c r="AK50" i="7"/>
  <c r="AL50" i="7"/>
  <c r="AN50" i="7"/>
  <c r="G51" i="7"/>
  <c r="H51" i="7"/>
  <c r="J51" i="7"/>
  <c r="V51" i="7"/>
  <c r="W51" i="7"/>
  <c r="Y51" i="7"/>
  <c r="AK51" i="7"/>
  <c r="AL51" i="7"/>
  <c r="AN51" i="7"/>
  <c r="G52" i="7"/>
  <c r="H52" i="7"/>
  <c r="J52" i="7"/>
  <c r="V52" i="7"/>
  <c r="W52" i="7"/>
  <c r="Y52" i="7"/>
  <c r="AK52" i="7"/>
  <c r="AL52" i="7"/>
  <c r="AN52" i="7"/>
  <c r="G53" i="7"/>
  <c r="H53" i="7"/>
  <c r="J53" i="7"/>
  <c r="V53" i="7"/>
  <c r="W53" i="7"/>
  <c r="Y53" i="7"/>
  <c r="AK53" i="7"/>
  <c r="AL53" i="7"/>
  <c r="AN53" i="7"/>
  <c r="G54" i="7"/>
  <c r="H54" i="7"/>
  <c r="J54" i="7"/>
  <c r="V54" i="7"/>
  <c r="W54" i="7"/>
  <c r="Y54" i="7"/>
  <c r="AK54" i="7"/>
  <c r="AL54" i="7"/>
  <c r="AN54" i="7"/>
  <c r="G55" i="7"/>
  <c r="H55" i="7"/>
  <c r="J55" i="7"/>
  <c r="V55" i="7"/>
  <c r="W55" i="7"/>
  <c r="Y55" i="7"/>
  <c r="AK55" i="7"/>
  <c r="AL55" i="7"/>
  <c r="AN55" i="7"/>
  <c r="G56" i="7"/>
  <c r="H56" i="7"/>
  <c r="J56" i="7"/>
  <c r="V56" i="7"/>
  <c r="W56" i="7"/>
  <c r="Y56" i="7"/>
  <c r="AK56" i="7"/>
  <c r="AL56" i="7"/>
  <c r="AN56" i="7"/>
  <c r="G57" i="7"/>
  <c r="H57" i="7"/>
  <c r="J57" i="7"/>
  <c r="V57" i="7"/>
  <c r="W57" i="7"/>
  <c r="Y57" i="7"/>
  <c r="AK57" i="7"/>
  <c r="AL57" i="7"/>
  <c r="AN57" i="7"/>
  <c r="G58" i="7"/>
  <c r="H58" i="7"/>
  <c r="J58" i="7"/>
  <c r="V58" i="7"/>
  <c r="W58" i="7"/>
  <c r="Y58" i="7"/>
  <c r="AK58" i="7"/>
  <c r="AL58" i="7"/>
  <c r="AN58" i="7"/>
  <c r="G59" i="7"/>
  <c r="H59" i="7"/>
  <c r="J59" i="7"/>
  <c r="V59" i="7"/>
  <c r="W59" i="7"/>
  <c r="Y59" i="7"/>
  <c r="AK59" i="7"/>
  <c r="AL59" i="7"/>
  <c r="AN59" i="7"/>
  <c r="G60" i="7"/>
  <c r="H60" i="7"/>
  <c r="J60" i="7"/>
  <c r="V60" i="7"/>
  <c r="W60" i="7"/>
  <c r="Y60" i="7"/>
  <c r="AK60" i="7"/>
  <c r="AL60" i="7"/>
  <c r="AN60" i="7"/>
  <c r="G61" i="7"/>
  <c r="H61" i="7"/>
  <c r="J61" i="7"/>
  <c r="V61" i="7"/>
  <c r="W61" i="7"/>
  <c r="Y61" i="7"/>
  <c r="AK61" i="7"/>
  <c r="AL61" i="7"/>
  <c r="AN61" i="7"/>
  <c r="G62" i="7"/>
  <c r="H62" i="7"/>
  <c r="J62" i="7"/>
  <c r="V62" i="7"/>
  <c r="W62" i="7"/>
  <c r="Y62" i="7"/>
  <c r="AK62" i="7"/>
  <c r="AL62" i="7"/>
  <c r="AN62" i="7"/>
  <c r="G63" i="7"/>
  <c r="H63" i="7"/>
  <c r="J63" i="7"/>
  <c r="V63" i="7"/>
  <c r="W63" i="7"/>
  <c r="Y63" i="7"/>
  <c r="AK63" i="7"/>
  <c r="AL63" i="7"/>
  <c r="AN63" i="7"/>
  <c r="G64" i="7"/>
  <c r="H64" i="7"/>
  <c r="J64" i="7"/>
  <c r="V64" i="7"/>
  <c r="W64" i="7"/>
  <c r="Y64" i="7"/>
  <c r="AK64" i="7"/>
  <c r="AL64" i="7"/>
  <c r="AN64" i="7"/>
  <c r="G65" i="7"/>
  <c r="H65" i="7"/>
  <c r="J65" i="7"/>
  <c r="V65" i="7"/>
  <c r="W65" i="7"/>
  <c r="Y65" i="7"/>
  <c r="AK65" i="7"/>
  <c r="AL65" i="7"/>
  <c r="AN65" i="7"/>
  <c r="G66" i="7"/>
  <c r="H66" i="7"/>
  <c r="J66" i="7"/>
  <c r="V66" i="7"/>
  <c r="W66" i="7"/>
  <c r="Y66" i="7"/>
  <c r="AK66" i="7"/>
  <c r="AL66" i="7"/>
  <c r="AN66" i="7"/>
  <c r="G67" i="7"/>
  <c r="H67" i="7"/>
  <c r="J67" i="7"/>
  <c r="V67" i="7"/>
  <c r="W67" i="7"/>
  <c r="Y67" i="7"/>
  <c r="AK67" i="7"/>
  <c r="AL67" i="7"/>
  <c r="AN67" i="7"/>
  <c r="G68" i="7"/>
  <c r="H68" i="7"/>
  <c r="J68" i="7"/>
  <c r="V68" i="7"/>
  <c r="W68" i="7"/>
  <c r="Y68" i="7"/>
  <c r="AK68" i="7"/>
  <c r="AL68" i="7"/>
  <c r="AN68" i="7"/>
  <c r="G69" i="7"/>
  <c r="H69" i="7"/>
  <c r="J69" i="7"/>
  <c r="V69" i="7"/>
  <c r="W69" i="7"/>
  <c r="Y69" i="7"/>
  <c r="AK69" i="7"/>
  <c r="AL69" i="7"/>
  <c r="AN69" i="7"/>
  <c r="G70" i="7"/>
  <c r="H70" i="7"/>
  <c r="J70" i="7"/>
  <c r="V70" i="7"/>
  <c r="W70" i="7"/>
  <c r="Y70" i="7"/>
  <c r="AK70" i="7"/>
  <c r="AL70" i="7"/>
  <c r="AN70" i="7"/>
  <c r="G71" i="7"/>
  <c r="H71" i="7"/>
  <c r="J71" i="7"/>
  <c r="V71" i="7"/>
  <c r="W71" i="7"/>
  <c r="Y71" i="7"/>
  <c r="AK71" i="7"/>
  <c r="AL71" i="7"/>
  <c r="AN71" i="7"/>
  <c r="G72" i="7"/>
  <c r="H72" i="7"/>
  <c r="J72" i="7"/>
  <c r="V72" i="7"/>
  <c r="W72" i="7"/>
  <c r="Y72" i="7"/>
  <c r="AK72" i="7"/>
  <c r="AL72" i="7"/>
  <c r="AN72" i="7"/>
  <c r="G73" i="7"/>
  <c r="H73" i="7"/>
  <c r="J73" i="7"/>
  <c r="V73" i="7"/>
  <c r="W73" i="7"/>
  <c r="Y73" i="7"/>
  <c r="AK73" i="7"/>
  <c r="AL73" i="7"/>
  <c r="AN73" i="7"/>
  <c r="G74" i="7"/>
  <c r="H74" i="7"/>
  <c r="J74" i="7"/>
  <c r="V74" i="7"/>
  <c r="W74" i="7"/>
  <c r="Y74" i="7"/>
  <c r="AK74" i="7"/>
  <c r="AL74" i="7"/>
  <c r="AN74" i="7"/>
  <c r="G75" i="7"/>
  <c r="H75" i="7"/>
  <c r="J75" i="7"/>
  <c r="V75" i="7"/>
  <c r="W75" i="7"/>
  <c r="Y75" i="7"/>
  <c r="AK75" i="7"/>
  <c r="AL75" i="7"/>
  <c r="AN75" i="7"/>
  <c r="G76" i="7"/>
  <c r="H76" i="7"/>
  <c r="J76" i="7"/>
  <c r="V76" i="7"/>
  <c r="W76" i="7"/>
  <c r="Y76" i="7"/>
  <c r="AK76" i="7"/>
  <c r="AL76" i="7"/>
  <c r="AN76" i="7"/>
  <c r="G77" i="7"/>
  <c r="H77" i="7"/>
  <c r="J77" i="7"/>
  <c r="V77" i="7"/>
  <c r="W77" i="7"/>
  <c r="Y77" i="7"/>
  <c r="AK77" i="7"/>
  <c r="AL77" i="7"/>
  <c r="AN77" i="7"/>
  <c r="G78" i="7"/>
  <c r="H78" i="7"/>
  <c r="J78" i="7"/>
  <c r="V78" i="7"/>
  <c r="W78" i="7"/>
  <c r="Y78" i="7"/>
  <c r="AK78" i="7"/>
  <c r="AL78" i="7"/>
  <c r="AN78" i="7"/>
  <c r="G79" i="7"/>
  <c r="H79" i="7"/>
  <c r="J79" i="7"/>
  <c r="V79" i="7"/>
  <c r="W79" i="7"/>
  <c r="Y79" i="7"/>
  <c r="AK79" i="7"/>
  <c r="AL79" i="7"/>
  <c r="AN79" i="7"/>
  <c r="G80" i="7"/>
  <c r="H80" i="7"/>
  <c r="J80" i="7"/>
  <c r="V80" i="7"/>
  <c r="W80" i="7"/>
  <c r="Y80" i="7"/>
  <c r="AK80" i="7"/>
  <c r="AL80" i="7"/>
  <c r="AN80" i="7"/>
  <c r="G81" i="7"/>
  <c r="H81" i="7"/>
  <c r="J81" i="7"/>
  <c r="V81" i="7"/>
  <c r="W81" i="7"/>
  <c r="Y81" i="7"/>
  <c r="AK81" i="7"/>
  <c r="AL81" i="7"/>
  <c r="AN81" i="7"/>
  <c r="G82" i="7"/>
  <c r="H82" i="7"/>
  <c r="J82" i="7"/>
  <c r="V82" i="7"/>
  <c r="W82" i="7"/>
  <c r="Y82" i="7"/>
  <c r="AK82" i="7"/>
  <c r="AL82" i="7"/>
  <c r="AN82" i="7"/>
  <c r="G83" i="7"/>
  <c r="H83" i="7"/>
  <c r="J83" i="7"/>
  <c r="V83" i="7"/>
  <c r="W83" i="7"/>
  <c r="Y83" i="7"/>
  <c r="AK83" i="7"/>
  <c r="AL83" i="7"/>
  <c r="AN83" i="7"/>
  <c r="G84" i="7"/>
  <c r="H84" i="7"/>
  <c r="J84" i="7"/>
  <c r="V84" i="7"/>
  <c r="W84" i="7"/>
  <c r="Y84" i="7"/>
  <c r="AK84" i="7"/>
  <c r="AL84" i="7"/>
  <c r="AN84" i="7"/>
  <c r="G85" i="7"/>
  <c r="H85" i="7"/>
  <c r="J85" i="7"/>
  <c r="V85" i="7"/>
  <c r="W85" i="7"/>
  <c r="Y85" i="7"/>
  <c r="AK85" i="7"/>
  <c r="AL85" i="7"/>
  <c r="AN85" i="7"/>
  <c r="G86" i="7"/>
  <c r="H86" i="7"/>
  <c r="J86" i="7"/>
  <c r="V86" i="7"/>
  <c r="W86" i="7"/>
  <c r="Y86" i="7"/>
  <c r="AK86" i="7"/>
  <c r="AL86" i="7"/>
  <c r="AN86" i="7"/>
  <c r="G87" i="7"/>
  <c r="H87" i="7"/>
  <c r="J87" i="7"/>
  <c r="V87" i="7"/>
  <c r="W87" i="7"/>
  <c r="Y87" i="7"/>
  <c r="AK87" i="7"/>
  <c r="AL87" i="7"/>
  <c r="AN87" i="7"/>
  <c r="F4" i="12"/>
  <c r="G4" i="12"/>
  <c r="I4" i="12"/>
  <c r="Z4" i="12"/>
  <c r="AA4" i="12"/>
  <c r="AC4" i="12"/>
  <c r="AT4" i="12"/>
  <c r="AU4" i="12"/>
  <c r="AW4" i="12"/>
  <c r="F5" i="12"/>
  <c r="G5" i="12"/>
  <c r="I5" i="12"/>
  <c r="Z5" i="12"/>
  <c r="AA5" i="12"/>
  <c r="AC5" i="12"/>
  <c r="AT5" i="12"/>
  <c r="AU5" i="12"/>
  <c r="AW5" i="12"/>
  <c r="F6" i="12"/>
  <c r="G6" i="12"/>
  <c r="I6" i="12"/>
  <c r="Z6" i="12"/>
  <c r="AA6" i="12"/>
  <c r="AC6" i="12"/>
  <c r="AT6" i="12"/>
  <c r="AU6" i="12"/>
  <c r="AW6" i="12"/>
  <c r="F7" i="12"/>
  <c r="G7" i="12"/>
  <c r="I7" i="12"/>
  <c r="Z7" i="12"/>
  <c r="AA7" i="12"/>
  <c r="AC7" i="12"/>
  <c r="AT7" i="12"/>
  <c r="AU7" i="12"/>
  <c r="AW7" i="12"/>
  <c r="F8" i="12"/>
  <c r="G8" i="12"/>
  <c r="I8" i="12"/>
  <c r="Z8" i="12"/>
  <c r="AA8" i="12"/>
  <c r="AC8" i="12"/>
  <c r="AT8" i="12"/>
  <c r="AU8" i="12"/>
  <c r="AW8" i="12"/>
  <c r="F9" i="12"/>
  <c r="G9" i="12"/>
  <c r="I9" i="12"/>
  <c r="Z9" i="12"/>
  <c r="AA9" i="12"/>
  <c r="AC9" i="12"/>
  <c r="AT9" i="12"/>
  <c r="AU9" i="12"/>
  <c r="AW9" i="12"/>
  <c r="F15" i="12"/>
  <c r="G15" i="12"/>
  <c r="I15" i="12"/>
  <c r="Z15" i="12"/>
  <c r="AA15" i="12"/>
  <c r="AC15" i="12"/>
  <c r="AT15" i="12"/>
  <c r="AU15" i="12"/>
  <c r="AW15" i="12"/>
  <c r="F16" i="12"/>
  <c r="G16" i="12"/>
  <c r="I16" i="12"/>
  <c r="Z16" i="12"/>
  <c r="AA16" i="12"/>
  <c r="AC16" i="12"/>
  <c r="AT16" i="12"/>
  <c r="AU16" i="12"/>
  <c r="AW16" i="12"/>
  <c r="F17" i="12"/>
  <c r="G17" i="12"/>
  <c r="I17" i="12"/>
  <c r="Z17" i="12"/>
  <c r="AA17" i="12"/>
  <c r="AC17" i="12"/>
  <c r="AT17" i="12"/>
  <c r="AU17" i="12"/>
  <c r="AW17" i="12"/>
  <c r="F18" i="12"/>
  <c r="G18" i="12"/>
  <c r="I18" i="12"/>
  <c r="Z18" i="12"/>
  <c r="AA18" i="12"/>
  <c r="AC18" i="12"/>
  <c r="AT18" i="12"/>
  <c r="AU18" i="12"/>
  <c r="B17" i="8"/>
  <c r="B28" i="1"/>
  <c r="C28" i="1"/>
  <c r="D28" i="1"/>
  <c r="B30" i="1"/>
  <c r="E31" i="1"/>
  <c r="B36" i="1"/>
  <c r="B38" i="1"/>
  <c r="C38" i="1"/>
  <c r="B39" i="1"/>
  <c r="B42" i="1"/>
  <c r="B43" i="1"/>
  <c r="B44" i="1"/>
  <c r="B45" i="1"/>
  <c r="B46" i="1"/>
  <c r="B52" i="1"/>
  <c r="B54" i="1"/>
  <c r="B56" i="1"/>
  <c r="B57" i="1"/>
  <c r="B66" i="1"/>
  <c r="B67" i="1"/>
  <c r="C71" i="1"/>
  <c r="D4" i="7"/>
  <c r="E4" i="7"/>
  <c r="F4" i="7"/>
  <c r="I4" i="7"/>
  <c r="K4" i="7"/>
  <c r="L4" i="7"/>
  <c r="M4" i="7"/>
  <c r="N4" i="7"/>
  <c r="O4" i="7"/>
  <c r="P4" i="7"/>
  <c r="Q4" i="7"/>
  <c r="S4" i="7"/>
  <c r="T4" i="7"/>
  <c r="U4" i="7"/>
  <c r="X4" i="7"/>
  <c r="Z4" i="7"/>
  <c r="AA4" i="7"/>
  <c r="AB4" i="7"/>
  <c r="AC4" i="7"/>
  <c r="AD4" i="7"/>
  <c r="AE4" i="7"/>
  <c r="AF4" i="7"/>
  <c r="AH4" i="7"/>
  <c r="AI4" i="7"/>
  <c r="AJ4" i="7"/>
  <c r="AM4" i="7"/>
  <c r="AO4" i="7"/>
  <c r="AP4" i="7"/>
  <c r="AQ4" i="7"/>
  <c r="AR4" i="7"/>
  <c r="AS4" i="7"/>
  <c r="AT4" i="7"/>
  <c r="AU4" i="7"/>
  <c r="D5" i="7"/>
  <c r="E5" i="7"/>
  <c r="F5" i="7"/>
  <c r="I5" i="7"/>
  <c r="K5" i="7"/>
  <c r="L5" i="7"/>
  <c r="M5" i="7"/>
  <c r="N5" i="7"/>
  <c r="O5" i="7"/>
  <c r="P5" i="7"/>
  <c r="Q5" i="7"/>
  <c r="S5" i="7"/>
  <c r="T5" i="7"/>
  <c r="U5" i="7"/>
  <c r="X5" i="7"/>
  <c r="Z5" i="7"/>
  <c r="AA5" i="7"/>
  <c r="AB5" i="7"/>
  <c r="AC5" i="7"/>
  <c r="AD5" i="7"/>
  <c r="AE5" i="7"/>
  <c r="AF5" i="7"/>
  <c r="AH5" i="7"/>
  <c r="AI5" i="7"/>
  <c r="AJ5" i="7"/>
  <c r="AM5" i="7"/>
  <c r="AO5" i="7"/>
  <c r="AP5" i="7"/>
  <c r="AQ5" i="7"/>
  <c r="AR5" i="7"/>
  <c r="AS5" i="7"/>
  <c r="AT5" i="7"/>
  <c r="AU5" i="7"/>
  <c r="D6" i="7"/>
  <c r="E6" i="7"/>
  <c r="F6" i="7"/>
  <c r="I6" i="7"/>
  <c r="K6" i="7"/>
  <c r="L6" i="7"/>
  <c r="M6" i="7"/>
  <c r="N6" i="7"/>
  <c r="O6" i="7"/>
  <c r="P6" i="7"/>
  <c r="Q6" i="7"/>
  <c r="S6" i="7"/>
  <c r="T6" i="7"/>
  <c r="U6" i="7"/>
  <c r="X6" i="7"/>
  <c r="Z6" i="7"/>
  <c r="AA6" i="7"/>
  <c r="AB6" i="7"/>
  <c r="AC6" i="7"/>
  <c r="AD6" i="7"/>
  <c r="AE6" i="7"/>
  <c r="AF6" i="7"/>
  <c r="AH6" i="7"/>
  <c r="AI6" i="7"/>
  <c r="AJ6" i="7"/>
  <c r="AM6" i="7"/>
  <c r="AO6" i="7"/>
  <c r="AP6" i="7"/>
  <c r="AQ6" i="7"/>
  <c r="AR6" i="7"/>
  <c r="AS6" i="7"/>
  <c r="AT6" i="7"/>
  <c r="AU6" i="7"/>
  <c r="D7" i="7"/>
  <c r="E7" i="7"/>
  <c r="F7" i="7"/>
  <c r="I7" i="7"/>
  <c r="K7" i="7"/>
  <c r="L7" i="7"/>
  <c r="M7" i="7"/>
  <c r="N7" i="7"/>
  <c r="O7" i="7"/>
  <c r="P7" i="7"/>
  <c r="Q7" i="7"/>
  <c r="S7" i="7"/>
  <c r="T7" i="7"/>
  <c r="U7" i="7"/>
  <c r="X7" i="7"/>
  <c r="Z7" i="7"/>
  <c r="AA7" i="7"/>
  <c r="AB7" i="7"/>
  <c r="AC7" i="7"/>
  <c r="AD7" i="7"/>
  <c r="AE7" i="7"/>
  <c r="AF7" i="7"/>
  <c r="AH7" i="7"/>
  <c r="AI7" i="7"/>
  <c r="AJ7" i="7"/>
  <c r="AM7" i="7"/>
  <c r="AO7" i="7"/>
  <c r="AP7" i="7"/>
  <c r="AQ7" i="7"/>
  <c r="AR7" i="7"/>
  <c r="AS7" i="7"/>
  <c r="AT7" i="7"/>
  <c r="AU7" i="7"/>
  <c r="D8" i="7"/>
  <c r="E8" i="7"/>
  <c r="F8" i="7"/>
  <c r="I8" i="7"/>
  <c r="K8" i="7"/>
  <c r="L8" i="7"/>
  <c r="M8" i="7"/>
  <c r="N8" i="7"/>
  <c r="O8" i="7"/>
  <c r="P8" i="7"/>
  <c r="Q8" i="7"/>
  <c r="S8" i="7"/>
  <c r="T8" i="7"/>
  <c r="U8" i="7"/>
  <c r="X8" i="7"/>
  <c r="Z8" i="7"/>
  <c r="AA8" i="7"/>
  <c r="AB8" i="7"/>
  <c r="AC8" i="7"/>
  <c r="AD8" i="7"/>
  <c r="AE8" i="7"/>
  <c r="AF8" i="7"/>
  <c r="AH8" i="7"/>
  <c r="AI8" i="7"/>
  <c r="AJ8" i="7"/>
  <c r="AM8" i="7"/>
  <c r="AO8" i="7"/>
  <c r="AP8" i="7"/>
  <c r="AQ8" i="7"/>
  <c r="AR8" i="7"/>
  <c r="AS8" i="7"/>
  <c r="AT8" i="7"/>
  <c r="AU8" i="7"/>
  <c r="D9" i="7"/>
  <c r="E9" i="7"/>
  <c r="F9" i="7"/>
  <c r="I9" i="7"/>
  <c r="K9" i="7"/>
  <c r="L9" i="7"/>
  <c r="M9" i="7"/>
  <c r="N9" i="7"/>
  <c r="O9" i="7"/>
  <c r="P9" i="7"/>
  <c r="Q9" i="7"/>
  <c r="S9" i="7"/>
  <c r="T9" i="7"/>
  <c r="U9" i="7"/>
  <c r="X9" i="7"/>
  <c r="Z9" i="7"/>
  <c r="AA9" i="7"/>
  <c r="AB9" i="7"/>
  <c r="AC9" i="7"/>
  <c r="AD9" i="7"/>
  <c r="AE9" i="7"/>
  <c r="AF9" i="7"/>
  <c r="AH9" i="7"/>
  <c r="AI9" i="7"/>
  <c r="AJ9" i="7"/>
  <c r="AM9" i="7"/>
  <c r="AO9" i="7"/>
  <c r="AP9" i="7"/>
  <c r="AQ9" i="7"/>
  <c r="AR9" i="7"/>
  <c r="AS9" i="7"/>
  <c r="AT9" i="7"/>
  <c r="AU9" i="7"/>
  <c r="D10" i="7"/>
  <c r="E10" i="7"/>
  <c r="F10" i="7"/>
  <c r="I10" i="7"/>
  <c r="K10" i="7"/>
  <c r="L10" i="7"/>
  <c r="M10" i="7"/>
  <c r="N10" i="7"/>
  <c r="O10" i="7"/>
  <c r="P10" i="7"/>
  <c r="Q10" i="7"/>
  <c r="S10" i="7"/>
  <c r="T10" i="7"/>
  <c r="U10" i="7"/>
  <c r="X10" i="7"/>
  <c r="Z10" i="7"/>
  <c r="AA10" i="7"/>
  <c r="AB10" i="7"/>
  <c r="AC10" i="7"/>
  <c r="AD10" i="7"/>
  <c r="AE10" i="7"/>
  <c r="AF10" i="7"/>
  <c r="AH10" i="7"/>
  <c r="AI10" i="7"/>
  <c r="AJ10" i="7"/>
  <c r="AM10" i="7"/>
  <c r="AO10" i="7"/>
  <c r="AP10" i="7"/>
  <c r="AQ10" i="7"/>
  <c r="AR10" i="7"/>
  <c r="AS10" i="7"/>
  <c r="AT10" i="7"/>
  <c r="AU10" i="7"/>
  <c r="D11" i="7"/>
  <c r="E11" i="7"/>
  <c r="F11" i="7"/>
  <c r="I11" i="7"/>
  <c r="K11" i="7"/>
  <c r="L11" i="7"/>
  <c r="M11" i="7"/>
  <c r="N11" i="7"/>
  <c r="O11" i="7"/>
  <c r="P11" i="7"/>
  <c r="Q11" i="7"/>
  <c r="S11" i="7"/>
  <c r="T11" i="7"/>
  <c r="U11" i="7"/>
  <c r="X11" i="7"/>
  <c r="Z11" i="7"/>
  <c r="AA11" i="7"/>
  <c r="AB11" i="7"/>
  <c r="AC11" i="7"/>
  <c r="AD11" i="7"/>
  <c r="AE11" i="7"/>
  <c r="AF11" i="7"/>
  <c r="AH11" i="7"/>
  <c r="AI11" i="7"/>
  <c r="AJ11" i="7"/>
  <c r="AM11" i="7"/>
  <c r="AO11" i="7"/>
  <c r="AP11" i="7"/>
  <c r="AQ11" i="7"/>
  <c r="AR11" i="7"/>
  <c r="AS11" i="7"/>
  <c r="AT11" i="7"/>
  <c r="AU11" i="7"/>
  <c r="D12" i="7"/>
  <c r="E12" i="7"/>
  <c r="F12" i="7"/>
  <c r="I12" i="7"/>
  <c r="K12" i="7"/>
  <c r="L12" i="7"/>
  <c r="M12" i="7"/>
  <c r="N12" i="7"/>
  <c r="O12" i="7"/>
  <c r="P12" i="7"/>
  <c r="Q12" i="7"/>
  <c r="S12" i="7"/>
  <c r="T12" i="7"/>
  <c r="U12" i="7"/>
  <c r="X12" i="7"/>
  <c r="Z12" i="7"/>
  <c r="AA12" i="7"/>
  <c r="AB12" i="7"/>
  <c r="AC12" i="7"/>
  <c r="AD12" i="7"/>
  <c r="AE12" i="7"/>
  <c r="AF12" i="7"/>
  <c r="AH12" i="7"/>
  <c r="AI12" i="7"/>
  <c r="AJ12" i="7"/>
  <c r="AM12" i="7"/>
  <c r="AO12" i="7"/>
  <c r="AP12" i="7"/>
  <c r="AQ12" i="7"/>
  <c r="AR12" i="7"/>
  <c r="AS12" i="7"/>
  <c r="AT12" i="7"/>
  <c r="AU12" i="7"/>
  <c r="D13" i="7"/>
  <c r="E13" i="7"/>
  <c r="F13" i="7"/>
  <c r="I13" i="7"/>
  <c r="K13" i="7"/>
  <c r="L13" i="7"/>
  <c r="M13" i="7"/>
  <c r="N13" i="7"/>
  <c r="O13" i="7"/>
  <c r="P13" i="7"/>
  <c r="Q13" i="7"/>
  <c r="S13" i="7"/>
  <c r="T13" i="7"/>
  <c r="U13" i="7"/>
  <c r="X13" i="7"/>
  <c r="Z13" i="7"/>
  <c r="AA13" i="7"/>
  <c r="AB13" i="7"/>
  <c r="AC13" i="7"/>
  <c r="AD13" i="7"/>
  <c r="AE13" i="7"/>
  <c r="AF13" i="7"/>
  <c r="AH13" i="7"/>
  <c r="AI13" i="7"/>
  <c r="AJ13" i="7"/>
  <c r="AM13" i="7"/>
  <c r="AO13" i="7"/>
  <c r="AP13" i="7"/>
  <c r="AQ13" i="7"/>
  <c r="AR13" i="7"/>
  <c r="AS13" i="7"/>
  <c r="AT13" i="7"/>
  <c r="AU13" i="7"/>
  <c r="D14" i="7"/>
  <c r="E14" i="7"/>
  <c r="F14" i="7"/>
  <c r="I14" i="7"/>
  <c r="K14" i="7"/>
  <c r="L14" i="7"/>
  <c r="M14" i="7"/>
  <c r="N14" i="7"/>
  <c r="O14" i="7"/>
  <c r="P14" i="7"/>
  <c r="Q14" i="7"/>
  <c r="S14" i="7"/>
  <c r="T14" i="7"/>
  <c r="U14" i="7"/>
  <c r="X14" i="7"/>
  <c r="Z14" i="7"/>
  <c r="AA14" i="7"/>
  <c r="AB14" i="7"/>
  <c r="AC14" i="7"/>
  <c r="AD14" i="7"/>
  <c r="AE14" i="7"/>
  <c r="AF14" i="7"/>
  <c r="AH14" i="7"/>
  <c r="AI14" i="7"/>
  <c r="AJ14" i="7"/>
  <c r="AM14" i="7"/>
  <c r="AO14" i="7"/>
  <c r="AP14" i="7"/>
  <c r="AQ14" i="7"/>
  <c r="AR14" i="7"/>
  <c r="AS14" i="7"/>
  <c r="AT14" i="7"/>
  <c r="AU14" i="7"/>
  <c r="D15" i="7"/>
  <c r="E15" i="7"/>
  <c r="F15" i="7"/>
  <c r="I15" i="7"/>
  <c r="K15" i="7"/>
  <c r="L15" i="7"/>
  <c r="M15" i="7"/>
  <c r="N15" i="7"/>
  <c r="O15" i="7"/>
  <c r="P15" i="7"/>
  <c r="Q15" i="7"/>
  <c r="S15" i="7"/>
  <c r="T15" i="7"/>
  <c r="U15" i="7"/>
  <c r="X15" i="7"/>
  <c r="Z15" i="7"/>
  <c r="AA15" i="7"/>
  <c r="AB15" i="7"/>
  <c r="AC15" i="7"/>
  <c r="AD15" i="7"/>
  <c r="AE15" i="7"/>
  <c r="AF15" i="7"/>
  <c r="AH15" i="7"/>
  <c r="AI15" i="7"/>
  <c r="AJ15" i="7"/>
  <c r="AM15" i="7"/>
  <c r="AO15" i="7"/>
  <c r="AP15" i="7"/>
  <c r="AQ15" i="7"/>
  <c r="AR15" i="7"/>
  <c r="AS15" i="7"/>
  <c r="AT15" i="7"/>
  <c r="AU15" i="7"/>
  <c r="D16" i="7"/>
  <c r="E16" i="7"/>
  <c r="F16" i="7"/>
  <c r="I16" i="7"/>
  <c r="K16" i="7"/>
  <c r="L16" i="7"/>
  <c r="M16" i="7"/>
  <c r="N16" i="7"/>
  <c r="O16" i="7"/>
  <c r="P16" i="7"/>
  <c r="Q16" i="7"/>
  <c r="S16" i="7"/>
  <c r="T16" i="7"/>
  <c r="U16" i="7"/>
  <c r="X16" i="7"/>
  <c r="Z16" i="7"/>
  <c r="AA16" i="7"/>
  <c r="AB16" i="7"/>
  <c r="AC16" i="7"/>
  <c r="AD16" i="7"/>
  <c r="AE16" i="7"/>
  <c r="AF16" i="7"/>
  <c r="AH16" i="7"/>
  <c r="AI16" i="7"/>
  <c r="AJ16" i="7"/>
  <c r="AM16" i="7"/>
  <c r="AO16" i="7"/>
  <c r="AP16" i="7"/>
  <c r="AQ16" i="7"/>
  <c r="AR16" i="7"/>
  <c r="AS16" i="7"/>
  <c r="AT16" i="7"/>
  <c r="AU16" i="7"/>
  <c r="D17" i="7"/>
  <c r="E17" i="7"/>
  <c r="F17" i="7"/>
  <c r="I17" i="7"/>
  <c r="K17" i="7"/>
  <c r="L17" i="7"/>
  <c r="M17" i="7"/>
  <c r="N17" i="7"/>
  <c r="O17" i="7"/>
  <c r="P17" i="7"/>
  <c r="Q17" i="7"/>
  <c r="S17" i="7"/>
  <c r="T17" i="7"/>
  <c r="U17" i="7"/>
  <c r="X17" i="7"/>
  <c r="Z17" i="7"/>
  <c r="AA17" i="7"/>
  <c r="AB17" i="7"/>
  <c r="AC17" i="7"/>
  <c r="AD17" i="7"/>
  <c r="AE17" i="7"/>
  <c r="AF17" i="7"/>
  <c r="AH17" i="7"/>
  <c r="AI17" i="7"/>
  <c r="AJ17" i="7"/>
  <c r="AM17" i="7"/>
  <c r="AO17" i="7"/>
  <c r="AP17" i="7"/>
  <c r="AQ17" i="7"/>
  <c r="AR17" i="7"/>
  <c r="AS17" i="7"/>
  <c r="AT17" i="7"/>
  <c r="AU17" i="7"/>
  <c r="D18" i="7"/>
  <c r="E18" i="7"/>
  <c r="F18" i="7"/>
  <c r="I18" i="7"/>
  <c r="K18" i="7"/>
  <c r="L18" i="7"/>
  <c r="M18" i="7"/>
  <c r="N18" i="7"/>
  <c r="O18" i="7"/>
  <c r="P18" i="7"/>
  <c r="Q18" i="7"/>
  <c r="S18" i="7"/>
  <c r="T18" i="7"/>
  <c r="U18" i="7"/>
  <c r="X18" i="7"/>
  <c r="Z18" i="7"/>
  <c r="AA18" i="7"/>
  <c r="AB18" i="7"/>
  <c r="AC18" i="7"/>
  <c r="AD18" i="7"/>
  <c r="AE18" i="7"/>
  <c r="AF18" i="7"/>
  <c r="AH18" i="7"/>
  <c r="AI18" i="7"/>
  <c r="AJ18" i="7"/>
  <c r="AM18" i="7"/>
  <c r="AO18" i="7"/>
  <c r="AP18" i="7"/>
  <c r="AQ18" i="7"/>
  <c r="AR18" i="7"/>
  <c r="AS18" i="7"/>
  <c r="AT18" i="7"/>
  <c r="AU18" i="7"/>
  <c r="D19" i="7"/>
  <c r="E19" i="7"/>
  <c r="F19" i="7"/>
  <c r="I19" i="7"/>
  <c r="K19" i="7"/>
  <c r="L19" i="7"/>
  <c r="M19" i="7"/>
  <c r="N19" i="7"/>
  <c r="O19" i="7"/>
  <c r="P19" i="7"/>
  <c r="Q19" i="7"/>
  <c r="S19" i="7"/>
  <c r="T19" i="7"/>
  <c r="U19" i="7"/>
  <c r="X19" i="7"/>
  <c r="Z19" i="7"/>
  <c r="AA19" i="7"/>
  <c r="AB19" i="7"/>
  <c r="AC19" i="7"/>
  <c r="AD19" i="7"/>
  <c r="AE19" i="7"/>
  <c r="AF19" i="7"/>
  <c r="AH19" i="7"/>
  <c r="AI19" i="7"/>
  <c r="AJ19" i="7"/>
  <c r="AM19" i="7"/>
  <c r="AO19" i="7"/>
  <c r="AP19" i="7"/>
  <c r="AQ19" i="7"/>
  <c r="AR19" i="7"/>
  <c r="AS19" i="7"/>
  <c r="AT19" i="7"/>
  <c r="AU19" i="7"/>
  <c r="D20" i="7"/>
  <c r="E20" i="7"/>
  <c r="F20" i="7"/>
  <c r="I20" i="7"/>
  <c r="K20" i="7"/>
  <c r="L20" i="7"/>
  <c r="M20" i="7"/>
  <c r="N20" i="7"/>
  <c r="O20" i="7"/>
  <c r="P20" i="7"/>
  <c r="Q20" i="7"/>
  <c r="S20" i="7"/>
  <c r="T20" i="7"/>
  <c r="U20" i="7"/>
  <c r="X20" i="7"/>
  <c r="Z20" i="7"/>
  <c r="AA20" i="7"/>
  <c r="AB20" i="7"/>
  <c r="AC20" i="7"/>
  <c r="AD20" i="7"/>
  <c r="AE20" i="7"/>
  <c r="AF20" i="7"/>
  <c r="AH20" i="7"/>
  <c r="AI20" i="7"/>
  <c r="AJ20" i="7"/>
  <c r="AM20" i="7"/>
  <c r="AO20" i="7"/>
  <c r="AP20" i="7"/>
  <c r="AQ20" i="7"/>
  <c r="AR20" i="7"/>
  <c r="AS20" i="7"/>
  <c r="AT20" i="7"/>
  <c r="AU20" i="7"/>
  <c r="D21" i="7"/>
  <c r="E21" i="7"/>
  <c r="F21" i="7"/>
  <c r="I21" i="7"/>
  <c r="K21" i="7"/>
  <c r="L21" i="7"/>
  <c r="M21" i="7"/>
  <c r="N21" i="7"/>
  <c r="O21" i="7"/>
  <c r="P21" i="7"/>
  <c r="Q21" i="7"/>
  <c r="S21" i="7"/>
  <c r="T21" i="7"/>
  <c r="U21" i="7"/>
  <c r="X21" i="7"/>
  <c r="Z21" i="7"/>
  <c r="AA21" i="7"/>
  <c r="AB21" i="7"/>
  <c r="AC21" i="7"/>
  <c r="AD21" i="7"/>
  <c r="AE21" i="7"/>
  <c r="AF21" i="7"/>
  <c r="AH21" i="7"/>
  <c r="AI21" i="7"/>
  <c r="AJ21" i="7"/>
  <c r="AM21" i="7"/>
  <c r="AO21" i="7"/>
  <c r="AP21" i="7"/>
  <c r="AQ21" i="7"/>
  <c r="AR21" i="7"/>
  <c r="AS21" i="7"/>
  <c r="AT21" i="7"/>
  <c r="AU21" i="7"/>
  <c r="D22" i="7"/>
  <c r="E22" i="7"/>
  <c r="F22" i="7"/>
  <c r="I22" i="7"/>
  <c r="K22" i="7"/>
  <c r="L22" i="7"/>
  <c r="M22" i="7"/>
  <c r="N22" i="7"/>
  <c r="O22" i="7"/>
  <c r="P22" i="7"/>
  <c r="Q22" i="7"/>
  <c r="S22" i="7"/>
  <c r="T22" i="7"/>
  <c r="U22" i="7"/>
  <c r="X22" i="7"/>
  <c r="Z22" i="7"/>
  <c r="AA22" i="7"/>
  <c r="AB22" i="7"/>
  <c r="AC22" i="7"/>
  <c r="AD22" i="7"/>
  <c r="AE22" i="7"/>
  <c r="AF22" i="7"/>
  <c r="AH22" i="7"/>
  <c r="AI22" i="7"/>
  <c r="AJ22" i="7"/>
  <c r="AM22" i="7"/>
  <c r="AO22" i="7"/>
  <c r="AP22" i="7"/>
  <c r="AQ22" i="7"/>
  <c r="AR22" i="7"/>
  <c r="AS22" i="7"/>
  <c r="AT22" i="7"/>
  <c r="AU22" i="7"/>
  <c r="D23" i="7"/>
  <c r="E23" i="7"/>
  <c r="F23" i="7"/>
  <c r="I23" i="7"/>
  <c r="K23" i="7"/>
  <c r="L23" i="7"/>
  <c r="M23" i="7"/>
  <c r="N23" i="7"/>
  <c r="O23" i="7"/>
  <c r="P23" i="7"/>
  <c r="Q23" i="7"/>
  <c r="S23" i="7"/>
  <c r="T23" i="7"/>
  <c r="U23" i="7"/>
  <c r="X23" i="7"/>
  <c r="Z23" i="7"/>
  <c r="AA23" i="7"/>
  <c r="AB23" i="7"/>
  <c r="AC23" i="7"/>
  <c r="AD23" i="7"/>
  <c r="AE23" i="7"/>
  <c r="AF23" i="7"/>
  <c r="AH23" i="7"/>
  <c r="AI23" i="7"/>
  <c r="AJ23" i="7"/>
  <c r="AM23" i="7"/>
  <c r="AO23" i="7"/>
  <c r="AP23" i="7"/>
  <c r="AQ23" i="7"/>
  <c r="AR23" i="7"/>
  <c r="AS23" i="7"/>
  <c r="AT23" i="7"/>
  <c r="AU23" i="7"/>
  <c r="D24" i="7"/>
  <c r="E24" i="7"/>
  <c r="F24" i="7"/>
  <c r="I24" i="7"/>
  <c r="K24" i="7"/>
  <c r="L24" i="7"/>
  <c r="M24" i="7"/>
  <c r="N24" i="7"/>
  <c r="O24" i="7"/>
  <c r="P24" i="7"/>
  <c r="Q24" i="7"/>
  <c r="S24" i="7"/>
  <c r="T24" i="7"/>
  <c r="U24" i="7"/>
  <c r="X24" i="7"/>
  <c r="Z24" i="7"/>
  <c r="AA24" i="7"/>
  <c r="AB24" i="7"/>
  <c r="AC24" i="7"/>
  <c r="AD24" i="7"/>
  <c r="AE24" i="7"/>
  <c r="AF24" i="7"/>
  <c r="AH24" i="7"/>
  <c r="AI24" i="7"/>
  <c r="AJ24" i="7"/>
  <c r="AM24" i="7"/>
  <c r="AO24" i="7"/>
  <c r="AP24" i="7"/>
  <c r="AQ24" i="7"/>
  <c r="AR24" i="7"/>
  <c r="AS24" i="7"/>
  <c r="AT24" i="7"/>
  <c r="AU24" i="7"/>
  <c r="D25" i="7"/>
  <c r="E25" i="7"/>
  <c r="F25" i="7"/>
  <c r="I25" i="7"/>
  <c r="K25" i="7"/>
  <c r="L25" i="7"/>
  <c r="M25" i="7"/>
  <c r="N25" i="7"/>
  <c r="O25" i="7"/>
  <c r="P25" i="7"/>
  <c r="Q25" i="7"/>
  <c r="S25" i="7"/>
  <c r="T25" i="7"/>
  <c r="U25" i="7"/>
  <c r="X25" i="7"/>
  <c r="Z25" i="7"/>
  <c r="AA25" i="7"/>
  <c r="AB25" i="7"/>
  <c r="AC25" i="7"/>
  <c r="AD25" i="7"/>
  <c r="AE25" i="7"/>
  <c r="AF25" i="7"/>
  <c r="AH25" i="7"/>
  <c r="AI25" i="7"/>
  <c r="AJ25" i="7"/>
  <c r="AM25" i="7"/>
  <c r="AO25" i="7"/>
  <c r="AP25" i="7"/>
  <c r="AQ25" i="7"/>
  <c r="AR25" i="7"/>
  <c r="AS25" i="7"/>
  <c r="AT25" i="7"/>
  <c r="AU25" i="7"/>
  <c r="D26" i="7"/>
  <c r="E26" i="7"/>
  <c r="F26" i="7"/>
  <c r="I26" i="7"/>
  <c r="K26" i="7"/>
  <c r="L26" i="7"/>
  <c r="M26" i="7"/>
  <c r="N26" i="7"/>
  <c r="O26" i="7"/>
  <c r="P26" i="7"/>
  <c r="Q26" i="7"/>
  <c r="S26" i="7"/>
  <c r="T26" i="7"/>
  <c r="U26" i="7"/>
  <c r="X26" i="7"/>
  <c r="Z26" i="7"/>
  <c r="AA26" i="7"/>
  <c r="AB26" i="7"/>
  <c r="AC26" i="7"/>
  <c r="AD26" i="7"/>
  <c r="AE26" i="7"/>
  <c r="AF26" i="7"/>
  <c r="AH26" i="7"/>
  <c r="AI26" i="7"/>
  <c r="AJ26" i="7"/>
  <c r="AM26" i="7"/>
  <c r="AO26" i="7"/>
  <c r="AP26" i="7"/>
  <c r="AQ26" i="7"/>
  <c r="AR26" i="7"/>
  <c r="AS26" i="7"/>
  <c r="AT26" i="7"/>
  <c r="AU26" i="7"/>
  <c r="D27" i="7"/>
  <c r="E27" i="7"/>
  <c r="F27" i="7"/>
  <c r="I27" i="7"/>
  <c r="K27" i="7"/>
  <c r="L27" i="7"/>
  <c r="M27" i="7"/>
  <c r="N27" i="7"/>
  <c r="O27" i="7"/>
  <c r="P27" i="7"/>
  <c r="Q27" i="7"/>
  <c r="S27" i="7"/>
  <c r="T27" i="7"/>
  <c r="U27" i="7"/>
  <c r="X27" i="7"/>
  <c r="Z27" i="7"/>
  <c r="AA27" i="7"/>
  <c r="AB27" i="7"/>
  <c r="AC27" i="7"/>
  <c r="AD27" i="7"/>
  <c r="AE27" i="7"/>
  <c r="AF27" i="7"/>
  <c r="AH27" i="7"/>
  <c r="AI27" i="7"/>
  <c r="AJ27" i="7"/>
  <c r="AM27" i="7"/>
  <c r="AO27" i="7"/>
  <c r="AP27" i="7"/>
  <c r="AQ27" i="7"/>
  <c r="AR27" i="7"/>
  <c r="AS27" i="7"/>
  <c r="AT27" i="7"/>
  <c r="AU27" i="7"/>
  <c r="D28" i="7"/>
  <c r="E28" i="7"/>
  <c r="F28" i="7"/>
  <c r="I28" i="7"/>
  <c r="K28" i="7"/>
  <c r="L28" i="7"/>
  <c r="M28" i="7"/>
  <c r="N28" i="7"/>
  <c r="O28" i="7"/>
  <c r="P28" i="7"/>
  <c r="Q28" i="7"/>
  <c r="S28" i="7"/>
  <c r="T28" i="7"/>
  <c r="U28" i="7"/>
  <c r="X28" i="7"/>
  <c r="Z28" i="7"/>
  <c r="AA28" i="7"/>
  <c r="AB28" i="7"/>
  <c r="AC28" i="7"/>
  <c r="AD28" i="7"/>
  <c r="AE28" i="7"/>
  <c r="AF28" i="7"/>
  <c r="AH28" i="7"/>
  <c r="AI28" i="7"/>
  <c r="AJ28" i="7"/>
  <c r="AM28" i="7"/>
  <c r="AO28" i="7"/>
  <c r="AP28" i="7"/>
  <c r="AQ28" i="7"/>
  <c r="AR28" i="7"/>
  <c r="AS28" i="7"/>
  <c r="AT28" i="7"/>
  <c r="AU28" i="7"/>
  <c r="D29" i="7"/>
  <c r="E29" i="7"/>
  <c r="F29" i="7"/>
  <c r="I29" i="7"/>
  <c r="K29" i="7"/>
  <c r="L29" i="7"/>
  <c r="M29" i="7"/>
  <c r="N29" i="7"/>
  <c r="O29" i="7"/>
  <c r="P29" i="7"/>
  <c r="Q29" i="7"/>
  <c r="S29" i="7"/>
  <c r="T29" i="7"/>
  <c r="U29" i="7"/>
  <c r="X29" i="7"/>
  <c r="Z29" i="7"/>
  <c r="AA29" i="7"/>
  <c r="AB29" i="7"/>
  <c r="AC29" i="7"/>
  <c r="AD29" i="7"/>
  <c r="AE29" i="7"/>
  <c r="AF29" i="7"/>
  <c r="AH29" i="7"/>
  <c r="AI29" i="7"/>
  <c r="AJ29" i="7"/>
  <c r="AM29" i="7"/>
  <c r="AO29" i="7"/>
  <c r="AP29" i="7"/>
  <c r="AQ29" i="7"/>
  <c r="AR29" i="7"/>
  <c r="AS29" i="7"/>
  <c r="AT29" i="7"/>
  <c r="AU29" i="7"/>
  <c r="D30" i="7"/>
  <c r="E30" i="7"/>
  <c r="F30" i="7"/>
  <c r="I30" i="7"/>
  <c r="K30" i="7"/>
  <c r="L30" i="7"/>
  <c r="M30" i="7"/>
  <c r="N30" i="7"/>
  <c r="O30" i="7"/>
  <c r="P30" i="7"/>
  <c r="Q30" i="7"/>
  <c r="S30" i="7"/>
  <c r="T30" i="7"/>
  <c r="U30" i="7"/>
  <c r="X30" i="7"/>
  <c r="Z30" i="7"/>
  <c r="AA30" i="7"/>
  <c r="AB30" i="7"/>
  <c r="AC30" i="7"/>
  <c r="AD30" i="7"/>
  <c r="AE30" i="7"/>
  <c r="AF30" i="7"/>
  <c r="AH30" i="7"/>
  <c r="AI30" i="7"/>
  <c r="AJ30" i="7"/>
  <c r="AM30" i="7"/>
  <c r="AO30" i="7"/>
  <c r="AP30" i="7"/>
  <c r="AQ30" i="7"/>
  <c r="AR30" i="7"/>
  <c r="AS30" i="7"/>
  <c r="AT30" i="7"/>
  <c r="AU30" i="7"/>
  <c r="D31" i="7"/>
  <c r="E31" i="7"/>
  <c r="F31" i="7"/>
  <c r="I31" i="7"/>
  <c r="K31" i="7"/>
  <c r="L31" i="7"/>
  <c r="M31" i="7"/>
  <c r="N31" i="7"/>
  <c r="O31" i="7"/>
  <c r="P31" i="7"/>
  <c r="Q31" i="7"/>
  <c r="S31" i="7"/>
  <c r="T31" i="7"/>
  <c r="U31" i="7"/>
  <c r="X31" i="7"/>
  <c r="Z31" i="7"/>
  <c r="AA31" i="7"/>
  <c r="AB31" i="7"/>
  <c r="AC31" i="7"/>
  <c r="AD31" i="7"/>
  <c r="AE31" i="7"/>
  <c r="AF31" i="7"/>
  <c r="AH31" i="7"/>
  <c r="AI31" i="7"/>
  <c r="AJ31" i="7"/>
  <c r="AM31" i="7"/>
  <c r="AO31" i="7"/>
  <c r="AP31" i="7"/>
  <c r="AQ31" i="7"/>
  <c r="AR31" i="7"/>
  <c r="AS31" i="7"/>
  <c r="AT31" i="7"/>
  <c r="AU31" i="7"/>
  <c r="D32" i="7"/>
  <c r="E32" i="7"/>
  <c r="F32" i="7"/>
  <c r="I32" i="7"/>
  <c r="K32" i="7"/>
  <c r="L32" i="7"/>
  <c r="M32" i="7"/>
  <c r="N32" i="7"/>
  <c r="O32" i="7"/>
  <c r="P32" i="7"/>
  <c r="Q32" i="7"/>
  <c r="S32" i="7"/>
  <c r="T32" i="7"/>
  <c r="U32" i="7"/>
  <c r="X32" i="7"/>
  <c r="Z32" i="7"/>
  <c r="AA32" i="7"/>
  <c r="AB32" i="7"/>
  <c r="AC32" i="7"/>
  <c r="AD32" i="7"/>
  <c r="AE32" i="7"/>
  <c r="AF32" i="7"/>
  <c r="AH32" i="7"/>
  <c r="AI32" i="7"/>
  <c r="AJ32" i="7"/>
  <c r="AM32" i="7"/>
  <c r="AO32" i="7"/>
  <c r="AP32" i="7"/>
  <c r="AQ32" i="7"/>
  <c r="AR32" i="7"/>
  <c r="AS32" i="7"/>
  <c r="AT32" i="7"/>
  <c r="AU32" i="7"/>
  <c r="D33" i="7"/>
  <c r="E33" i="7"/>
  <c r="F33" i="7"/>
  <c r="I33" i="7"/>
  <c r="K33" i="7"/>
  <c r="L33" i="7"/>
  <c r="M33" i="7"/>
  <c r="N33" i="7"/>
  <c r="O33" i="7"/>
  <c r="P33" i="7"/>
  <c r="Q33" i="7"/>
  <c r="S33" i="7"/>
  <c r="T33" i="7"/>
  <c r="U33" i="7"/>
  <c r="X33" i="7"/>
  <c r="Z33" i="7"/>
  <c r="AA33" i="7"/>
  <c r="AB33" i="7"/>
  <c r="AC33" i="7"/>
  <c r="AD33" i="7"/>
  <c r="AE33" i="7"/>
  <c r="AF33" i="7"/>
  <c r="AH33" i="7"/>
  <c r="AI33" i="7"/>
  <c r="AJ33" i="7"/>
  <c r="AM33" i="7"/>
  <c r="AO33" i="7"/>
  <c r="AP33" i="7"/>
  <c r="AQ33" i="7"/>
  <c r="AR33" i="7"/>
  <c r="AS33" i="7"/>
  <c r="AT33" i="7"/>
  <c r="AU33" i="7"/>
  <c r="D34" i="7"/>
  <c r="E34" i="7"/>
  <c r="F34" i="7"/>
  <c r="I34" i="7"/>
  <c r="K34" i="7"/>
  <c r="L34" i="7"/>
  <c r="M34" i="7"/>
  <c r="N34" i="7"/>
  <c r="O34" i="7"/>
  <c r="P34" i="7"/>
  <c r="Q34" i="7"/>
  <c r="S34" i="7"/>
  <c r="T34" i="7"/>
  <c r="U34" i="7"/>
  <c r="X34" i="7"/>
  <c r="Z34" i="7"/>
  <c r="AA34" i="7"/>
  <c r="AB34" i="7"/>
  <c r="AC34" i="7"/>
  <c r="AD34" i="7"/>
  <c r="AE34" i="7"/>
  <c r="AF34" i="7"/>
  <c r="AH34" i="7"/>
  <c r="AI34" i="7"/>
  <c r="AJ34" i="7"/>
  <c r="AM34" i="7"/>
  <c r="AO34" i="7"/>
  <c r="AP34" i="7"/>
  <c r="AQ34" i="7"/>
  <c r="AR34" i="7"/>
  <c r="AS34" i="7"/>
  <c r="AT34" i="7"/>
  <c r="AU34" i="7"/>
  <c r="D35" i="7"/>
  <c r="E35" i="7"/>
  <c r="F35" i="7"/>
  <c r="I35" i="7"/>
  <c r="K35" i="7"/>
  <c r="L35" i="7"/>
  <c r="M35" i="7"/>
  <c r="N35" i="7"/>
  <c r="O35" i="7"/>
  <c r="P35" i="7"/>
  <c r="Q35" i="7"/>
  <c r="S35" i="7"/>
  <c r="T35" i="7"/>
  <c r="U35" i="7"/>
  <c r="X35" i="7"/>
  <c r="Z35" i="7"/>
  <c r="AA35" i="7"/>
  <c r="AB35" i="7"/>
  <c r="AC35" i="7"/>
  <c r="AD35" i="7"/>
  <c r="AE35" i="7"/>
  <c r="AF35" i="7"/>
  <c r="AH35" i="7"/>
  <c r="AI35" i="7"/>
  <c r="AJ35" i="7"/>
  <c r="AM35" i="7"/>
  <c r="AO35" i="7"/>
  <c r="AP35" i="7"/>
  <c r="AQ35" i="7"/>
  <c r="AR35" i="7"/>
  <c r="AS35" i="7"/>
  <c r="AT35" i="7"/>
  <c r="AU35" i="7"/>
  <c r="D36" i="7"/>
  <c r="E36" i="7"/>
  <c r="F36" i="7"/>
  <c r="I36" i="7"/>
  <c r="K36" i="7"/>
  <c r="L36" i="7"/>
  <c r="M36" i="7"/>
  <c r="N36" i="7"/>
  <c r="O36" i="7"/>
  <c r="P36" i="7"/>
  <c r="Q36" i="7"/>
  <c r="S36" i="7"/>
  <c r="T36" i="7"/>
  <c r="U36" i="7"/>
  <c r="X36" i="7"/>
  <c r="Z36" i="7"/>
  <c r="AA36" i="7"/>
  <c r="AB36" i="7"/>
  <c r="AC36" i="7"/>
  <c r="AD36" i="7"/>
  <c r="AE36" i="7"/>
  <c r="AF36" i="7"/>
  <c r="AH36" i="7"/>
  <c r="AI36" i="7"/>
  <c r="AJ36" i="7"/>
  <c r="AM36" i="7"/>
  <c r="AO36" i="7"/>
  <c r="AP36" i="7"/>
  <c r="AQ36" i="7"/>
  <c r="AR36" i="7"/>
  <c r="AS36" i="7"/>
  <c r="AT36" i="7"/>
  <c r="AU36" i="7"/>
  <c r="D37" i="7"/>
  <c r="E37" i="7"/>
  <c r="F37" i="7"/>
  <c r="I37" i="7"/>
  <c r="K37" i="7"/>
  <c r="L37" i="7"/>
  <c r="M37" i="7"/>
  <c r="N37" i="7"/>
  <c r="O37" i="7"/>
  <c r="P37" i="7"/>
  <c r="Q37" i="7"/>
  <c r="S37" i="7"/>
  <c r="T37" i="7"/>
  <c r="U37" i="7"/>
  <c r="X37" i="7"/>
  <c r="Z37" i="7"/>
  <c r="AA37" i="7"/>
  <c r="AB37" i="7"/>
  <c r="AC37" i="7"/>
  <c r="AD37" i="7"/>
  <c r="AE37" i="7"/>
  <c r="AF37" i="7"/>
  <c r="AH37" i="7"/>
  <c r="AI37" i="7"/>
  <c r="AJ37" i="7"/>
  <c r="AM37" i="7"/>
  <c r="AO37" i="7"/>
  <c r="AP37" i="7"/>
  <c r="AQ37" i="7"/>
  <c r="AR37" i="7"/>
  <c r="AS37" i="7"/>
  <c r="AT37" i="7"/>
  <c r="AU37" i="7"/>
  <c r="D38" i="7"/>
  <c r="E38" i="7"/>
  <c r="F38" i="7"/>
  <c r="I38" i="7"/>
  <c r="K38" i="7"/>
  <c r="L38" i="7"/>
  <c r="M38" i="7"/>
  <c r="N38" i="7"/>
  <c r="O38" i="7"/>
  <c r="P38" i="7"/>
  <c r="Q38" i="7"/>
  <c r="S38" i="7"/>
  <c r="T38" i="7"/>
  <c r="U38" i="7"/>
  <c r="X38" i="7"/>
  <c r="Z38" i="7"/>
  <c r="AA38" i="7"/>
  <c r="AB38" i="7"/>
  <c r="AC38" i="7"/>
  <c r="AD38" i="7"/>
  <c r="AE38" i="7"/>
  <c r="AF38" i="7"/>
  <c r="AH38" i="7"/>
  <c r="AI38" i="7"/>
  <c r="AJ38" i="7"/>
  <c r="AM38" i="7"/>
  <c r="AO38" i="7"/>
  <c r="AP38" i="7"/>
  <c r="AQ38" i="7"/>
  <c r="AR38" i="7"/>
  <c r="AS38" i="7"/>
  <c r="AT38" i="7"/>
  <c r="AU38" i="7"/>
  <c r="D39" i="7"/>
  <c r="E39" i="7"/>
  <c r="F39" i="7"/>
  <c r="I39" i="7"/>
  <c r="K39" i="7"/>
  <c r="L39" i="7"/>
  <c r="M39" i="7"/>
  <c r="N39" i="7"/>
  <c r="O39" i="7"/>
  <c r="P39" i="7"/>
  <c r="Q39" i="7"/>
  <c r="S39" i="7"/>
  <c r="T39" i="7"/>
  <c r="U39" i="7"/>
  <c r="X39" i="7"/>
  <c r="Z39" i="7"/>
  <c r="AA39" i="7"/>
  <c r="AB39" i="7"/>
  <c r="AC39" i="7"/>
  <c r="AD39" i="7"/>
  <c r="AE39" i="7"/>
  <c r="AF39" i="7"/>
  <c r="AH39" i="7"/>
  <c r="AI39" i="7"/>
  <c r="AJ39" i="7"/>
  <c r="AM39" i="7"/>
  <c r="AO39" i="7"/>
  <c r="AP39" i="7"/>
  <c r="AQ39" i="7"/>
  <c r="AR39" i="7"/>
  <c r="AS39" i="7"/>
  <c r="AT39" i="7"/>
  <c r="AU39" i="7"/>
  <c r="D40" i="7"/>
  <c r="E40" i="7"/>
  <c r="F40" i="7"/>
  <c r="I40" i="7"/>
  <c r="K40" i="7"/>
  <c r="L40" i="7"/>
  <c r="M40" i="7"/>
  <c r="N40" i="7"/>
  <c r="O40" i="7"/>
  <c r="P40" i="7"/>
  <c r="Q40" i="7"/>
  <c r="S40" i="7"/>
  <c r="T40" i="7"/>
  <c r="U40" i="7"/>
  <c r="X40" i="7"/>
  <c r="Z40" i="7"/>
  <c r="AA40" i="7"/>
  <c r="AB40" i="7"/>
  <c r="AC40" i="7"/>
  <c r="AD40" i="7"/>
  <c r="AE40" i="7"/>
  <c r="AF40" i="7"/>
  <c r="AH40" i="7"/>
  <c r="AI40" i="7"/>
  <c r="AJ40" i="7"/>
  <c r="AM40" i="7"/>
  <c r="AO40" i="7"/>
  <c r="AP40" i="7"/>
  <c r="AQ40" i="7"/>
  <c r="AR40" i="7"/>
  <c r="AS40" i="7"/>
  <c r="AT40" i="7"/>
  <c r="AU40" i="7"/>
  <c r="D41" i="7"/>
  <c r="E41" i="7"/>
  <c r="F41" i="7"/>
  <c r="I41" i="7"/>
  <c r="K41" i="7"/>
  <c r="L41" i="7"/>
  <c r="M41" i="7"/>
  <c r="N41" i="7"/>
  <c r="O41" i="7"/>
  <c r="P41" i="7"/>
  <c r="Q41" i="7"/>
  <c r="S41" i="7"/>
  <c r="T41" i="7"/>
  <c r="U41" i="7"/>
  <c r="X41" i="7"/>
  <c r="Z41" i="7"/>
  <c r="AA41" i="7"/>
  <c r="AB41" i="7"/>
  <c r="AC41" i="7"/>
  <c r="AD41" i="7"/>
  <c r="AE41" i="7"/>
  <c r="AF41" i="7"/>
  <c r="AH41" i="7"/>
  <c r="AI41" i="7"/>
  <c r="AJ41" i="7"/>
  <c r="AM41" i="7"/>
  <c r="AO41" i="7"/>
  <c r="AP41" i="7"/>
  <c r="AQ41" i="7"/>
  <c r="AR41" i="7"/>
  <c r="AS41" i="7"/>
  <c r="AT41" i="7"/>
  <c r="AU41" i="7"/>
  <c r="D42" i="7"/>
  <c r="E42" i="7"/>
  <c r="F42" i="7"/>
  <c r="I42" i="7"/>
  <c r="K42" i="7"/>
  <c r="L42" i="7"/>
  <c r="M42" i="7"/>
  <c r="N42" i="7"/>
  <c r="O42" i="7"/>
  <c r="P42" i="7"/>
  <c r="Q42" i="7"/>
  <c r="S42" i="7"/>
  <c r="T42" i="7"/>
  <c r="U42" i="7"/>
  <c r="X42" i="7"/>
  <c r="Z42" i="7"/>
  <c r="AA42" i="7"/>
  <c r="AB42" i="7"/>
  <c r="AC42" i="7"/>
  <c r="AD42" i="7"/>
  <c r="AE42" i="7"/>
  <c r="AF42" i="7"/>
  <c r="AH42" i="7"/>
  <c r="AI42" i="7"/>
  <c r="AJ42" i="7"/>
  <c r="AM42" i="7"/>
  <c r="AO42" i="7"/>
  <c r="AP42" i="7"/>
  <c r="AQ42" i="7"/>
  <c r="AR42" i="7"/>
  <c r="AS42" i="7"/>
  <c r="AT42" i="7"/>
  <c r="AU42" i="7"/>
  <c r="D43" i="7"/>
  <c r="E43" i="7"/>
  <c r="F43" i="7"/>
  <c r="I43" i="7"/>
  <c r="K43" i="7"/>
  <c r="L43" i="7"/>
  <c r="M43" i="7"/>
  <c r="N43" i="7"/>
  <c r="O43" i="7"/>
  <c r="P43" i="7"/>
  <c r="Q43" i="7"/>
  <c r="S43" i="7"/>
  <c r="T43" i="7"/>
  <c r="U43" i="7"/>
  <c r="X43" i="7"/>
  <c r="Z43" i="7"/>
  <c r="AA43" i="7"/>
  <c r="AB43" i="7"/>
  <c r="AC43" i="7"/>
  <c r="AD43" i="7"/>
  <c r="AE43" i="7"/>
  <c r="AF43" i="7"/>
  <c r="AH43" i="7"/>
  <c r="AI43" i="7"/>
  <c r="AJ43" i="7"/>
  <c r="AM43" i="7"/>
  <c r="AO43" i="7"/>
  <c r="AP43" i="7"/>
  <c r="AQ43" i="7"/>
  <c r="AR43" i="7"/>
  <c r="AS43" i="7"/>
  <c r="AT43" i="7"/>
  <c r="AU43" i="7"/>
  <c r="D44" i="7"/>
  <c r="E44" i="7"/>
  <c r="F44" i="7"/>
  <c r="I44" i="7"/>
  <c r="K44" i="7"/>
  <c r="L44" i="7"/>
  <c r="M44" i="7"/>
  <c r="N44" i="7"/>
  <c r="O44" i="7"/>
  <c r="P44" i="7"/>
  <c r="Q44" i="7"/>
  <c r="S44" i="7"/>
  <c r="T44" i="7"/>
  <c r="U44" i="7"/>
  <c r="X44" i="7"/>
  <c r="Z44" i="7"/>
  <c r="AA44" i="7"/>
  <c r="AB44" i="7"/>
  <c r="AC44" i="7"/>
  <c r="AD44" i="7"/>
  <c r="AE44" i="7"/>
  <c r="AF44" i="7"/>
  <c r="AH44" i="7"/>
  <c r="AI44" i="7"/>
  <c r="AJ44" i="7"/>
  <c r="AM44" i="7"/>
  <c r="AO44" i="7"/>
  <c r="AP44" i="7"/>
  <c r="AQ44" i="7"/>
  <c r="AR44" i="7"/>
  <c r="AS44" i="7"/>
  <c r="AT44" i="7"/>
  <c r="AU44" i="7"/>
  <c r="D47" i="7"/>
  <c r="E47" i="7"/>
  <c r="F47" i="7"/>
  <c r="I47" i="7"/>
  <c r="K47" i="7"/>
  <c r="L47" i="7"/>
  <c r="M47" i="7"/>
  <c r="N47" i="7"/>
  <c r="O47" i="7"/>
  <c r="P47" i="7"/>
  <c r="Q47" i="7"/>
  <c r="S47" i="7"/>
  <c r="T47" i="7"/>
  <c r="U47" i="7"/>
  <c r="X47" i="7"/>
  <c r="Z47" i="7"/>
  <c r="AA47" i="7"/>
  <c r="AB47" i="7"/>
  <c r="AC47" i="7"/>
  <c r="AD47" i="7"/>
  <c r="AE47" i="7"/>
  <c r="AF47" i="7"/>
  <c r="AH47" i="7"/>
  <c r="AI47" i="7"/>
  <c r="AJ47" i="7"/>
  <c r="AM47" i="7"/>
  <c r="AO47" i="7"/>
  <c r="AP47" i="7"/>
  <c r="AQ47" i="7"/>
  <c r="AR47" i="7"/>
  <c r="AS47" i="7"/>
  <c r="AT47" i="7"/>
  <c r="AU47" i="7"/>
  <c r="D48" i="7"/>
  <c r="E48" i="7"/>
  <c r="F48" i="7"/>
  <c r="I48" i="7"/>
  <c r="K48" i="7"/>
  <c r="L48" i="7"/>
  <c r="M48" i="7"/>
  <c r="N48" i="7"/>
  <c r="O48" i="7"/>
  <c r="P48" i="7"/>
  <c r="Q48" i="7"/>
  <c r="S48" i="7"/>
  <c r="T48" i="7"/>
  <c r="U48" i="7"/>
  <c r="X48" i="7"/>
  <c r="Z48" i="7"/>
  <c r="AA48" i="7"/>
  <c r="AB48" i="7"/>
  <c r="AC48" i="7"/>
  <c r="AD48" i="7"/>
  <c r="AE48" i="7"/>
  <c r="AF48" i="7"/>
  <c r="AH48" i="7"/>
  <c r="AI48" i="7"/>
  <c r="AJ48" i="7"/>
  <c r="AM48" i="7"/>
  <c r="AO48" i="7"/>
  <c r="AP48" i="7"/>
  <c r="AQ48" i="7"/>
  <c r="AR48" i="7"/>
  <c r="AS48" i="7"/>
  <c r="AT48" i="7"/>
  <c r="AU48" i="7"/>
  <c r="D49" i="7"/>
  <c r="E49" i="7"/>
  <c r="F49" i="7"/>
  <c r="I49" i="7"/>
  <c r="K49" i="7"/>
  <c r="L49" i="7"/>
  <c r="M49" i="7"/>
  <c r="N49" i="7"/>
  <c r="O49" i="7"/>
  <c r="P49" i="7"/>
  <c r="Q49" i="7"/>
  <c r="S49" i="7"/>
  <c r="T49" i="7"/>
  <c r="U49" i="7"/>
  <c r="X49" i="7"/>
  <c r="Z49" i="7"/>
  <c r="AA49" i="7"/>
  <c r="AB49" i="7"/>
  <c r="AC49" i="7"/>
  <c r="AD49" i="7"/>
  <c r="AE49" i="7"/>
  <c r="AF49" i="7"/>
  <c r="AH49" i="7"/>
  <c r="AI49" i="7"/>
  <c r="AJ49" i="7"/>
  <c r="AM49" i="7"/>
  <c r="AO49" i="7"/>
  <c r="AP49" i="7"/>
  <c r="AQ49" i="7"/>
  <c r="AR49" i="7"/>
  <c r="AS49" i="7"/>
  <c r="AT49" i="7"/>
  <c r="AU49" i="7"/>
  <c r="D50" i="7"/>
  <c r="E50" i="7"/>
  <c r="F50" i="7"/>
  <c r="I50" i="7"/>
  <c r="K50" i="7"/>
  <c r="L50" i="7"/>
  <c r="M50" i="7"/>
  <c r="N50" i="7"/>
  <c r="O50" i="7"/>
  <c r="P50" i="7"/>
  <c r="Q50" i="7"/>
  <c r="S50" i="7"/>
  <c r="T50" i="7"/>
  <c r="U50" i="7"/>
  <c r="X50" i="7"/>
  <c r="Z50" i="7"/>
  <c r="AA50" i="7"/>
  <c r="AB50" i="7"/>
  <c r="AC50" i="7"/>
  <c r="AD50" i="7"/>
  <c r="AE50" i="7"/>
  <c r="AF50" i="7"/>
  <c r="AH50" i="7"/>
  <c r="AI50" i="7"/>
  <c r="AJ50" i="7"/>
  <c r="AM50" i="7"/>
  <c r="AO50" i="7"/>
  <c r="AP50" i="7"/>
  <c r="AQ50" i="7"/>
  <c r="AR50" i="7"/>
  <c r="AS50" i="7"/>
  <c r="AT50" i="7"/>
  <c r="AU50" i="7"/>
  <c r="D51" i="7"/>
  <c r="E51" i="7"/>
  <c r="F51" i="7"/>
  <c r="I51" i="7"/>
  <c r="K51" i="7"/>
  <c r="L51" i="7"/>
  <c r="M51" i="7"/>
  <c r="N51" i="7"/>
  <c r="O51" i="7"/>
  <c r="P51" i="7"/>
  <c r="Q51" i="7"/>
  <c r="S51" i="7"/>
  <c r="T51" i="7"/>
  <c r="U51" i="7"/>
  <c r="X51" i="7"/>
  <c r="Z51" i="7"/>
  <c r="AA51" i="7"/>
  <c r="AB51" i="7"/>
  <c r="AC51" i="7"/>
  <c r="AD51" i="7"/>
  <c r="AE51" i="7"/>
  <c r="AF51" i="7"/>
  <c r="AH51" i="7"/>
  <c r="AI51" i="7"/>
  <c r="AJ51" i="7"/>
  <c r="AM51" i="7"/>
  <c r="AO51" i="7"/>
  <c r="AP51" i="7"/>
  <c r="AQ51" i="7"/>
  <c r="AR51" i="7"/>
  <c r="AS51" i="7"/>
  <c r="AT51" i="7"/>
  <c r="AU51" i="7"/>
  <c r="D52" i="7"/>
  <c r="E52" i="7"/>
  <c r="F52" i="7"/>
  <c r="I52" i="7"/>
  <c r="K52" i="7"/>
  <c r="L52" i="7"/>
  <c r="M52" i="7"/>
  <c r="N52" i="7"/>
  <c r="O52" i="7"/>
  <c r="P52" i="7"/>
  <c r="Q52" i="7"/>
  <c r="S52" i="7"/>
  <c r="T52" i="7"/>
  <c r="U52" i="7"/>
  <c r="X52" i="7"/>
  <c r="Z52" i="7"/>
  <c r="AA52" i="7"/>
  <c r="AB52" i="7"/>
  <c r="AC52" i="7"/>
  <c r="AD52" i="7"/>
  <c r="AE52" i="7"/>
  <c r="AF52" i="7"/>
  <c r="AH52" i="7"/>
  <c r="AI52" i="7"/>
  <c r="AJ52" i="7"/>
  <c r="AM52" i="7"/>
  <c r="AO52" i="7"/>
  <c r="AP52" i="7"/>
  <c r="AQ52" i="7"/>
  <c r="AR52" i="7"/>
  <c r="AS52" i="7"/>
  <c r="AT52" i="7"/>
  <c r="AU52" i="7"/>
  <c r="D53" i="7"/>
  <c r="E53" i="7"/>
  <c r="F53" i="7"/>
  <c r="I53" i="7"/>
  <c r="K53" i="7"/>
  <c r="L53" i="7"/>
  <c r="M53" i="7"/>
  <c r="N53" i="7"/>
  <c r="O53" i="7"/>
  <c r="P53" i="7"/>
  <c r="Q53" i="7"/>
  <c r="S53" i="7"/>
  <c r="T53" i="7"/>
  <c r="U53" i="7"/>
  <c r="X53" i="7"/>
  <c r="Z53" i="7"/>
  <c r="AA53" i="7"/>
  <c r="AB53" i="7"/>
  <c r="AC53" i="7"/>
  <c r="AD53" i="7"/>
  <c r="AE53" i="7"/>
  <c r="AF53" i="7"/>
  <c r="AH53" i="7"/>
  <c r="AI53" i="7"/>
  <c r="AJ53" i="7"/>
  <c r="AM53" i="7"/>
  <c r="AO53" i="7"/>
  <c r="AP53" i="7"/>
  <c r="AQ53" i="7"/>
  <c r="AR53" i="7"/>
  <c r="AS53" i="7"/>
  <c r="AT53" i="7"/>
  <c r="AU53" i="7"/>
  <c r="D54" i="7"/>
  <c r="E54" i="7"/>
  <c r="F54" i="7"/>
  <c r="I54" i="7"/>
  <c r="K54" i="7"/>
  <c r="L54" i="7"/>
  <c r="M54" i="7"/>
  <c r="N54" i="7"/>
  <c r="O54" i="7"/>
  <c r="P54" i="7"/>
  <c r="Q54" i="7"/>
  <c r="S54" i="7"/>
  <c r="T54" i="7"/>
  <c r="U54" i="7"/>
  <c r="X54" i="7"/>
  <c r="Z54" i="7"/>
  <c r="AA54" i="7"/>
  <c r="AB54" i="7"/>
  <c r="AC54" i="7"/>
  <c r="AD54" i="7"/>
  <c r="AE54" i="7"/>
  <c r="AF54" i="7"/>
  <c r="AH54" i="7"/>
  <c r="AI54" i="7"/>
  <c r="AJ54" i="7"/>
  <c r="AM54" i="7"/>
  <c r="AO54" i="7"/>
  <c r="AP54" i="7"/>
  <c r="AQ54" i="7"/>
  <c r="AR54" i="7"/>
  <c r="AS54" i="7"/>
  <c r="AT54" i="7"/>
  <c r="AU54" i="7"/>
  <c r="D55" i="7"/>
  <c r="E55" i="7"/>
  <c r="F55" i="7"/>
  <c r="I55" i="7"/>
  <c r="K55" i="7"/>
  <c r="L55" i="7"/>
  <c r="M55" i="7"/>
  <c r="N55" i="7"/>
  <c r="O55" i="7"/>
  <c r="P55" i="7"/>
  <c r="Q55" i="7"/>
  <c r="S55" i="7"/>
  <c r="T55" i="7"/>
  <c r="U55" i="7"/>
  <c r="X55" i="7"/>
  <c r="Z55" i="7"/>
  <c r="AA55" i="7"/>
  <c r="AB55" i="7"/>
  <c r="AC55" i="7"/>
  <c r="AD55" i="7"/>
  <c r="AE55" i="7"/>
  <c r="AF55" i="7"/>
  <c r="AH55" i="7"/>
  <c r="AI55" i="7"/>
  <c r="AJ55" i="7"/>
  <c r="AM55" i="7"/>
  <c r="AO55" i="7"/>
  <c r="AP55" i="7"/>
  <c r="AQ55" i="7"/>
  <c r="AR55" i="7"/>
  <c r="AS55" i="7"/>
  <c r="AT55" i="7"/>
  <c r="AU55" i="7"/>
  <c r="D56" i="7"/>
  <c r="E56" i="7"/>
  <c r="F56" i="7"/>
  <c r="I56" i="7"/>
  <c r="K56" i="7"/>
  <c r="L56" i="7"/>
  <c r="M56" i="7"/>
  <c r="N56" i="7"/>
  <c r="O56" i="7"/>
  <c r="P56" i="7"/>
  <c r="Q56" i="7"/>
  <c r="S56" i="7"/>
  <c r="T56" i="7"/>
  <c r="U56" i="7"/>
  <c r="X56" i="7"/>
  <c r="Z56" i="7"/>
  <c r="AA56" i="7"/>
  <c r="AB56" i="7"/>
  <c r="AC56" i="7"/>
  <c r="AD56" i="7"/>
  <c r="AE56" i="7"/>
  <c r="AF56" i="7"/>
  <c r="AH56" i="7"/>
  <c r="AI56" i="7"/>
  <c r="AJ56" i="7"/>
  <c r="AM56" i="7"/>
  <c r="AO56" i="7"/>
  <c r="AP56" i="7"/>
  <c r="AQ56" i="7"/>
  <c r="AR56" i="7"/>
  <c r="AS56" i="7"/>
  <c r="AT56" i="7"/>
  <c r="AU56" i="7"/>
  <c r="D57" i="7"/>
  <c r="E57" i="7"/>
  <c r="F57" i="7"/>
  <c r="I57" i="7"/>
  <c r="K57" i="7"/>
  <c r="L57" i="7"/>
  <c r="M57" i="7"/>
  <c r="N57" i="7"/>
  <c r="O57" i="7"/>
  <c r="P57" i="7"/>
  <c r="Q57" i="7"/>
  <c r="S57" i="7"/>
  <c r="T57" i="7"/>
  <c r="U57" i="7"/>
  <c r="X57" i="7"/>
  <c r="Z57" i="7"/>
  <c r="AA57" i="7"/>
  <c r="AB57" i="7"/>
  <c r="AC57" i="7"/>
  <c r="AD57" i="7"/>
  <c r="AE57" i="7"/>
  <c r="AF57" i="7"/>
  <c r="AH57" i="7"/>
  <c r="AI57" i="7"/>
  <c r="AJ57" i="7"/>
  <c r="AM57" i="7"/>
  <c r="AO57" i="7"/>
  <c r="AP57" i="7"/>
  <c r="AQ57" i="7"/>
  <c r="AR57" i="7"/>
  <c r="AS57" i="7"/>
  <c r="AT57" i="7"/>
  <c r="AU57" i="7"/>
  <c r="D58" i="7"/>
  <c r="E58" i="7"/>
  <c r="F58" i="7"/>
  <c r="I58" i="7"/>
  <c r="K58" i="7"/>
  <c r="L58" i="7"/>
  <c r="M58" i="7"/>
  <c r="N58" i="7"/>
  <c r="O58" i="7"/>
  <c r="P58" i="7"/>
  <c r="Q58" i="7"/>
  <c r="S58" i="7"/>
  <c r="T58" i="7"/>
  <c r="U58" i="7"/>
  <c r="X58" i="7"/>
  <c r="Z58" i="7"/>
  <c r="AA58" i="7"/>
  <c r="AB58" i="7"/>
  <c r="AC58" i="7"/>
  <c r="AD58" i="7"/>
  <c r="AE58" i="7"/>
  <c r="AF58" i="7"/>
  <c r="AH58" i="7"/>
  <c r="AI58" i="7"/>
  <c r="AJ58" i="7"/>
  <c r="AM58" i="7"/>
  <c r="AO58" i="7"/>
  <c r="AP58" i="7"/>
  <c r="AQ58" i="7"/>
  <c r="AR58" i="7"/>
  <c r="AS58" i="7"/>
  <c r="AT58" i="7"/>
  <c r="AU58" i="7"/>
  <c r="D59" i="7"/>
  <c r="E59" i="7"/>
  <c r="F59" i="7"/>
  <c r="I59" i="7"/>
  <c r="K59" i="7"/>
  <c r="L59" i="7"/>
  <c r="M59" i="7"/>
  <c r="N59" i="7"/>
  <c r="O59" i="7"/>
  <c r="P59" i="7"/>
  <c r="Q59" i="7"/>
  <c r="S59" i="7"/>
  <c r="T59" i="7"/>
  <c r="U59" i="7"/>
  <c r="X59" i="7"/>
  <c r="Z59" i="7"/>
  <c r="AA59" i="7"/>
  <c r="AB59" i="7"/>
  <c r="AC59" i="7"/>
  <c r="AD59" i="7"/>
  <c r="AE59" i="7"/>
  <c r="AF59" i="7"/>
  <c r="AH59" i="7"/>
  <c r="AI59" i="7"/>
  <c r="AJ59" i="7"/>
  <c r="AM59" i="7"/>
  <c r="AO59" i="7"/>
  <c r="AP59" i="7"/>
  <c r="AQ59" i="7"/>
  <c r="AR59" i="7"/>
  <c r="AS59" i="7"/>
  <c r="AT59" i="7"/>
  <c r="AU59" i="7"/>
  <c r="D60" i="7"/>
  <c r="E60" i="7"/>
  <c r="F60" i="7"/>
  <c r="I60" i="7"/>
  <c r="K60" i="7"/>
  <c r="L60" i="7"/>
  <c r="M60" i="7"/>
  <c r="N60" i="7"/>
  <c r="O60" i="7"/>
  <c r="P60" i="7"/>
  <c r="Q60" i="7"/>
  <c r="S60" i="7"/>
  <c r="T60" i="7"/>
  <c r="U60" i="7"/>
  <c r="X60" i="7"/>
  <c r="Z60" i="7"/>
  <c r="AA60" i="7"/>
  <c r="AB60" i="7"/>
  <c r="AC60" i="7"/>
  <c r="AD60" i="7"/>
  <c r="AE60" i="7"/>
  <c r="AF60" i="7"/>
  <c r="AH60" i="7"/>
  <c r="AI60" i="7"/>
  <c r="AJ60" i="7"/>
  <c r="AM60" i="7"/>
  <c r="AO60" i="7"/>
  <c r="AP60" i="7"/>
  <c r="AQ60" i="7"/>
  <c r="AR60" i="7"/>
  <c r="AS60" i="7"/>
  <c r="AT60" i="7"/>
  <c r="AU60" i="7"/>
  <c r="D61" i="7"/>
  <c r="E61" i="7"/>
  <c r="F61" i="7"/>
  <c r="I61" i="7"/>
  <c r="K61" i="7"/>
  <c r="L61" i="7"/>
  <c r="M61" i="7"/>
  <c r="N61" i="7"/>
  <c r="O61" i="7"/>
  <c r="P61" i="7"/>
  <c r="Q61" i="7"/>
  <c r="S61" i="7"/>
  <c r="T61" i="7"/>
  <c r="U61" i="7"/>
  <c r="X61" i="7"/>
  <c r="Z61" i="7"/>
  <c r="AA61" i="7"/>
  <c r="AB61" i="7"/>
  <c r="AC61" i="7"/>
  <c r="AD61" i="7"/>
  <c r="AE61" i="7"/>
  <c r="AF61" i="7"/>
  <c r="AH61" i="7"/>
  <c r="AI61" i="7"/>
  <c r="AJ61" i="7"/>
  <c r="AM61" i="7"/>
  <c r="AO61" i="7"/>
  <c r="AP61" i="7"/>
  <c r="AQ61" i="7"/>
  <c r="AR61" i="7"/>
  <c r="AS61" i="7"/>
  <c r="AT61" i="7"/>
  <c r="AU61" i="7"/>
  <c r="D62" i="7"/>
  <c r="E62" i="7"/>
  <c r="F62" i="7"/>
  <c r="I62" i="7"/>
  <c r="K62" i="7"/>
  <c r="L62" i="7"/>
  <c r="M62" i="7"/>
  <c r="N62" i="7"/>
  <c r="O62" i="7"/>
  <c r="P62" i="7"/>
  <c r="Q62" i="7"/>
  <c r="S62" i="7"/>
  <c r="T62" i="7"/>
  <c r="U62" i="7"/>
  <c r="X62" i="7"/>
  <c r="Z62" i="7"/>
  <c r="AA62" i="7"/>
  <c r="AB62" i="7"/>
  <c r="AC62" i="7"/>
  <c r="AD62" i="7"/>
  <c r="AE62" i="7"/>
  <c r="AF62" i="7"/>
  <c r="AH62" i="7"/>
  <c r="AI62" i="7"/>
  <c r="AJ62" i="7"/>
  <c r="AM62" i="7"/>
  <c r="AO62" i="7"/>
  <c r="AP62" i="7"/>
  <c r="AQ62" i="7"/>
  <c r="AR62" i="7"/>
  <c r="AS62" i="7"/>
  <c r="AT62" i="7"/>
  <c r="AU62" i="7"/>
  <c r="D63" i="7"/>
  <c r="E63" i="7"/>
  <c r="F63" i="7"/>
  <c r="I63" i="7"/>
  <c r="K63" i="7"/>
  <c r="L63" i="7"/>
  <c r="M63" i="7"/>
  <c r="N63" i="7"/>
  <c r="O63" i="7"/>
  <c r="P63" i="7"/>
  <c r="Q63" i="7"/>
  <c r="S63" i="7"/>
  <c r="T63" i="7"/>
  <c r="U63" i="7"/>
  <c r="X63" i="7"/>
  <c r="Z63" i="7"/>
  <c r="AA63" i="7"/>
  <c r="AB63" i="7"/>
  <c r="AC63" i="7"/>
  <c r="AD63" i="7"/>
  <c r="AE63" i="7"/>
  <c r="AF63" i="7"/>
  <c r="AH63" i="7"/>
  <c r="AI63" i="7"/>
  <c r="AJ63" i="7"/>
  <c r="AM63" i="7"/>
  <c r="AO63" i="7"/>
  <c r="AP63" i="7"/>
  <c r="AQ63" i="7"/>
  <c r="AR63" i="7"/>
  <c r="AS63" i="7"/>
  <c r="AT63" i="7"/>
  <c r="AU63" i="7"/>
  <c r="D64" i="7"/>
  <c r="E64" i="7"/>
  <c r="F64" i="7"/>
  <c r="I64" i="7"/>
  <c r="K64" i="7"/>
  <c r="L64" i="7"/>
  <c r="M64" i="7"/>
  <c r="N64" i="7"/>
  <c r="O64" i="7"/>
  <c r="P64" i="7"/>
  <c r="Q64" i="7"/>
  <c r="S64" i="7"/>
  <c r="T64" i="7"/>
  <c r="U64" i="7"/>
  <c r="X64" i="7"/>
  <c r="Z64" i="7"/>
  <c r="AA64" i="7"/>
  <c r="AB64" i="7"/>
  <c r="AC64" i="7"/>
  <c r="AD64" i="7"/>
  <c r="AE64" i="7"/>
  <c r="AF64" i="7"/>
  <c r="AH64" i="7"/>
  <c r="AI64" i="7"/>
  <c r="AJ64" i="7"/>
  <c r="AM64" i="7"/>
  <c r="AO64" i="7"/>
  <c r="AP64" i="7"/>
  <c r="AQ64" i="7"/>
  <c r="AR64" i="7"/>
  <c r="AS64" i="7"/>
  <c r="AT64" i="7"/>
  <c r="AU64" i="7"/>
  <c r="D65" i="7"/>
  <c r="E65" i="7"/>
  <c r="F65" i="7"/>
  <c r="I65" i="7"/>
  <c r="K65" i="7"/>
  <c r="L65" i="7"/>
  <c r="M65" i="7"/>
  <c r="N65" i="7"/>
  <c r="O65" i="7"/>
  <c r="P65" i="7"/>
  <c r="Q65" i="7"/>
  <c r="S65" i="7"/>
  <c r="T65" i="7"/>
  <c r="U65" i="7"/>
  <c r="X65" i="7"/>
  <c r="Z65" i="7"/>
  <c r="AA65" i="7"/>
  <c r="AB65" i="7"/>
  <c r="AC65" i="7"/>
  <c r="AD65" i="7"/>
  <c r="AE65" i="7"/>
  <c r="AF65" i="7"/>
  <c r="AH65" i="7"/>
  <c r="AI65" i="7"/>
  <c r="AJ65" i="7"/>
  <c r="AM65" i="7"/>
  <c r="AO65" i="7"/>
  <c r="AP65" i="7"/>
  <c r="AQ65" i="7"/>
  <c r="AR65" i="7"/>
  <c r="AS65" i="7"/>
  <c r="AT65" i="7"/>
  <c r="AU65" i="7"/>
  <c r="D66" i="7"/>
  <c r="E66" i="7"/>
  <c r="F66" i="7"/>
  <c r="I66" i="7"/>
  <c r="K66" i="7"/>
  <c r="L66" i="7"/>
  <c r="M66" i="7"/>
  <c r="N66" i="7"/>
  <c r="O66" i="7"/>
  <c r="P66" i="7"/>
  <c r="Q66" i="7"/>
  <c r="S66" i="7"/>
  <c r="T66" i="7"/>
  <c r="U66" i="7"/>
  <c r="X66" i="7"/>
  <c r="Z66" i="7"/>
  <c r="AA66" i="7"/>
  <c r="AB66" i="7"/>
  <c r="AC66" i="7"/>
  <c r="AD66" i="7"/>
  <c r="AE66" i="7"/>
  <c r="AF66" i="7"/>
  <c r="AH66" i="7"/>
  <c r="AI66" i="7"/>
  <c r="AJ66" i="7"/>
  <c r="AM66" i="7"/>
  <c r="AO66" i="7"/>
  <c r="AP66" i="7"/>
  <c r="AQ66" i="7"/>
  <c r="AR66" i="7"/>
  <c r="AS66" i="7"/>
  <c r="AT66" i="7"/>
  <c r="AU66" i="7"/>
  <c r="D67" i="7"/>
  <c r="E67" i="7"/>
  <c r="F67" i="7"/>
  <c r="I67" i="7"/>
  <c r="K67" i="7"/>
  <c r="L67" i="7"/>
  <c r="M67" i="7"/>
  <c r="N67" i="7"/>
  <c r="O67" i="7"/>
  <c r="P67" i="7"/>
  <c r="Q67" i="7"/>
  <c r="S67" i="7"/>
  <c r="T67" i="7"/>
  <c r="U67" i="7"/>
  <c r="X67" i="7"/>
  <c r="Z67" i="7"/>
  <c r="AA67" i="7"/>
  <c r="AB67" i="7"/>
  <c r="AC67" i="7"/>
  <c r="AD67" i="7"/>
  <c r="AE67" i="7"/>
  <c r="AF67" i="7"/>
  <c r="AH67" i="7"/>
  <c r="AI67" i="7"/>
  <c r="AJ67" i="7"/>
  <c r="AM67" i="7"/>
  <c r="AO67" i="7"/>
  <c r="AP67" i="7"/>
  <c r="AQ67" i="7"/>
  <c r="AR67" i="7"/>
  <c r="AS67" i="7"/>
  <c r="AT67" i="7"/>
  <c r="AU67" i="7"/>
  <c r="D68" i="7"/>
  <c r="E68" i="7"/>
  <c r="F68" i="7"/>
  <c r="I68" i="7"/>
  <c r="K68" i="7"/>
  <c r="L68" i="7"/>
  <c r="M68" i="7"/>
  <c r="N68" i="7"/>
  <c r="O68" i="7"/>
  <c r="P68" i="7"/>
  <c r="Q68" i="7"/>
  <c r="S68" i="7"/>
  <c r="T68" i="7"/>
  <c r="U68" i="7"/>
  <c r="X68" i="7"/>
  <c r="Z68" i="7"/>
  <c r="AA68" i="7"/>
  <c r="AB68" i="7"/>
  <c r="AC68" i="7"/>
  <c r="AD68" i="7"/>
  <c r="AE68" i="7"/>
  <c r="AF68" i="7"/>
  <c r="AH68" i="7"/>
  <c r="AI68" i="7"/>
  <c r="AJ68" i="7"/>
  <c r="AM68" i="7"/>
  <c r="AO68" i="7"/>
  <c r="AP68" i="7"/>
  <c r="AQ68" i="7"/>
  <c r="AR68" i="7"/>
  <c r="AS68" i="7"/>
  <c r="AT68" i="7"/>
  <c r="AU68" i="7"/>
  <c r="D69" i="7"/>
  <c r="E69" i="7"/>
  <c r="F69" i="7"/>
  <c r="I69" i="7"/>
  <c r="K69" i="7"/>
  <c r="L69" i="7"/>
  <c r="M69" i="7"/>
  <c r="N69" i="7"/>
  <c r="O69" i="7"/>
  <c r="P69" i="7"/>
  <c r="Q69" i="7"/>
  <c r="S69" i="7"/>
  <c r="T69" i="7"/>
  <c r="U69" i="7"/>
  <c r="X69" i="7"/>
  <c r="Z69" i="7"/>
  <c r="AA69" i="7"/>
  <c r="AB69" i="7"/>
  <c r="AC69" i="7"/>
  <c r="AD69" i="7"/>
  <c r="AE69" i="7"/>
  <c r="AF69" i="7"/>
  <c r="AH69" i="7"/>
  <c r="AI69" i="7"/>
  <c r="AJ69" i="7"/>
  <c r="AM69" i="7"/>
  <c r="AO69" i="7"/>
  <c r="AP69" i="7"/>
  <c r="AQ69" i="7"/>
  <c r="AR69" i="7"/>
  <c r="AS69" i="7"/>
  <c r="AT69" i="7"/>
  <c r="AU69" i="7"/>
  <c r="D70" i="7"/>
  <c r="E70" i="7"/>
  <c r="F70" i="7"/>
  <c r="I70" i="7"/>
  <c r="K70" i="7"/>
  <c r="L70" i="7"/>
  <c r="M70" i="7"/>
  <c r="N70" i="7"/>
  <c r="O70" i="7"/>
  <c r="P70" i="7"/>
  <c r="Q70" i="7"/>
  <c r="S70" i="7"/>
  <c r="T70" i="7"/>
  <c r="U70" i="7"/>
  <c r="X70" i="7"/>
  <c r="Z70" i="7"/>
  <c r="AA70" i="7"/>
  <c r="AB70" i="7"/>
  <c r="AC70" i="7"/>
  <c r="AD70" i="7"/>
  <c r="AE70" i="7"/>
  <c r="AF70" i="7"/>
  <c r="AH70" i="7"/>
  <c r="AI70" i="7"/>
  <c r="AJ70" i="7"/>
  <c r="AM70" i="7"/>
  <c r="AO70" i="7"/>
  <c r="AP70" i="7"/>
  <c r="AQ70" i="7"/>
  <c r="AR70" i="7"/>
  <c r="AS70" i="7"/>
  <c r="AT70" i="7"/>
  <c r="AU70" i="7"/>
  <c r="D71" i="7"/>
  <c r="E71" i="7"/>
  <c r="F71" i="7"/>
  <c r="I71" i="7"/>
  <c r="K71" i="7"/>
  <c r="L71" i="7"/>
  <c r="M71" i="7"/>
  <c r="N71" i="7"/>
  <c r="O71" i="7"/>
  <c r="P71" i="7"/>
  <c r="Q71" i="7"/>
  <c r="S71" i="7"/>
  <c r="T71" i="7"/>
  <c r="U71" i="7"/>
  <c r="X71" i="7"/>
  <c r="Z71" i="7"/>
  <c r="AA71" i="7"/>
  <c r="AB71" i="7"/>
  <c r="AC71" i="7"/>
  <c r="AD71" i="7"/>
  <c r="AE71" i="7"/>
  <c r="AF71" i="7"/>
  <c r="AH71" i="7"/>
  <c r="AI71" i="7"/>
  <c r="AJ71" i="7"/>
  <c r="AM71" i="7"/>
  <c r="AO71" i="7"/>
  <c r="AP71" i="7"/>
  <c r="AQ71" i="7"/>
  <c r="AR71" i="7"/>
  <c r="AS71" i="7"/>
  <c r="AT71" i="7"/>
  <c r="AU71" i="7"/>
  <c r="D72" i="7"/>
  <c r="E72" i="7"/>
  <c r="F72" i="7"/>
  <c r="I72" i="7"/>
  <c r="K72" i="7"/>
  <c r="L72" i="7"/>
  <c r="M72" i="7"/>
  <c r="N72" i="7"/>
  <c r="O72" i="7"/>
  <c r="P72" i="7"/>
  <c r="Q72" i="7"/>
  <c r="S72" i="7"/>
  <c r="T72" i="7"/>
  <c r="U72" i="7"/>
  <c r="X72" i="7"/>
  <c r="Z72" i="7"/>
  <c r="AA72" i="7"/>
  <c r="AB72" i="7"/>
  <c r="AC72" i="7"/>
  <c r="AD72" i="7"/>
  <c r="AE72" i="7"/>
  <c r="AF72" i="7"/>
  <c r="AH72" i="7"/>
  <c r="AI72" i="7"/>
  <c r="AJ72" i="7"/>
  <c r="AM72" i="7"/>
  <c r="AO72" i="7"/>
  <c r="AP72" i="7"/>
  <c r="AQ72" i="7"/>
  <c r="AR72" i="7"/>
  <c r="AS72" i="7"/>
  <c r="AT72" i="7"/>
  <c r="AU72" i="7"/>
  <c r="D73" i="7"/>
  <c r="E73" i="7"/>
  <c r="F73" i="7"/>
  <c r="I73" i="7"/>
  <c r="K73" i="7"/>
  <c r="L73" i="7"/>
  <c r="M73" i="7"/>
  <c r="N73" i="7"/>
  <c r="O73" i="7"/>
  <c r="P73" i="7"/>
  <c r="Q73" i="7"/>
  <c r="S73" i="7"/>
  <c r="T73" i="7"/>
  <c r="U73" i="7"/>
  <c r="X73" i="7"/>
  <c r="Z73" i="7"/>
  <c r="AA73" i="7"/>
  <c r="AB73" i="7"/>
  <c r="AC73" i="7"/>
  <c r="AD73" i="7"/>
  <c r="AE73" i="7"/>
  <c r="AF73" i="7"/>
  <c r="AH73" i="7"/>
  <c r="AI73" i="7"/>
  <c r="AJ73" i="7"/>
  <c r="AM73" i="7"/>
  <c r="AO73" i="7"/>
  <c r="AP73" i="7"/>
  <c r="AQ73" i="7"/>
  <c r="AR73" i="7"/>
  <c r="AS73" i="7"/>
  <c r="AT73" i="7"/>
  <c r="AU73" i="7"/>
  <c r="D74" i="7"/>
  <c r="E74" i="7"/>
  <c r="F74" i="7"/>
  <c r="I74" i="7"/>
  <c r="K74" i="7"/>
  <c r="L74" i="7"/>
  <c r="M74" i="7"/>
  <c r="N74" i="7"/>
  <c r="O74" i="7"/>
  <c r="P74" i="7"/>
  <c r="Q74" i="7"/>
  <c r="S74" i="7"/>
  <c r="T74" i="7"/>
  <c r="U74" i="7"/>
  <c r="X74" i="7"/>
  <c r="Z74" i="7"/>
  <c r="AA74" i="7"/>
  <c r="AB74" i="7"/>
  <c r="AC74" i="7"/>
  <c r="AD74" i="7"/>
  <c r="AE74" i="7"/>
  <c r="AF74" i="7"/>
  <c r="AH74" i="7"/>
  <c r="AI74" i="7"/>
  <c r="AJ74" i="7"/>
  <c r="AM74" i="7"/>
  <c r="AO74" i="7"/>
  <c r="AP74" i="7"/>
  <c r="AQ74" i="7"/>
  <c r="AR74" i="7"/>
  <c r="AS74" i="7"/>
  <c r="AT74" i="7"/>
  <c r="AU74" i="7"/>
  <c r="D75" i="7"/>
  <c r="E75" i="7"/>
  <c r="F75" i="7"/>
  <c r="I75" i="7"/>
  <c r="K75" i="7"/>
  <c r="L75" i="7"/>
  <c r="M75" i="7"/>
  <c r="N75" i="7"/>
  <c r="O75" i="7"/>
  <c r="P75" i="7"/>
  <c r="Q75" i="7"/>
  <c r="S75" i="7"/>
  <c r="T75" i="7"/>
  <c r="U75" i="7"/>
  <c r="X75" i="7"/>
  <c r="Z75" i="7"/>
  <c r="AA75" i="7"/>
  <c r="AB75" i="7"/>
  <c r="AC75" i="7"/>
  <c r="AD75" i="7"/>
  <c r="AE75" i="7"/>
  <c r="AF75" i="7"/>
  <c r="AH75" i="7"/>
  <c r="AI75" i="7"/>
  <c r="AJ75" i="7"/>
  <c r="AM75" i="7"/>
  <c r="AO75" i="7"/>
  <c r="AP75" i="7"/>
  <c r="AQ75" i="7"/>
  <c r="AR75" i="7"/>
  <c r="AS75" i="7"/>
  <c r="AT75" i="7"/>
  <c r="AU75" i="7"/>
  <c r="D76" i="7"/>
  <c r="E76" i="7"/>
  <c r="F76" i="7"/>
  <c r="I76" i="7"/>
  <c r="K76" i="7"/>
  <c r="L76" i="7"/>
  <c r="M76" i="7"/>
  <c r="N76" i="7"/>
  <c r="O76" i="7"/>
  <c r="P76" i="7"/>
  <c r="Q76" i="7"/>
  <c r="S76" i="7"/>
  <c r="T76" i="7"/>
  <c r="U76" i="7"/>
  <c r="X76" i="7"/>
  <c r="Z76" i="7"/>
  <c r="AA76" i="7"/>
  <c r="AB76" i="7"/>
  <c r="AC76" i="7"/>
  <c r="AD76" i="7"/>
  <c r="AE76" i="7"/>
  <c r="AF76" i="7"/>
  <c r="AH76" i="7"/>
  <c r="AI76" i="7"/>
  <c r="AJ76" i="7"/>
  <c r="AM76" i="7"/>
  <c r="AO76" i="7"/>
  <c r="AP76" i="7"/>
  <c r="AQ76" i="7"/>
  <c r="AR76" i="7"/>
  <c r="AS76" i="7"/>
  <c r="AT76" i="7"/>
  <c r="AU76" i="7"/>
  <c r="D77" i="7"/>
  <c r="E77" i="7"/>
  <c r="F77" i="7"/>
  <c r="I77" i="7"/>
  <c r="K77" i="7"/>
  <c r="L77" i="7"/>
  <c r="M77" i="7"/>
  <c r="N77" i="7"/>
  <c r="O77" i="7"/>
  <c r="P77" i="7"/>
  <c r="Q77" i="7"/>
  <c r="S77" i="7"/>
  <c r="T77" i="7"/>
  <c r="U77" i="7"/>
  <c r="X77" i="7"/>
  <c r="Z77" i="7"/>
  <c r="AA77" i="7"/>
  <c r="AB77" i="7"/>
  <c r="AC77" i="7"/>
  <c r="AD77" i="7"/>
  <c r="AE77" i="7"/>
  <c r="AF77" i="7"/>
  <c r="AH77" i="7"/>
  <c r="AI77" i="7"/>
  <c r="AJ77" i="7"/>
  <c r="AM77" i="7"/>
  <c r="AO77" i="7"/>
  <c r="AP77" i="7"/>
  <c r="AQ77" i="7"/>
  <c r="AR77" i="7"/>
  <c r="AS77" i="7"/>
  <c r="AT77" i="7"/>
  <c r="AU77" i="7"/>
  <c r="D78" i="7"/>
  <c r="E78" i="7"/>
  <c r="F78" i="7"/>
  <c r="I78" i="7"/>
  <c r="K78" i="7"/>
  <c r="L78" i="7"/>
  <c r="M78" i="7"/>
  <c r="N78" i="7"/>
  <c r="O78" i="7"/>
  <c r="P78" i="7"/>
  <c r="Q78" i="7"/>
  <c r="S78" i="7"/>
  <c r="T78" i="7"/>
  <c r="U78" i="7"/>
  <c r="X78" i="7"/>
  <c r="Z78" i="7"/>
  <c r="AA78" i="7"/>
  <c r="AB78" i="7"/>
  <c r="AC78" i="7"/>
  <c r="AD78" i="7"/>
  <c r="AE78" i="7"/>
  <c r="AF78" i="7"/>
  <c r="AH78" i="7"/>
  <c r="AI78" i="7"/>
  <c r="AJ78" i="7"/>
  <c r="AM78" i="7"/>
  <c r="AO78" i="7"/>
  <c r="AP78" i="7"/>
  <c r="AQ78" i="7"/>
  <c r="AR78" i="7"/>
  <c r="AS78" i="7"/>
  <c r="AT78" i="7"/>
  <c r="AU78" i="7"/>
  <c r="D79" i="7"/>
  <c r="E79" i="7"/>
  <c r="F79" i="7"/>
  <c r="I79" i="7"/>
  <c r="K79" i="7"/>
  <c r="L79" i="7"/>
  <c r="M79" i="7"/>
  <c r="N79" i="7"/>
  <c r="O79" i="7"/>
  <c r="P79" i="7"/>
  <c r="Q79" i="7"/>
  <c r="S79" i="7"/>
  <c r="T79" i="7"/>
  <c r="U79" i="7"/>
  <c r="X79" i="7"/>
  <c r="Z79" i="7"/>
  <c r="AA79" i="7"/>
  <c r="AB79" i="7"/>
  <c r="AC79" i="7"/>
  <c r="AD79" i="7"/>
  <c r="AE79" i="7"/>
  <c r="AF79" i="7"/>
  <c r="AH79" i="7"/>
  <c r="AI79" i="7"/>
  <c r="AJ79" i="7"/>
  <c r="AM79" i="7"/>
  <c r="AO79" i="7"/>
  <c r="AP79" i="7"/>
  <c r="AQ79" i="7"/>
  <c r="AR79" i="7"/>
  <c r="AS79" i="7"/>
  <c r="AT79" i="7"/>
  <c r="AU79" i="7"/>
  <c r="D80" i="7"/>
  <c r="E80" i="7"/>
  <c r="F80" i="7"/>
  <c r="I80" i="7"/>
  <c r="K80" i="7"/>
  <c r="L80" i="7"/>
  <c r="M80" i="7"/>
  <c r="N80" i="7"/>
  <c r="O80" i="7"/>
  <c r="P80" i="7"/>
  <c r="Q80" i="7"/>
  <c r="S80" i="7"/>
  <c r="T80" i="7"/>
  <c r="U80" i="7"/>
  <c r="X80" i="7"/>
  <c r="Z80" i="7"/>
  <c r="AA80" i="7"/>
  <c r="AB80" i="7"/>
  <c r="AC80" i="7"/>
  <c r="AD80" i="7"/>
  <c r="AE80" i="7"/>
  <c r="AF80" i="7"/>
  <c r="AH80" i="7"/>
  <c r="AI80" i="7"/>
  <c r="AJ80" i="7"/>
  <c r="AM80" i="7"/>
  <c r="AO80" i="7"/>
  <c r="AP80" i="7"/>
  <c r="AQ80" i="7"/>
  <c r="AR80" i="7"/>
  <c r="AS80" i="7"/>
  <c r="AT80" i="7"/>
  <c r="AU80" i="7"/>
  <c r="D81" i="7"/>
  <c r="E81" i="7"/>
  <c r="F81" i="7"/>
  <c r="I81" i="7"/>
  <c r="K81" i="7"/>
  <c r="L81" i="7"/>
  <c r="M81" i="7"/>
  <c r="N81" i="7"/>
  <c r="O81" i="7"/>
  <c r="P81" i="7"/>
  <c r="Q81" i="7"/>
  <c r="S81" i="7"/>
  <c r="T81" i="7"/>
  <c r="U81" i="7"/>
  <c r="X81" i="7"/>
  <c r="Z81" i="7"/>
  <c r="AA81" i="7"/>
  <c r="AB81" i="7"/>
  <c r="AC81" i="7"/>
  <c r="AD81" i="7"/>
  <c r="AE81" i="7"/>
  <c r="AF81" i="7"/>
  <c r="AH81" i="7"/>
  <c r="AI81" i="7"/>
  <c r="AJ81" i="7"/>
  <c r="AM81" i="7"/>
  <c r="AO81" i="7"/>
  <c r="AP81" i="7"/>
  <c r="AQ81" i="7"/>
  <c r="AR81" i="7"/>
  <c r="AS81" i="7"/>
  <c r="AT81" i="7"/>
  <c r="AU81" i="7"/>
  <c r="D82" i="7"/>
  <c r="E82" i="7"/>
  <c r="F82" i="7"/>
  <c r="I82" i="7"/>
  <c r="K82" i="7"/>
  <c r="L82" i="7"/>
  <c r="M82" i="7"/>
  <c r="N82" i="7"/>
  <c r="O82" i="7"/>
  <c r="P82" i="7"/>
  <c r="Q82" i="7"/>
  <c r="S82" i="7"/>
  <c r="T82" i="7"/>
  <c r="U82" i="7"/>
  <c r="X82" i="7"/>
  <c r="Z82" i="7"/>
  <c r="AA82" i="7"/>
  <c r="AB82" i="7"/>
  <c r="AC82" i="7"/>
  <c r="AD82" i="7"/>
  <c r="AE82" i="7"/>
  <c r="AF82" i="7"/>
  <c r="AH82" i="7"/>
  <c r="AI82" i="7"/>
  <c r="AJ82" i="7"/>
  <c r="AM82" i="7"/>
  <c r="AO82" i="7"/>
  <c r="AP82" i="7"/>
  <c r="AQ82" i="7"/>
  <c r="AR82" i="7"/>
  <c r="AS82" i="7"/>
  <c r="AT82" i="7"/>
  <c r="AU82" i="7"/>
  <c r="D83" i="7"/>
  <c r="E83" i="7"/>
  <c r="F83" i="7"/>
  <c r="I83" i="7"/>
  <c r="K83" i="7"/>
  <c r="L83" i="7"/>
  <c r="M83" i="7"/>
  <c r="N83" i="7"/>
  <c r="O83" i="7"/>
  <c r="P83" i="7"/>
  <c r="Q83" i="7"/>
  <c r="S83" i="7"/>
  <c r="T83" i="7"/>
  <c r="U83" i="7"/>
  <c r="X83" i="7"/>
  <c r="Z83" i="7"/>
  <c r="AA83" i="7"/>
  <c r="AB83" i="7"/>
  <c r="AC83" i="7"/>
  <c r="AD83" i="7"/>
  <c r="AE83" i="7"/>
  <c r="AF83" i="7"/>
  <c r="AH83" i="7"/>
  <c r="AI83" i="7"/>
  <c r="AJ83" i="7"/>
  <c r="AM83" i="7"/>
  <c r="AO83" i="7"/>
  <c r="AP83" i="7"/>
  <c r="AQ83" i="7"/>
  <c r="AR83" i="7"/>
  <c r="AS83" i="7"/>
  <c r="AT83" i="7"/>
  <c r="AU83" i="7"/>
  <c r="D84" i="7"/>
  <c r="E84" i="7"/>
  <c r="F84" i="7"/>
  <c r="I84" i="7"/>
  <c r="K84" i="7"/>
  <c r="L84" i="7"/>
  <c r="M84" i="7"/>
  <c r="N84" i="7"/>
  <c r="O84" i="7"/>
  <c r="P84" i="7"/>
  <c r="Q84" i="7"/>
  <c r="S84" i="7"/>
  <c r="T84" i="7"/>
  <c r="U84" i="7"/>
  <c r="X84" i="7"/>
  <c r="Z84" i="7"/>
  <c r="AA84" i="7"/>
  <c r="AB84" i="7"/>
  <c r="AC84" i="7"/>
  <c r="AD84" i="7"/>
  <c r="AE84" i="7"/>
  <c r="AF84" i="7"/>
  <c r="AH84" i="7"/>
  <c r="AI84" i="7"/>
  <c r="AJ84" i="7"/>
  <c r="AM84" i="7"/>
  <c r="AO84" i="7"/>
  <c r="AP84" i="7"/>
  <c r="AQ84" i="7"/>
  <c r="AR84" i="7"/>
  <c r="AS84" i="7"/>
  <c r="AT84" i="7"/>
  <c r="AU84" i="7"/>
  <c r="D85" i="7"/>
  <c r="E85" i="7"/>
  <c r="F85" i="7"/>
  <c r="I85" i="7"/>
  <c r="K85" i="7"/>
  <c r="L85" i="7"/>
  <c r="M85" i="7"/>
  <c r="N85" i="7"/>
  <c r="O85" i="7"/>
  <c r="P85" i="7"/>
  <c r="Q85" i="7"/>
  <c r="S85" i="7"/>
  <c r="T85" i="7"/>
  <c r="U85" i="7"/>
  <c r="X85" i="7"/>
  <c r="Z85" i="7"/>
  <c r="AA85" i="7"/>
  <c r="AB85" i="7"/>
  <c r="AC85" i="7"/>
  <c r="AD85" i="7"/>
  <c r="AE85" i="7"/>
  <c r="AF85" i="7"/>
  <c r="AH85" i="7"/>
  <c r="AI85" i="7"/>
  <c r="AJ85" i="7"/>
  <c r="AM85" i="7"/>
  <c r="AO85" i="7"/>
  <c r="AP85" i="7"/>
  <c r="AQ85" i="7"/>
  <c r="AR85" i="7"/>
  <c r="AS85" i="7"/>
  <c r="AT85" i="7"/>
  <c r="AU85" i="7"/>
  <c r="D86" i="7"/>
  <c r="E86" i="7"/>
  <c r="F86" i="7"/>
  <c r="I86" i="7"/>
  <c r="K86" i="7"/>
  <c r="L86" i="7"/>
  <c r="M86" i="7"/>
  <c r="N86" i="7"/>
  <c r="O86" i="7"/>
  <c r="P86" i="7"/>
  <c r="Q86" i="7"/>
  <c r="S86" i="7"/>
  <c r="T86" i="7"/>
  <c r="U86" i="7"/>
  <c r="X86" i="7"/>
  <c r="Z86" i="7"/>
  <c r="AA86" i="7"/>
  <c r="AB86" i="7"/>
  <c r="AC86" i="7"/>
  <c r="AD86" i="7"/>
  <c r="AE86" i="7"/>
  <c r="AF86" i="7"/>
  <c r="AH86" i="7"/>
  <c r="AI86" i="7"/>
  <c r="AJ86" i="7"/>
  <c r="AM86" i="7"/>
  <c r="AO86" i="7"/>
  <c r="AP86" i="7"/>
  <c r="AQ86" i="7"/>
  <c r="AR86" i="7"/>
  <c r="AS86" i="7"/>
  <c r="AT86" i="7"/>
  <c r="AU86" i="7"/>
  <c r="D87" i="7"/>
  <c r="E87" i="7"/>
  <c r="F87" i="7"/>
  <c r="I87" i="7"/>
  <c r="K87" i="7"/>
  <c r="L87" i="7"/>
  <c r="M87" i="7"/>
  <c r="N87" i="7"/>
  <c r="O87" i="7"/>
  <c r="P87" i="7"/>
  <c r="Q87" i="7"/>
  <c r="S87" i="7"/>
  <c r="T87" i="7"/>
  <c r="U87" i="7"/>
  <c r="X87" i="7"/>
  <c r="Z87" i="7"/>
  <c r="AA87" i="7"/>
  <c r="AB87" i="7"/>
  <c r="AC87" i="7"/>
  <c r="AD87" i="7"/>
  <c r="AE87" i="7"/>
  <c r="AF87" i="7"/>
  <c r="AH87" i="7"/>
  <c r="AI87" i="7"/>
  <c r="AJ87" i="7"/>
  <c r="AM87" i="7"/>
  <c r="AO87" i="7"/>
  <c r="AP87" i="7"/>
  <c r="AQ87" i="7"/>
  <c r="AR87" i="7"/>
  <c r="AS87" i="7"/>
  <c r="AT87" i="7"/>
  <c r="AU87" i="7"/>
  <c r="C4" i="12"/>
  <c r="D4" i="12"/>
  <c r="E4" i="12"/>
  <c r="H4" i="12"/>
  <c r="J4" i="12"/>
  <c r="K4" i="12"/>
  <c r="L4" i="12"/>
  <c r="N4" i="12"/>
  <c r="O4" i="12"/>
  <c r="P4" i="12"/>
  <c r="Q4" i="12"/>
  <c r="R4" i="12"/>
  <c r="S4" i="12"/>
  <c r="T4" i="12"/>
  <c r="U4" i="12"/>
  <c r="W4" i="12"/>
  <c r="X4" i="12"/>
  <c r="Y4" i="12"/>
  <c r="AB4" i="12"/>
  <c r="AD4" i="12"/>
  <c r="AE4" i="12"/>
  <c r="AF4" i="12"/>
  <c r="AH4" i="12"/>
  <c r="AI4" i="12"/>
  <c r="AJ4" i="12"/>
  <c r="AK4" i="12"/>
  <c r="AL4" i="12"/>
  <c r="AM4" i="12"/>
  <c r="AN4" i="12"/>
  <c r="AO4" i="12"/>
  <c r="AQ4" i="12"/>
  <c r="AR4" i="12"/>
  <c r="AS4" i="12"/>
  <c r="AV4" i="12"/>
  <c r="AX4" i="12"/>
  <c r="AY4" i="12"/>
  <c r="AZ4" i="12"/>
  <c r="BB4" i="12"/>
  <c r="BC4" i="12"/>
  <c r="BD4" i="12"/>
  <c r="BE4" i="12"/>
  <c r="BF4" i="12"/>
  <c r="BG4" i="12"/>
  <c r="BH4" i="12"/>
  <c r="BI4" i="12"/>
  <c r="C5" i="12"/>
  <c r="D5" i="12"/>
  <c r="E5" i="12"/>
  <c r="H5" i="12"/>
  <c r="J5" i="12"/>
  <c r="K5" i="12"/>
  <c r="L5" i="12"/>
  <c r="N5" i="12"/>
  <c r="O5" i="12"/>
  <c r="P5" i="12"/>
  <c r="Q5" i="12"/>
  <c r="R5" i="12"/>
  <c r="S5" i="12"/>
  <c r="T5" i="12"/>
  <c r="U5" i="12"/>
  <c r="W5" i="12"/>
  <c r="X5" i="12"/>
  <c r="Y5" i="12"/>
  <c r="AB5" i="12"/>
  <c r="AD5" i="12"/>
  <c r="AE5" i="12"/>
  <c r="AF5" i="12"/>
  <c r="AH5" i="12"/>
  <c r="AI5" i="12"/>
  <c r="AJ5" i="12"/>
  <c r="AK5" i="12"/>
  <c r="AL5" i="12"/>
  <c r="AM5" i="12"/>
  <c r="AN5" i="12"/>
  <c r="AO5" i="12"/>
  <c r="AQ5" i="12"/>
  <c r="AR5" i="12"/>
  <c r="AS5" i="12"/>
  <c r="AV5" i="12"/>
  <c r="AX5" i="12"/>
  <c r="AY5" i="12"/>
  <c r="AZ5" i="12"/>
  <c r="BB5" i="12"/>
  <c r="BC5" i="12"/>
  <c r="BD5" i="12"/>
  <c r="BE5" i="12"/>
  <c r="BF5" i="12"/>
  <c r="BG5" i="12"/>
  <c r="BH5" i="12"/>
  <c r="BI5" i="12"/>
  <c r="C6" i="12"/>
  <c r="D6" i="12"/>
  <c r="E6" i="12"/>
  <c r="H6" i="12"/>
  <c r="J6" i="12"/>
  <c r="K6" i="12"/>
  <c r="L6" i="12"/>
  <c r="N6" i="12"/>
  <c r="O6" i="12"/>
  <c r="P6" i="12"/>
  <c r="Q6" i="12"/>
  <c r="R6" i="12"/>
  <c r="S6" i="12"/>
  <c r="T6" i="12"/>
  <c r="U6" i="12"/>
  <c r="W6" i="12"/>
  <c r="X6" i="12"/>
  <c r="Y6" i="12"/>
  <c r="AB6" i="12"/>
  <c r="AD6" i="12"/>
  <c r="AE6" i="12"/>
  <c r="AF6" i="12"/>
  <c r="AH6" i="12"/>
  <c r="AI6" i="12"/>
  <c r="AJ6" i="12"/>
  <c r="AK6" i="12"/>
  <c r="AL6" i="12"/>
  <c r="AM6" i="12"/>
  <c r="AN6" i="12"/>
  <c r="AO6" i="12"/>
  <c r="AQ6" i="12"/>
  <c r="AR6" i="12"/>
  <c r="AS6" i="12"/>
  <c r="AV6" i="12"/>
  <c r="AX6" i="12"/>
  <c r="AY6" i="12"/>
  <c r="AZ6" i="12"/>
  <c r="BB6" i="12"/>
  <c r="BC6" i="12"/>
  <c r="BD6" i="12"/>
  <c r="BE6" i="12"/>
  <c r="BF6" i="12"/>
  <c r="BG6" i="12"/>
  <c r="BH6" i="12"/>
  <c r="BI6" i="12"/>
  <c r="C7" i="12"/>
  <c r="D7" i="12"/>
  <c r="E7" i="12"/>
  <c r="H7" i="12"/>
  <c r="J7" i="12"/>
  <c r="K7" i="12"/>
  <c r="L7" i="12"/>
  <c r="N7" i="12"/>
  <c r="O7" i="12"/>
  <c r="P7" i="12"/>
  <c r="Q7" i="12"/>
  <c r="R7" i="12"/>
  <c r="S7" i="12"/>
  <c r="T7" i="12"/>
  <c r="U7" i="12"/>
  <c r="W7" i="12"/>
  <c r="X7" i="12"/>
  <c r="Y7" i="12"/>
  <c r="AB7" i="12"/>
  <c r="AD7" i="12"/>
  <c r="AE7" i="12"/>
  <c r="AF7" i="12"/>
  <c r="AH7" i="12"/>
  <c r="AI7" i="12"/>
  <c r="AJ7" i="12"/>
  <c r="AK7" i="12"/>
  <c r="AL7" i="12"/>
  <c r="AM7" i="12"/>
  <c r="AN7" i="12"/>
  <c r="AO7" i="12"/>
  <c r="AQ7" i="12"/>
  <c r="AR7" i="12"/>
  <c r="AS7" i="12"/>
  <c r="AV7" i="12"/>
  <c r="AX7" i="12"/>
  <c r="AY7" i="12"/>
  <c r="AZ7" i="12"/>
  <c r="BB7" i="12"/>
  <c r="BC7" i="12"/>
  <c r="BD7" i="12"/>
  <c r="BE7" i="12"/>
  <c r="BF7" i="12"/>
  <c r="BG7" i="12"/>
  <c r="BH7" i="12"/>
  <c r="BI7" i="12"/>
  <c r="C8" i="12"/>
  <c r="D8" i="12"/>
  <c r="E8" i="12"/>
  <c r="H8" i="12"/>
  <c r="J8" i="12"/>
  <c r="K8" i="12"/>
  <c r="L8" i="12"/>
  <c r="N8" i="12"/>
  <c r="O8" i="12"/>
  <c r="P8" i="12"/>
  <c r="Q8" i="12"/>
  <c r="R8" i="12"/>
  <c r="S8" i="12"/>
  <c r="T8" i="12"/>
  <c r="U8" i="12"/>
  <c r="W8" i="12"/>
  <c r="X8" i="12"/>
  <c r="Y8" i="12"/>
  <c r="AB8" i="12"/>
  <c r="AD8" i="12"/>
  <c r="AE8" i="12"/>
  <c r="AF8" i="12"/>
  <c r="AH8" i="12"/>
  <c r="AI8" i="12"/>
  <c r="AJ8" i="12"/>
  <c r="AK8" i="12"/>
  <c r="AL8" i="12"/>
  <c r="AM8" i="12"/>
  <c r="AN8" i="12"/>
  <c r="AO8" i="12"/>
  <c r="AQ8" i="12"/>
  <c r="AR8" i="12"/>
  <c r="AS8" i="12"/>
  <c r="AV8" i="12"/>
  <c r="AX8" i="12"/>
  <c r="AY8" i="12"/>
  <c r="AZ8" i="12"/>
  <c r="BB8" i="12"/>
  <c r="BC8" i="12"/>
  <c r="BD8" i="12"/>
  <c r="BE8" i="12"/>
  <c r="BF8" i="12"/>
  <c r="BG8" i="12"/>
  <c r="BH8" i="12"/>
  <c r="BI8" i="12"/>
  <c r="C9" i="12"/>
  <c r="D9" i="12"/>
  <c r="E9" i="12"/>
  <c r="H9" i="12"/>
  <c r="J9" i="12"/>
  <c r="K9" i="12"/>
  <c r="L9" i="12"/>
  <c r="N9" i="12"/>
  <c r="O9" i="12"/>
  <c r="P9" i="12"/>
  <c r="Q9" i="12"/>
  <c r="R9" i="12"/>
  <c r="S9" i="12"/>
  <c r="T9" i="12"/>
  <c r="U9" i="12"/>
  <c r="W9" i="12"/>
  <c r="X9" i="12"/>
  <c r="Y9" i="12"/>
  <c r="AB9" i="12"/>
  <c r="AD9" i="12"/>
  <c r="AE9" i="12"/>
  <c r="AF9" i="12"/>
  <c r="AH9" i="12"/>
  <c r="AI9" i="12"/>
  <c r="AJ9" i="12"/>
  <c r="AK9" i="12"/>
  <c r="AL9" i="12"/>
  <c r="AM9" i="12"/>
  <c r="AN9" i="12"/>
  <c r="AO9" i="12"/>
  <c r="AQ9" i="12"/>
  <c r="AR9" i="12"/>
  <c r="AS9" i="12"/>
  <c r="AV9" i="12"/>
  <c r="AX9" i="12"/>
  <c r="AY9" i="12"/>
  <c r="AZ9" i="12"/>
  <c r="BB9" i="12"/>
  <c r="BC9" i="12"/>
  <c r="BD9" i="12"/>
  <c r="BE9" i="12"/>
  <c r="BF9" i="12"/>
  <c r="BG9" i="12"/>
  <c r="BH9" i="12"/>
  <c r="BI9" i="12"/>
  <c r="C10" i="12"/>
  <c r="D10" i="12"/>
  <c r="E10" i="12"/>
  <c r="H10" i="12"/>
  <c r="J10" i="12"/>
  <c r="K10" i="12"/>
  <c r="L10" i="12"/>
  <c r="N10" i="12"/>
  <c r="O10" i="12"/>
  <c r="P10" i="12"/>
  <c r="Q10" i="12"/>
  <c r="R10" i="12"/>
  <c r="S10" i="12"/>
  <c r="T10" i="12"/>
  <c r="U10" i="12"/>
  <c r="W10" i="12"/>
  <c r="X10" i="12"/>
  <c r="Y10" i="12"/>
  <c r="AB10" i="12"/>
  <c r="AD10" i="12"/>
  <c r="AE10" i="12"/>
  <c r="AF10" i="12"/>
  <c r="AH10" i="12"/>
  <c r="AI10" i="12"/>
  <c r="AJ10" i="12"/>
  <c r="AK10" i="12"/>
  <c r="AL10" i="12"/>
  <c r="AM10" i="12"/>
  <c r="AN10" i="12"/>
  <c r="AO10" i="12"/>
  <c r="AQ10" i="12"/>
  <c r="AR10" i="12"/>
  <c r="AS10" i="12"/>
  <c r="AV10" i="12"/>
  <c r="AX10" i="12"/>
  <c r="AY10" i="12"/>
  <c r="AZ10" i="12"/>
  <c r="BB10" i="12"/>
  <c r="BC10" i="12"/>
  <c r="BD10" i="12"/>
  <c r="BE10" i="12"/>
  <c r="BF10" i="12"/>
  <c r="BG10" i="12"/>
  <c r="BH10" i="12"/>
  <c r="BI10" i="12"/>
  <c r="C11" i="12"/>
  <c r="D11" i="12"/>
  <c r="E11" i="12"/>
  <c r="H11" i="12"/>
  <c r="J11" i="12"/>
  <c r="K11" i="12"/>
  <c r="L11" i="12"/>
  <c r="N11" i="12"/>
  <c r="O11" i="12"/>
  <c r="P11" i="12"/>
  <c r="Q11" i="12"/>
  <c r="R11" i="12"/>
  <c r="S11" i="12"/>
  <c r="T11" i="12"/>
  <c r="U11" i="12"/>
  <c r="W11" i="12"/>
  <c r="X11" i="12"/>
  <c r="Y11" i="12"/>
  <c r="AB11" i="12"/>
  <c r="AD11" i="12"/>
  <c r="AE11" i="12"/>
  <c r="AF11" i="12"/>
  <c r="AH11" i="12"/>
  <c r="AI11" i="12"/>
  <c r="AJ11" i="12"/>
  <c r="AK11" i="12"/>
  <c r="AL11" i="12"/>
  <c r="AM11" i="12"/>
  <c r="AN11" i="12"/>
  <c r="AO11" i="12"/>
  <c r="AQ11" i="12"/>
  <c r="AR11" i="12"/>
  <c r="AS11" i="12"/>
  <c r="AV11" i="12"/>
  <c r="AX11" i="12"/>
  <c r="AY11" i="12"/>
  <c r="AZ11" i="12"/>
  <c r="BB11" i="12"/>
  <c r="BC11" i="12"/>
  <c r="BD11" i="12"/>
  <c r="BE11" i="12"/>
  <c r="BF11" i="12"/>
  <c r="BG11" i="12"/>
  <c r="BH11" i="12"/>
  <c r="BI11" i="12"/>
  <c r="C12" i="12"/>
  <c r="D12" i="12"/>
  <c r="E12" i="12"/>
  <c r="H12" i="12"/>
  <c r="J12" i="12"/>
  <c r="K12" i="12"/>
  <c r="L12" i="12"/>
  <c r="N12" i="12"/>
  <c r="O12" i="12"/>
  <c r="P12" i="12"/>
  <c r="Q12" i="12"/>
  <c r="R12" i="12"/>
  <c r="S12" i="12"/>
  <c r="T12" i="12"/>
  <c r="U12" i="12"/>
  <c r="W12" i="12"/>
  <c r="X12" i="12"/>
  <c r="Y12" i="12"/>
  <c r="AB12" i="12"/>
  <c r="AD12" i="12"/>
  <c r="AE12" i="12"/>
  <c r="AF12" i="12"/>
  <c r="AH12" i="12"/>
  <c r="AI12" i="12"/>
  <c r="AJ12" i="12"/>
  <c r="AK12" i="12"/>
  <c r="AL12" i="12"/>
  <c r="AM12" i="12"/>
  <c r="AN12" i="12"/>
  <c r="AO12" i="12"/>
  <c r="AQ12" i="12"/>
  <c r="AR12" i="12"/>
  <c r="AS12" i="12"/>
  <c r="AV12" i="12"/>
  <c r="AX12" i="12"/>
  <c r="AY12" i="12"/>
  <c r="AZ12" i="12"/>
  <c r="BB12" i="12"/>
  <c r="BC12" i="12"/>
  <c r="BD12" i="12"/>
  <c r="BE12" i="12"/>
  <c r="BF12" i="12"/>
  <c r="BG12" i="12"/>
  <c r="BH12" i="12"/>
  <c r="BI12" i="12"/>
  <c r="C13" i="12"/>
  <c r="D13" i="12"/>
  <c r="E13" i="12"/>
  <c r="H13" i="12"/>
  <c r="J13" i="12"/>
  <c r="K13" i="12"/>
  <c r="L13" i="12"/>
  <c r="N13" i="12"/>
  <c r="O13" i="12"/>
  <c r="P13" i="12"/>
  <c r="Q13" i="12"/>
  <c r="R13" i="12"/>
  <c r="S13" i="12"/>
  <c r="T13" i="12"/>
  <c r="U13" i="12"/>
  <c r="W13" i="12"/>
  <c r="X13" i="12"/>
  <c r="Y13" i="12"/>
  <c r="AB13" i="12"/>
  <c r="AD13" i="12"/>
  <c r="AE13" i="12"/>
  <c r="AF13" i="12"/>
  <c r="AH13" i="12"/>
  <c r="AI13" i="12"/>
  <c r="AJ13" i="12"/>
  <c r="AK13" i="12"/>
  <c r="AL13" i="12"/>
  <c r="AM13" i="12"/>
  <c r="AN13" i="12"/>
  <c r="AO13" i="12"/>
  <c r="AQ13" i="12"/>
  <c r="AR13" i="12"/>
  <c r="AS13" i="12"/>
  <c r="AV13" i="12"/>
  <c r="AX13" i="12"/>
  <c r="AY13" i="12"/>
  <c r="AZ13" i="12"/>
  <c r="BB13" i="12"/>
  <c r="BC13" i="12"/>
  <c r="BD13" i="12"/>
  <c r="BE13" i="12"/>
  <c r="BF13" i="12"/>
  <c r="BG13" i="12"/>
  <c r="BH13" i="12"/>
  <c r="BI13" i="12"/>
  <c r="C15" i="12"/>
  <c r="D15" i="12"/>
  <c r="E15" i="12"/>
  <c r="H15" i="12"/>
  <c r="J15" i="12"/>
  <c r="K15" i="12"/>
  <c r="L15" i="12"/>
  <c r="N15" i="12"/>
  <c r="O15" i="12"/>
  <c r="P15" i="12"/>
  <c r="Q15" i="12"/>
  <c r="R15" i="12"/>
  <c r="S15" i="12"/>
  <c r="T15" i="12"/>
  <c r="U15" i="12"/>
  <c r="W15" i="12"/>
  <c r="X15" i="12"/>
  <c r="Y15" i="12"/>
  <c r="AB15" i="12"/>
  <c r="AD15" i="12"/>
  <c r="AE15" i="12"/>
  <c r="AF15" i="12"/>
  <c r="AH15" i="12"/>
  <c r="AI15" i="12"/>
  <c r="AJ15" i="12"/>
  <c r="AK15" i="12"/>
  <c r="AL15" i="12"/>
  <c r="AM15" i="12"/>
  <c r="AN15" i="12"/>
  <c r="AO15" i="12"/>
  <c r="AQ15" i="12"/>
  <c r="AR15" i="12"/>
  <c r="AS15" i="12"/>
  <c r="AV15" i="12"/>
  <c r="AX15" i="12"/>
  <c r="AY15" i="12"/>
  <c r="AZ15" i="12"/>
  <c r="BB15" i="12"/>
  <c r="BC15" i="12"/>
  <c r="BD15" i="12"/>
  <c r="BE15" i="12"/>
  <c r="BF15" i="12"/>
  <c r="BG15" i="12"/>
  <c r="BH15" i="12"/>
  <c r="BI15" i="12"/>
  <c r="C16" i="12"/>
  <c r="D16" i="12"/>
  <c r="E16" i="12"/>
  <c r="H16" i="12"/>
  <c r="J16" i="12"/>
  <c r="K16" i="12"/>
  <c r="L16" i="12"/>
  <c r="N16" i="12"/>
  <c r="O16" i="12"/>
  <c r="P16" i="12"/>
  <c r="Q16" i="12"/>
  <c r="R16" i="12"/>
  <c r="S16" i="12"/>
  <c r="T16" i="12"/>
  <c r="U16" i="12"/>
  <c r="W16" i="12"/>
  <c r="X16" i="12"/>
  <c r="Y16" i="12"/>
  <c r="AB16" i="12"/>
  <c r="AD16" i="12"/>
  <c r="AE16" i="12"/>
  <c r="AF16" i="12"/>
  <c r="AH16" i="12"/>
  <c r="AI16" i="12"/>
  <c r="AJ16" i="12"/>
  <c r="AK16" i="12"/>
  <c r="AL16" i="12"/>
  <c r="AM16" i="12"/>
  <c r="AN16" i="12"/>
  <c r="AO16" i="12"/>
  <c r="AQ16" i="12"/>
  <c r="AR16" i="12"/>
  <c r="AS16" i="12"/>
  <c r="AV16" i="12"/>
  <c r="AX16" i="12"/>
  <c r="AY16" i="12"/>
  <c r="AZ16" i="12"/>
  <c r="BB16" i="12"/>
  <c r="BC16" i="12"/>
  <c r="BD16" i="12"/>
  <c r="BE16" i="12"/>
  <c r="BF16" i="12"/>
  <c r="BG16" i="12"/>
  <c r="BH16" i="12"/>
  <c r="BI16" i="12"/>
  <c r="C17" i="12"/>
  <c r="D17" i="12"/>
  <c r="E17" i="12"/>
  <c r="H17" i="12"/>
  <c r="J17" i="12"/>
  <c r="K17" i="12"/>
  <c r="L17" i="12"/>
  <c r="N17" i="12"/>
  <c r="O17" i="12"/>
  <c r="P17" i="12"/>
  <c r="Q17" i="12"/>
  <c r="R17" i="12"/>
  <c r="S17" i="12"/>
  <c r="T17" i="12"/>
  <c r="U17" i="12"/>
  <c r="W17" i="12"/>
  <c r="X17" i="12"/>
  <c r="Y17" i="12"/>
  <c r="AB17" i="12"/>
  <c r="AD17" i="12"/>
  <c r="AE17" i="12"/>
  <c r="AF17" i="12"/>
  <c r="AH17" i="12"/>
  <c r="AI17" i="12"/>
  <c r="AJ17" i="12"/>
  <c r="AK17" i="12"/>
  <c r="AL17" i="12"/>
  <c r="AM17" i="12"/>
  <c r="AN17" i="12"/>
  <c r="AO17" i="12"/>
  <c r="AQ17" i="12"/>
  <c r="AR17" i="12"/>
  <c r="AS17" i="12"/>
  <c r="AV17" i="12"/>
  <c r="AX17" i="12"/>
  <c r="AY17" i="12"/>
  <c r="AZ17" i="12"/>
  <c r="BB17" i="12"/>
  <c r="BC17" i="12"/>
  <c r="BD17" i="12"/>
  <c r="BE17" i="12"/>
  <c r="BF17" i="12"/>
  <c r="BG17" i="12"/>
  <c r="BH17" i="12"/>
  <c r="BI17" i="12"/>
  <c r="C18" i="12"/>
  <c r="D18" i="12"/>
  <c r="E18" i="12"/>
  <c r="H18" i="12"/>
  <c r="J18" i="12"/>
  <c r="K18" i="12"/>
  <c r="L18" i="12"/>
  <c r="N18" i="12"/>
  <c r="O18" i="12"/>
  <c r="P18" i="12"/>
  <c r="Q18" i="12"/>
  <c r="R18" i="12"/>
  <c r="S18" i="12"/>
  <c r="T18" i="12"/>
  <c r="U18" i="12"/>
  <c r="W18" i="12"/>
  <c r="X18" i="12"/>
  <c r="Y18" i="12"/>
  <c r="AB18" i="12"/>
  <c r="AD18" i="12"/>
  <c r="AE18" i="12"/>
  <c r="AF18" i="12"/>
  <c r="AH18" i="12"/>
  <c r="AI18" i="12"/>
  <c r="AJ18" i="12"/>
  <c r="AK18" i="12"/>
  <c r="AL18" i="12"/>
  <c r="AM18" i="12"/>
  <c r="AN18" i="12"/>
  <c r="AO18" i="12"/>
  <c r="AQ18" i="12"/>
  <c r="AR18" i="12"/>
  <c r="AS18" i="12"/>
  <c r="AV18" i="12"/>
  <c r="AX18" i="12"/>
  <c r="AY18" i="12"/>
  <c r="AZ18" i="12"/>
  <c r="BB18" i="12"/>
  <c r="BC18" i="12"/>
  <c r="BD18" i="12"/>
  <c r="BE18" i="12"/>
  <c r="BF18" i="12"/>
  <c r="BG18" i="12"/>
  <c r="BH18" i="12"/>
  <c r="BI18" i="12"/>
  <c r="C19" i="12"/>
  <c r="D19" i="12"/>
  <c r="E19" i="12"/>
  <c r="H19" i="12"/>
  <c r="J19" i="12"/>
  <c r="K19" i="12"/>
  <c r="L19" i="12"/>
  <c r="N19" i="12"/>
  <c r="O19" i="12"/>
  <c r="P19" i="12"/>
  <c r="Q19" i="12"/>
  <c r="R19" i="12"/>
  <c r="S19" i="12"/>
  <c r="T19" i="12"/>
  <c r="U19" i="12"/>
  <c r="W19" i="12"/>
  <c r="X19" i="12"/>
  <c r="Y19" i="12"/>
  <c r="AB19" i="12"/>
  <c r="AD19" i="12"/>
  <c r="AE19" i="12"/>
  <c r="AF19" i="12"/>
  <c r="AH19" i="12"/>
  <c r="AI19" i="12"/>
  <c r="AJ19" i="12"/>
  <c r="AK19" i="12"/>
  <c r="AL19" i="12"/>
  <c r="AM19" i="12"/>
  <c r="AN19" i="12"/>
  <c r="AO19" i="12"/>
  <c r="AQ19" i="12"/>
  <c r="AR19" i="12"/>
  <c r="AS19" i="12"/>
  <c r="AV19" i="12"/>
  <c r="AX19" i="12"/>
  <c r="AY19" i="12"/>
  <c r="AZ19" i="12"/>
  <c r="BB19" i="12"/>
  <c r="BC19" i="12"/>
  <c r="BD19" i="12"/>
  <c r="BE19" i="12"/>
  <c r="BF19" i="12"/>
  <c r="BG19" i="12"/>
  <c r="BH19" i="12"/>
  <c r="BI19" i="12"/>
  <c r="C20" i="12"/>
  <c r="D20" i="12"/>
  <c r="E20" i="12"/>
  <c r="H20" i="12"/>
  <c r="J20" i="12"/>
  <c r="K20" i="12"/>
  <c r="L20" i="12"/>
  <c r="N20" i="12"/>
  <c r="O20" i="12"/>
  <c r="P20" i="12"/>
  <c r="Q20" i="12"/>
  <c r="R20" i="12"/>
  <c r="S20" i="12"/>
  <c r="T20" i="12"/>
  <c r="U20" i="12"/>
  <c r="W20" i="12"/>
  <c r="X20" i="12"/>
  <c r="Y20" i="12"/>
  <c r="AB20" i="12"/>
  <c r="AD20" i="12"/>
  <c r="AE20" i="12"/>
  <c r="AF20" i="12"/>
  <c r="AH20" i="12"/>
  <c r="AI20" i="12"/>
  <c r="AJ20" i="12"/>
  <c r="AK20" i="12"/>
  <c r="AL20" i="12"/>
  <c r="AM20" i="12"/>
  <c r="AN20" i="12"/>
  <c r="AO20" i="12"/>
  <c r="AQ20" i="12"/>
  <c r="AR20" i="12"/>
  <c r="AS20" i="12"/>
  <c r="AV20" i="12"/>
  <c r="AX20" i="12"/>
  <c r="AY20" i="12"/>
  <c r="AZ20" i="12"/>
  <c r="BB20" i="12"/>
  <c r="BC20" i="12"/>
  <c r="BD20" i="12"/>
  <c r="BE20" i="12"/>
  <c r="BF20" i="12"/>
  <c r="BG20" i="12"/>
  <c r="BH20" i="12"/>
  <c r="BI20" i="12"/>
  <c r="C21" i="12"/>
  <c r="D21" i="12"/>
  <c r="E21" i="12"/>
  <c r="H21" i="12"/>
  <c r="J21" i="12"/>
  <c r="K21" i="12"/>
  <c r="L21" i="12"/>
  <c r="N21" i="12"/>
  <c r="O21" i="12"/>
  <c r="P21" i="12"/>
  <c r="Q21" i="12"/>
  <c r="R21" i="12"/>
  <c r="S21" i="12"/>
  <c r="T21" i="12"/>
  <c r="U21" i="12"/>
  <c r="W21" i="12"/>
  <c r="X21" i="12"/>
  <c r="Y21" i="12"/>
  <c r="AB21" i="12"/>
  <c r="AD21" i="12"/>
  <c r="AE21" i="12"/>
  <c r="AF21" i="12"/>
  <c r="AH21" i="12"/>
  <c r="AI21" i="12"/>
  <c r="AJ21" i="12"/>
  <c r="AK21" i="12"/>
  <c r="AL21" i="12"/>
  <c r="AM21" i="12"/>
  <c r="AN21" i="12"/>
  <c r="AO21" i="12"/>
  <c r="AQ21" i="12"/>
  <c r="AR21" i="12"/>
  <c r="AS21" i="12"/>
  <c r="AV21" i="12"/>
  <c r="AX21" i="12"/>
  <c r="AY21" i="12"/>
  <c r="AZ21" i="12"/>
  <c r="BB21" i="12"/>
  <c r="BC21" i="12"/>
  <c r="BD21" i="12"/>
  <c r="BE21" i="12"/>
  <c r="BF21" i="12"/>
  <c r="BG21" i="12"/>
  <c r="BH21" i="12"/>
  <c r="BI21" i="12"/>
  <c r="C22" i="12"/>
  <c r="D22" i="12"/>
  <c r="E22" i="12"/>
  <c r="H22" i="12"/>
  <c r="J22" i="12"/>
  <c r="K22" i="12"/>
  <c r="L22" i="12"/>
  <c r="N22" i="12"/>
  <c r="O22" i="12"/>
  <c r="P22" i="12"/>
  <c r="Q22" i="12"/>
  <c r="R22" i="12"/>
  <c r="S22" i="12"/>
  <c r="T22" i="12"/>
  <c r="U22" i="12"/>
  <c r="W22" i="12"/>
  <c r="X22" i="12"/>
  <c r="Y22" i="12"/>
  <c r="AB22" i="12"/>
  <c r="AD22" i="12"/>
  <c r="AE22" i="12"/>
  <c r="AF22" i="12"/>
  <c r="AH22" i="12"/>
  <c r="AI22" i="12"/>
  <c r="AJ22" i="12"/>
  <c r="AK22" i="12"/>
  <c r="AL22" i="12"/>
  <c r="AM22" i="12"/>
  <c r="AN22" i="12"/>
  <c r="AO22" i="12"/>
  <c r="AQ22" i="12"/>
  <c r="AR22" i="12"/>
  <c r="AS22" i="12"/>
  <c r="AV22" i="12"/>
  <c r="AX22" i="12"/>
  <c r="AY22" i="12"/>
  <c r="AZ22" i="12"/>
  <c r="BB22" i="12"/>
  <c r="BC22" i="12"/>
  <c r="BD22" i="12"/>
  <c r="BE22" i="12"/>
  <c r="BF22" i="12"/>
  <c r="BG22" i="12"/>
  <c r="BH22" i="12"/>
  <c r="BI22" i="12"/>
  <c r="C23" i="12"/>
  <c r="D23" i="12"/>
  <c r="E23" i="12"/>
  <c r="H23" i="12"/>
  <c r="J23" i="12"/>
  <c r="K23" i="12"/>
  <c r="L23" i="12"/>
  <c r="N23" i="12"/>
  <c r="O23" i="12"/>
  <c r="P23" i="12"/>
  <c r="Q23" i="12"/>
  <c r="R23" i="12"/>
  <c r="S23" i="12"/>
  <c r="T23" i="12"/>
  <c r="U23" i="12"/>
  <c r="W23" i="12"/>
  <c r="X23" i="12"/>
  <c r="Y23" i="12"/>
  <c r="AB23" i="12"/>
  <c r="AD23" i="12"/>
  <c r="AE23" i="12"/>
  <c r="AF23" i="12"/>
  <c r="AH23" i="12"/>
  <c r="AI23" i="12"/>
  <c r="AJ23" i="12"/>
  <c r="AK23" i="12"/>
  <c r="AL23" i="12"/>
  <c r="AM23" i="12"/>
  <c r="AN23" i="12"/>
  <c r="AO23" i="12"/>
  <c r="AQ23" i="12"/>
  <c r="AR23" i="12"/>
  <c r="AS23" i="12"/>
  <c r="AV23" i="12"/>
  <c r="AX23" i="12"/>
  <c r="AY23" i="12"/>
  <c r="AZ23" i="12"/>
  <c r="BB23" i="12"/>
  <c r="BC23" i="12"/>
  <c r="BD23" i="12"/>
  <c r="BE23" i="12"/>
  <c r="BF23" i="12"/>
  <c r="BG23" i="12"/>
  <c r="BH23" i="12"/>
  <c r="BI23" i="12"/>
  <c r="C24" i="12"/>
  <c r="D24" i="12"/>
  <c r="E24" i="12"/>
  <c r="H24" i="12"/>
  <c r="J24" i="12"/>
  <c r="K24" i="12"/>
  <c r="L24" i="12"/>
  <c r="N24" i="12"/>
  <c r="O24" i="12"/>
  <c r="P24" i="12"/>
  <c r="Q24" i="12"/>
  <c r="R24" i="12"/>
  <c r="S24" i="12"/>
  <c r="T24" i="12"/>
  <c r="U24" i="12"/>
  <c r="W24" i="12"/>
  <c r="X24" i="12"/>
  <c r="Y24" i="12"/>
  <c r="AB24" i="12"/>
  <c r="AD24" i="12"/>
  <c r="AE24" i="12"/>
  <c r="AF24" i="12"/>
  <c r="AH24" i="12"/>
  <c r="AI24" i="12"/>
  <c r="AJ24" i="12"/>
  <c r="AK24" i="12"/>
  <c r="AL24" i="12"/>
  <c r="AM24" i="12"/>
  <c r="AN24" i="12"/>
  <c r="AO24" i="12"/>
  <c r="AQ24" i="12"/>
  <c r="AR24" i="12"/>
  <c r="AS24" i="12"/>
  <c r="AV24" i="12"/>
  <c r="AX24" i="12"/>
  <c r="AY24" i="12"/>
  <c r="AZ24" i="12"/>
  <c r="BB24" i="12"/>
  <c r="BC24" i="12"/>
  <c r="BD24" i="12"/>
  <c r="BE24" i="12"/>
  <c r="BF24" i="12"/>
  <c r="BG24" i="12"/>
  <c r="BH24" i="12"/>
  <c r="BI24" i="12"/>
</calcChain>
</file>

<file path=xl/sharedStrings.xml><?xml version="1.0" encoding="utf-8"?>
<sst xmlns="http://schemas.openxmlformats.org/spreadsheetml/2006/main" count="709" uniqueCount="326">
  <si>
    <t>gm_power</t>
  </si>
  <si>
    <t>PARAMETER</t>
  </si>
  <si>
    <t>V</t>
  </si>
  <si>
    <t>A/V</t>
  </si>
  <si>
    <t>ns</t>
  </si>
  <si>
    <t>mA</t>
  </si>
  <si>
    <t>V/ns</t>
  </si>
  <si>
    <t>nC</t>
  </si>
  <si>
    <t>AVOL</t>
  </si>
  <si>
    <t>dB</t>
  </si>
  <si>
    <t>gm_EA</t>
  </si>
  <si>
    <t>A</t>
  </si>
  <si>
    <t>Rz</t>
  </si>
  <si>
    <t>Cp</t>
  </si>
  <si>
    <t>MHz</t>
  </si>
  <si>
    <t>nF</t>
  </si>
  <si>
    <t>pF</t>
  </si>
  <si>
    <t>KHz</t>
  </si>
  <si>
    <t>mV</t>
  </si>
  <si>
    <t>VFB</t>
  </si>
  <si>
    <t>Qg_FET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</si>
  <si>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</si>
  <si>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</si>
  <si>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</si>
  <si>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</si>
  <si>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</si>
  <si>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</si>
  <si>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</si>
  <si>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</si>
  <si>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</si>
  <si>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</si>
  <si>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</si>
  <si>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</si>
  <si>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</si>
  <si>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</si>
  <si>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</si>
  <si>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</si>
  <si>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</si>
  <si>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</si>
  <si>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</si>
  <si>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 xml:space="preserve">Lo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</si>
  <si>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</si>
  <si>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</si>
  <si>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</si>
  <si>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</si>
  <si>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</si>
  <si>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</si>
  <si>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</si>
  <si>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</si>
  <si>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</si>
  <si>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</si>
  <si>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</si>
  <si>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</si>
  <si>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</si>
  <si>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</si>
  <si>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</si>
  <si>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</si>
  <si>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</si>
  <si>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SS_release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</si>
  <si>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</si>
  <si>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</si>
  <si>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</si>
  <si>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</si>
  <si>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</si>
  <si>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</si>
  <si>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</si>
  <si>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</si>
  <si>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</si>
  <si>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</si>
  <si>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</si>
  <si>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</si>
  <si>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</si>
  <si>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</si>
  <si>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</si>
  <si>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</si>
  <si>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</si>
  <si>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</si>
  <si>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</si>
  <si>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</si>
  <si>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</si>
  <si>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</si>
  <si>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</si>
  <si>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</si>
  <si>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</si>
  <si>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</si>
  <si>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</si>
  <si>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Zero formed by the output capacitance and its ESR</t>
  </si>
  <si>
    <t>Recommended FB resister from Vout to VFB</t>
  </si>
  <si>
    <t>Recommended FB resister from VFB to GND</t>
  </si>
  <si>
    <t>Desired output voltage</t>
  </si>
  <si>
    <t>Desired maximum output current</t>
  </si>
  <si>
    <t>Choose a standard resister value, or combination of values</t>
  </si>
  <si>
    <t>Iout</t>
  </si>
  <si>
    <t>Pin</t>
  </si>
  <si>
    <t>Psw</t>
  </si>
  <si>
    <t>Pcond</t>
  </si>
  <si>
    <t>Ptotal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</si>
  <si>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</si>
  <si>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</si>
  <si>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t>RDSon @ 25C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</si>
  <si>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</si>
  <si>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</si>
  <si>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</si>
  <si>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</si>
  <si>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</si>
  <si>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</si>
  <si>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</si>
  <si>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</si>
  <si>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</si>
  <si>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</si>
  <si>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</si>
  <si>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RDSon</t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</si>
  <si>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</si>
  <si>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</si>
  <si>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</si>
  <si>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</si>
  <si>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</si>
  <si>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</si>
  <si>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</si>
  <si>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</si>
  <si>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</si>
  <si>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t>Co_num_actual =</t>
  </si>
  <si>
    <t>1x 10uF with DC bias</t>
  </si>
  <si>
    <t>DC bias coefficient</t>
  </si>
  <si>
    <t>Co_tot_min</t>
  </si>
  <si>
    <t>Output Capacitor Characterization:  10uF, 10%, 16V, X7R, 1206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</si>
  <si>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</si>
  <si>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</si>
  <si>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</si>
  <si>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</si>
  <si>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</si>
  <si>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</si>
  <si>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</si>
  <si>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</si>
  <si>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</si>
  <si>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</si>
  <si>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Input Capacitor Requirements:</t>
  </si>
  <si>
    <t xml:space="preserve"> Soft Start Capacitor and Timing: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</si>
  <si>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</si>
  <si>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</si>
  <si>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</si>
  <si>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</si>
  <si>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</si>
  <si>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</si>
  <si>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</si>
  <si>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</si>
  <si>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</si>
  <si>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</si>
  <si>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</si>
  <si>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</si>
  <si>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</si>
  <si>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</si>
  <si>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</si>
  <si>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</si>
  <si>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</si>
  <si>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</si>
  <si>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</si>
  <si>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</si>
  <si>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</si>
  <si>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</si>
  <si>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</si>
  <si>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</si>
  <si>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</si>
  <si>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</si>
  <si>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</si>
  <si>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t>Calculated total output capacitance with tolerance and real DC bias</t>
  </si>
  <si>
    <t>Typical output inductor ripple current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</si>
  <si>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</si>
  <si>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</si>
  <si>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</si>
  <si>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GS</t>
    </r>
  </si>
  <si>
    <t>The asynchronous diode must be rated to support at least this much current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</si>
  <si>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</si>
  <si>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t xml:space="preserve"> Asynchronous Diode Requirement: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</si>
  <si>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</si>
  <si>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</si>
  <si>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</si>
  <si>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</si>
  <si>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F,RMS</t>
    </r>
  </si>
  <si>
    <r>
      <t>A</t>
    </r>
    <r>
      <rPr>
        <b/>
        <vertAlign val="subscript"/>
        <sz val="11"/>
        <color rgb="FF0000FF"/>
        <rFont val="Calibri"/>
        <family val="2"/>
        <scheme val="minor"/>
      </rPr>
      <t>RMS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</si>
  <si>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</si>
  <si>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</si>
  <si>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</si>
  <si>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</si>
  <si>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</si>
  <si>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</si>
  <si>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</si>
  <si>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</si>
  <si>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</si>
  <si>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</si>
  <si>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Enter the output inductor's DCR, default is 35m</t>
    </r>
    <r>
      <rPr>
        <sz val="11"/>
        <rFont val="Calibri"/>
        <family val="2"/>
      </rPr>
      <t>Ω if left blank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</si>
  <si>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</si>
  <si>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</si>
  <si>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</si>
  <si>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</si>
  <si>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</si>
  <si>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</si>
  <si>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</si>
  <si>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</si>
  <si>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</si>
  <si>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</si>
  <si>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</si>
  <si>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</si>
  <si>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</si>
  <si>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</si>
  <si>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</si>
  <si>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</si>
  <si>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</si>
  <si>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</si>
  <si>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</si>
  <si>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</si>
  <si>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</si>
  <si>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</si>
  <si>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</si>
  <si>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</si>
  <si>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</si>
  <si>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</si>
  <si>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</si>
  <si>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</si>
  <si>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VF</t>
  </si>
  <si>
    <t>(RESET should normally be set to 0)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</si>
  <si>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</si>
  <si>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</si>
  <si>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</si>
  <si>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A   |   VF</t>
  </si>
  <si>
    <t>mV/°C</t>
  </si>
  <si>
    <t>EFF</t>
  </si>
  <si>
    <t>VF1</t>
  </si>
  <si>
    <t>VF2</t>
  </si>
  <si>
    <t>VF3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</si>
  <si>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</si>
  <si>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</si>
  <si>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t>System Duty Cycle</t>
  </si>
  <si>
    <t>Range of system duty-cycles given Vin, Vout, Iout, VF, etc</t>
  </si>
  <si>
    <t>DIODE (D1) CHARACTERIZATION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</si>
  <si>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</si>
  <si>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</si>
  <si>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D1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</si>
  <si>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</si>
  <si>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</si>
  <si>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</si>
  <si>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t>Value from the data sheet for D1: VF at 200mA</t>
  </si>
  <si>
    <t>Value from the data sheet for D1: VF at 2A</t>
  </si>
  <si>
    <t>Value from the data sheet for D1: VF at 4A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</si>
  <si>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</si>
  <si>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</si>
  <si>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</si>
  <si>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</si>
  <si>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</si>
  <si>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</si>
  <si>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r>
      <t>Maximum SYNC frequency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based on Fsw, Duty Cycle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, and t</t>
    </r>
    <r>
      <rPr>
        <vertAlign val="subscript"/>
        <sz val="11"/>
        <color theme="1"/>
        <rFont val="Calibri"/>
        <family val="2"/>
        <scheme val="minor"/>
      </rPr>
      <t>ON,TYP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</si>
  <si>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</si>
  <si>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</si>
  <si>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</si>
  <si>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</si>
  <si>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</si>
  <si>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</si>
  <si>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</si>
  <si>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Optional: Output Capacitors</t>
  </si>
  <si>
    <t>Used to calculate output ripple and set the compensation values</t>
  </si>
  <si>
    <t>Enter Values Manually</t>
  </si>
  <si>
    <t>No. =</t>
  </si>
  <si>
    <t>Vout during dropout calculated with the typical OFF time</t>
  </si>
  <si>
    <t>Vout during dropout calculated with the worst case maximum OFF time</t>
  </si>
  <si>
    <r>
      <t>TJ</t>
    </r>
    <r>
      <rPr>
        <b/>
        <vertAlign val="subscript"/>
        <sz val="10"/>
        <rFont val="Arial"/>
        <family val="2"/>
      </rPr>
      <t>D1</t>
    </r>
  </si>
  <si>
    <r>
      <t>TJ</t>
    </r>
    <r>
      <rPr>
        <b/>
        <vertAlign val="subscript"/>
        <sz val="10"/>
        <rFont val="Arial"/>
        <family val="2"/>
      </rPr>
      <t>IC</t>
    </r>
  </si>
  <si>
    <t>Estimated value from the data sheet for D1</t>
  </si>
  <si>
    <t>VF, Temp. Coeff.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</si>
  <si>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AVG</t>
    </r>
  </si>
  <si>
    <t>Value from the data sheet for D1 (average of min/max)</t>
  </si>
  <si>
    <t xml:space="preserve">       Diode D1:  Example I-V Characteristics</t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</si>
  <si>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</si>
  <si>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</si>
  <si>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t>Enter the snubber capacitor value, enter "0" if no snubber is used</t>
  </si>
  <si>
    <t>Measured on Allegro EVB with 1x 10uF</t>
  </si>
  <si>
    <t>Thermal resistance</t>
  </si>
  <si>
    <t>Data sheet values, 0C to 85C</t>
  </si>
  <si>
    <t>Minimum</t>
  </si>
  <si>
    <t>Maximum</t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</si>
  <si>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</si>
  <si>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Data sheet values;</t>
  </si>
  <si>
    <t>Estimated number of 10uF/16V/X7R/1206 output capacitors for load transient</t>
  </si>
  <si>
    <r>
      <t>Transient load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.  Recommend about 50%.</t>
    </r>
  </si>
  <si>
    <t xml:space="preserve"> Error Amplifier Compensation Components:</t>
  </si>
  <si>
    <t>Recommended maximum 0dB crossover frequency</t>
  </si>
  <si>
    <r>
      <t xml:space="preserve">Average load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</si>
  <si>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</si>
  <si>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r>
      <t xml:space="preserve"> Output Capacitance (Co) and Output Voltage Ripple (</t>
    </r>
    <r>
      <rPr>
        <b/>
        <sz val="12"/>
        <color theme="1"/>
        <rFont val="Calibri"/>
        <family val="2"/>
      </rPr>
      <t>Δ</t>
    </r>
    <r>
      <rPr>
        <b/>
        <i/>
        <sz val="12"/>
        <color theme="1"/>
        <rFont val="Calibri"/>
        <family val="2"/>
        <scheme val="minor"/>
      </rPr>
      <t>Vout):</t>
    </r>
  </si>
  <si>
    <t>Recommended HF compensation capacitor</t>
  </si>
  <si>
    <t>Recommended range for the compensation capacitor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</si>
  <si>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</si>
  <si>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t>Recommended compensation resister to achieve chosen fc</t>
  </si>
  <si>
    <t>Enter the closest available 1% standard resister value</t>
  </si>
  <si>
    <t>Lo_I_peak</t>
  </si>
  <si>
    <t>FB+PCB Capacitance Estimate</t>
  </si>
  <si>
    <r>
      <t>mV</t>
    </r>
    <r>
      <rPr>
        <vertAlign val="subscript"/>
        <sz val="11"/>
        <color theme="1"/>
        <rFont val="Calibri"/>
        <family val="2"/>
        <scheme val="minor"/>
      </rPr>
      <t>PP, TYP</t>
    </r>
  </si>
  <si>
    <t>Vin operating range</t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</si>
  <si>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</si>
  <si>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</si>
  <si>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r>
      <t>Inductor's I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should support this value</t>
    </r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</si>
  <si>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</si>
  <si>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t>Lo (min | max)</t>
  </si>
  <si>
    <r>
      <t>Inductor range, SE = 40% to 110% of I</t>
    </r>
    <r>
      <rPr>
        <vertAlign val="subscript"/>
        <sz val="11"/>
        <color theme="1"/>
        <rFont val="Calibri"/>
        <family val="2"/>
        <scheme val="minor"/>
      </rPr>
      <t>Lo</t>
    </r>
    <r>
      <rPr>
        <sz val="11"/>
        <color theme="1"/>
        <rFont val="Calibri"/>
        <family val="2"/>
        <scheme val="minor"/>
      </rPr>
      <t xml:space="preserve"> down slope</t>
    </r>
  </si>
  <si>
    <r>
      <t>Inductor to critically damp the double poles at Fsw/2 @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</si>
  <si>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 xml:space="preserve">       Diode D1: Example of Capacitance vs.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for SS2P4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</si>
  <si>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cycle/2.45MHz, TYP </t>
    </r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</rPr>
      <t>σ</t>
    </r>
  </si>
  <si>
    <r>
      <t>Current margin (min) before possible limiting at V</t>
    </r>
    <r>
      <rPr>
        <vertAlign val="subscript"/>
        <sz val="11"/>
        <color theme="1"/>
        <rFont val="Calibri"/>
        <family val="2"/>
        <scheme val="minor"/>
      </rPr>
      <t>IN,TYP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TYP</t>
    </r>
  </si>
  <si>
    <r>
      <t>Current margin (min) before possible limiting at V</t>
    </r>
    <r>
      <rPr>
        <vertAlign val="subscript"/>
        <sz val="11"/>
        <color theme="1"/>
        <rFont val="Calibri"/>
        <family val="2"/>
        <scheme val="minor"/>
      </rPr>
      <t>IN,MIN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</si>
  <si>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</si>
  <si>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</si>
  <si>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 xml:space="preserve"> RIDLEY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≥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</si>
  <si>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  <r>
      <rPr>
        <b/>
        <sz val="11"/>
        <color theme="1"/>
        <rFont val="Calibri"/>
        <family val="2"/>
        <scheme val="minor"/>
      </rPr>
      <t xml:space="preserve"> at Fsw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</si>
  <si>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Fsw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</si>
  <si>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Fsw/4</t>
    </r>
  </si>
  <si>
    <r>
      <t xml:space="preserve">(MIN | TYP) Maximum duty cycles using the new </t>
    </r>
    <r>
      <rPr>
        <b/>
        <i/>
        <sz val="11"/>
        <color rgb="FFFF0000"/>
        <rFont val="Calibri"/>
        <family val="2"/>
        <scheme val="minor"/>
      </rPr>
      <t>"Low Dropout Algorithm"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</si>
  <si>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IN</t>
    </r>
  </si>
  <si>
    <t>SW_slew_rise</t>
  </si>
  <si>
    <t>SW_slew_fall</t>
  </si>
  <si>
    <t>Measured value, see SW curve to the right</t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</si>
  <si>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99% duty cycle, calculated w/ F</t>
    </r>
    <r>
      <rPr>
        <vertAlign val="subscript"/>
        <sz val="11"/>
        <color theme="1"/>
        <rFont val="Calibri"/>
        <family val="2"/>
        <scheme val="minor"/>
      </rPr>
      <t>SW</t>
    </r>
    <r>
      <rPr>
        <sz val="11"/>
        <color theme="1"/>
        <rFont val="Calibri"/>
        <family val="2"/>
        <scheme val="minor"/>
      </rPr>
      <t xml:space="preserve"> &amp; S</t>
    </r>
    <r>
      <rPr>
        <vertAlign val="subscript"/>
        <sz val="11"/>
        <color theme="1"/>
        <rFont val="Calibri"/>
        <family val="2"/>
        <scheme val="minor"/>
      </rPr>
      <t>E</t>
    </r>
  </si>
  <si>
    <t>ALLEGRO A8590 DESIGN SPREADSHEET</t>
  </si>
  <si>
    <t>ΔVout</t>
  </si>
  <si>
    <t>Estimated typical output voltage ripple</t>
  </si>
  <si>
    <t>Enter standard output inductor value</t>
  </si>
  <si>
    <t>Cz (min / max)</t>
  </si>
  <si>
    <t>ALLEGRO ARG81801 DESIGN SPREADSHEET - Rev. 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</si>
</sst>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3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5" borderId="14" xfId="0" applyFill="1" applyBorder="1"/>
    <xf numFmtId="0" fontId="0" fillId="5" borderId="20" xfId="0" applyFill="1" applyBorder="1"/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/>
    <xf numFmtId="0" fontId="0" fillId="5" borderId="23" xfId="0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6" borderId="25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2" fontId="39" fillId="8" borderId="8" xfId="0" applyNumberFormat="1" applyFont="1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2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164" fontId="39" fillId="2" borderId="36" xfId="0" applyNumberFormat="1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1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40" fillId="0" borderId="0" xfId="1" applyFont="1" applyAlignment="1" applyProtection="1">
      <alignment horizontal="right" vertic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0" fontId="38" fillId="8" borderId="4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2" fontId="39" fillId="8" borderId="55" xfId="0" applyNumberFormat="1" applyFont="1" applyFill="1" applyBorder="1" applyAlignment="1">
      <alignment horizontal="center"/>
    </xf>
    <xf numFmtId="2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0" fontId="6" fillId="8" borderId="44" xfId="1" applyFont="1" applyFill="1" applyBorder="1" applyAlignment="1" applyProtection="1">
      <alignment horizontal="center" vertical="center"/>
    </xf>
    <xf numFmtId="164" fontId="39" fillId="2" borderId="39" xfId="0" applyNumberFormat="1" applyFont="1" applyFill="1" applyBorder="1" applyAlignment="1">
      <alignment horizontal="center"/>
    </xf>
    <xf numFmtId="164" fontId="39" fillId="2" borderId="41" xfId="0" applyNumberFormat="1" applyFont="1" applyFill="1" applyBorder="1" applyAlignment="1">
      <alignment horizontal="center"/>
    </xf>
    <xf numFmtId="165" fontId="39" fillId="2" borderId="2" xfId="0" applyNumberFormat="1" applyFont="1" applyFill="1" applyBorder="1" applyAlignment="1">
      <alignment horizontal="center"/>
    </xf>
    <xf numFmtId="165" fontId="39" fillId="2" borderId="0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3" borderId="56" xfId="0" applyNumberFormat="1" applyFont="1" applyFill="1" applyBorder="1" applyAlignment="1">
      <alignment horizontal="center"/>
    </xf>
    <xf numFmtId="2" fontId="39" fillId="3" borderId="2" xfId="0" applyNumberFormat="1" applyFont="1" applyFill="1" applyBorder="1" applyAlignment="1">
      <alignment horizontal="center"/>
    </xf>
    <xf numFmtId="165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/>
    </xf>
    <xf numFmtId="165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/>
    </xf>
    <xf numFmtId="165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2" fontId="39" fillId="4" borderId="2" xfId="0" applyNumberFormat="1" applyFont="1" applyFill="1" applyBorder="1" applyAlignment="1">
      <alignment horizontal="center"/>
    </xf>
    <xf numFmtId="165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0" fontId="38" fillId="8" borderId="36" xfId="0" applyFont="1" applyFill="1" applyBorder="1" applyAlignment="1">
      <alignment horizontal="center" vertical="center"/>
    </xf>
    <xf numFmtId="0" fontId="0" fillId="0" borderId="0" xfId="0" applyFont="1"/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165" fontId="38" fillId="8" borderId="46" xfId="0" applyNumberFormat="1" applyFont="1" applyFill="1" applyBorder="1" applyAlignment="1">
      <alignment horizontal="center" vertical="center"/>
    </xf>
    <xf numFmtId="0" fontId="0" fillId="8" borderId="39" xfId="0" applyFont="1" applyFill="1" applyBorder="1"/>
    <xf numFmtId="0" fontId="38" fillId="8" borderId="57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3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4" xfId="0" applyFont="1" applyFill="1" applyBorder="1" applyAlignment="1" applyProtection="1">
      <alignment horizontal="center" vertical="center"/>
    </xf>
    <xf numFmtId="0" fontId="43" fillId="8" borderId="52" xfId="0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46" fillId="0" borderId="0" xfId="0" applyFont="1" applyAlignment="1">
      <alignment vertical="center"/>
    </xf>
    <xf numFmtId="2" fontId="46" fillId="8" borderId="2" xfId="0" applyNumberFormat="1" applyFont="1" applyFill="1" applyBorder="1" applyAlignment="1">
      <alignment horizontal="left" vertical="center"/>
    </xf>
    <xf numFmtId="2" fontId="46" fillId="8" borderId="2" xfId="0" applyNumberFormat="1" applyFont="1" applyFill="1" applyBorder="1" applyAlignment="1">
      <alignment horizontal="center" vertical="center"/>
    </xf>
    <xf numFmtId="165" fontId="46" fillId="8" borderId="2" xfId="0" applyNumberFormat="1" applyFont="1" applyFill="1" applyBorder="1" applyAlignment="1">
      <alignment horizontal="center" vertical="center"/>
    </xf>
    <xf numFmtId="164" fontId="46" fillId="8" borderId="2" xfId="0" applyNumberFormat="1" applyFont="1" applyFill="1" applyBorder="1" applyAlignment="1">
      <alignment horizontal="center" vertical="center"/>
    </xf>
    <xf numFmtId="164" fontId="46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vertical="center"/>
    </xf>
    <xf numFmtId="0" fontId="47" fillId="8" borderId="38" xfId="0" applyFont="1" applyFill="1" applyBorder="1" applyAlignment="1">
      <alignment horizontal="left" vertical="center"/>
    </xf>
    <xf numFmtId="0" fontId="47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50" fillId="0" borderId="40" xfId="0" applyFont="1" applyBorder="1" applyAlignment="1" applyProtection="1"/>
    <xf numFmtId="0" fontId="50" fillId="0" borderId="0" xfId="0" applyFont="1" applyAlignment="1" applyProtection="1"/>
    <xf numFmtId="0" fontId="50" fillId="0" borderId="0" xfId="0" applyFont="1" applyProtection="1"/>
    <xf numFmtId="0" fontId="7" fillId="0" borderId="0" xfId="0" applyFont="1" applyAlignment="1" applyProtection="1">
      <alignment horizontal="left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49" fillId="8" borderId="38" xfId="0" applyFont="1" applyFill="1" applyBorder="1" applyAlignment="1">
      <alignment horizontal="center" vertical="center"/>
    </xf>
    <xf numFmtId="165" fontId="49" fillId="8" borderId="2" xfId="0" applyNumberFormat="1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left" vertical="center" indent="1"/>
    </xf>
    <xf numFmtId="0" fontId="50" fillId="0" borderId="0" xfId="0" applyFont="1" applyBorder="1" applyAlignment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7" fillId="6" borderId="19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164" fontId="0" fillId="5" borderId="14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165" fontId="0" fillId="5" borderId="14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 indent="1"/>
    </xf>
    <xf numFmtId="0" fontId="0" fillId="5" borderId="22" xfId="0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165" fontId="8" fillId="6" borderId="3" xfId="0" applyNumberFormat="1" applyFont="1" applyFill="1" applyBorder="1" applyAlignment="1" applyProtection="1">
      <alignment horizontal="center" vertical="center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left" vertical="center" indent="1"/>
    </xf>
    <xf numFmtId="0" fontId="35" fillId="7" borderId="10" xfId="0" applyFont="1" applyFill="1" applyBorder="1" applyAlignment="1" applyProtection="1">
      <alignment horizontal="left" vertical="center" indent="1"/>
    </xf>
    <xf numFmtId="2" fontId="0" fillId="7" borderId="0" xfId="0" applyNumberFormat="1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horizontal="center" vertical="center"/>
    </xf>
    <xf numFmtId="0" fontId="33" fillId="7" borderId="40" xfId="0" applyFont="1" applyFill="1" applyBorder="1" applyAlignment="1" applyProtection="1">
      <alignment horizontal="center" vertical="center"/>
    </xf>
    <xf numFmtId="0" fontId="33" fillId="7" borderId="0" xfId="0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</xf>
    <xf numFmtId="0" fontId="24" fillId="7" borderId="42" xfId="0" applyFont="1" applyFill="1" applyBorder="1" applyAlignment="1" applyProtection="1">
      <alignment horizontal="center" vertical="center"/>
    </xf>
    <xf numFmtId="0" fontId="24" fillId="7" borderId="36" xfId="0" applyFont="1" applyFill="1" applyBorder="1" applyAlignment="1" applyProtection="1">
      <alignment horizontal="center" vertical="center"/>
    </xf>
    <xf numFmtId="0" fontId="0" fillId="7" borderId="33" xfId="0" applyFill="1" applyBorder="1" applyAlignment="1" applyProtection="1">
      <alignment horizontal="left" vertical="center" indent="1"/>
    </xf>
    <xf numFmtId="165" fontId="48" fillId="9" borderId="1" xfId="0" applyNumberFormat="1" applyFont="1" applyFill="1" applyBorder="1" applyAlignment="1" applyProtection="1">
      <alignment horizontal="center" vertical="center"/>
      <protection locked="0"/>
    </xf>
    <xf numFmtId="165" fontId="0" fillId="7" borderId="0" xfId="0" applyNumberFormat="1" applyFill="1" applyBorder="1" applyAlignment="1" applyProtection="1">
      <alignment horizontal="center" vertical="center"/>
    </xf>
    <xf numFmtId="2" fontId="0" fillId="7" borderId="0" xfId="0" applyNumberFormat="1" applyFill="1" applyAlignment="1" applyProtection="1">
      <alignment horizontal="center" vertical="center"/>
    </xf>
    <xf numFmtId="165" fontId="0" fillId="7" borderId="0" xfId="0" applyNumberFormat="1" applyFont="1" applyFill="1" applyBorder="1" applyAlignment="1" applyProtection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center" vertical="center"/>
    </xf>
    <xf numFmtId="164" fontId="0" fillId="9" borderId="1" xfId="0" applyNumberFormat="1" applyFill="1" applyBorder="1" applyAlignment="1" applyProtection="1">
      <alignment horizontal="center" vertical="center"/>
      <protection locked="0"/>
    </xf>
    <xf numFmtId="165" fontId="0" fillId="7" borderId="0" xfId="0" applyNumberFormat="1" applyFont="1" applyFill="1" applyAlignment="1" applyProtection="1">
      <alignment horizontal="center" vertical="center"/>
    </xf>
    <xf numFmtId="165" fontId="8" fillId="6" borderId="47" xfId="0" applyNumberFormat="1" applyFont="1" applyFill="1" applyBorder="1" applyAlignment="1" applyProtection="1">
      <alignment horizontal="center" vertical="center"/>
    </xf>
    <xf numFmtId="164" fontId="39" fillId="2" borderId="37" xfId="0" applyNumberFormat="1" applyFont="1" applyFill="1" applyBorder="1" applyAlignment="1">
      <alignment horizontal="center"/>
    </xf>
    <xf numFmtId="0" fontId="0" fillId="7" borderId="0" xfId="0" applyFill="1" applyBorder="1" applyAlignment="1" applyProtection="1">
      <alignment vertical="center"/>
    </xf>
    <xf numFmtId="0" fontId="0" fillId="7" borderId="41" xfId="0" applyFill="1" applyBorder="1" applyAlignment="1" applyProtection="1">
      <alignment vertical="center"/>
    </xf>
    <xf numFmtId="2" fontId="39" fillId="2" borderId="38" xfId="0" applyNumberFormat="1" applyFont="1" applyFill="1" applyBorder="1" applyAlignment="1">
      <alignment horizontal="center" vertical="center"/>
    </xf>
    <xf numFmtId="2" fontId="39" fillId="2" borderId="2" xfId="0" applyNumberFormat="1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 vertical="center"/>
    </xf>
    <xf numFmtId="2" fontId="39" fillId="2" borderId="40" xfId="0" applyNumberFormat="1" applyFont="1" applyFill="1" applyBorder="1" applyAlignment="1">
      <alignment horizontal="center" vertical="center"/>
    </xf>
    <xf numFmtId="2" fontId="39" fillId="2" borderId="0" xfId="0" applyNumberFormat="1" applyFont="1" applyFill="1" applyBorder="1" applyAlignment="1">
      <alignment horizontal="center" vertical="center"/>
    </xf>
    <xf numFmtId="165" fontId="39" fillId="2" borderId="41" xfId="0" applyNumberFormat="1" applyFont="1" applyFill="1" applyBorder="1" applyAlignment="1">
      <alignment horizontal="center" vertical="center"/>
    </xf>
    <xf numFmtId="2" fontId="39" fillId="2" borderId="36" xfId="0" applyNumberFormat="1" applyFont="1" applyFill="1" applyBorder="1" applyAlignment="1">
      <alignment horizontal="center" vertical="center"/>
    </xf>
    <xf numFmtId="165" fontId="39" fillId="2" borderId="37" xfId="0" applyNumberFormat="1" applyFont="1" applyFill="1" applyBorder="1" applyAlignment="1">
      <alignment horizontal="center" vertical="center"/>
    </xf>
    <xf numFmtId="2" fontId="39" fillId="3" borderId="56" xfId="0" applyNumberFormat="1" applyFont="1" applyFill="1" applyBorder="1" applyAlignment="1">
      <alignment horizontal="center" vertical="center"/>
    </xf>
    <xf numFmtId="2" fontId="39" fillId="3" borderId="2" xfId="0" applyNumberFormat="1" applyFont="1" applyFill="1" applyBorder="1" applyAlignment="1">
      <alignment horizontal="center" vertical="center"/>
    </xf>
    <xf numFmtId="165" fontId="39" fillId="3" borderId="39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 vertical="center"/>
    </xf>
    <xf numFmtId="2" fontId="39" fillId="3" borderId="0" xfId="0" applyNumberFormat="1" applyFont="1" applyFill="1" applyBorder="1" applyAlignment="1">
      <alignment horizontal="center" vertical="center"/>
    </xf>
    <xf numFmtId="165" fontId="39" fillId="3" borderId="41" xfId="0" applyNumberFormat="1" applyFont="1" applyFill="1" applyBorder="1" applyAlignment="1">
      <alignment horizontal="center" vertical="center"/>
    </xf>
    <xf numFmtId="2" fontId="39" fillId="3" borderId="36" xfId="0" applyNumberFormat="1" applyFont="1" applyFill="1" applyBorder="1" applyAlignment="1">
      <alignment horizontal="center" vertical="center"/>
    </xf>
    <xf numFmtId="165" fontId="39" fillId="3" borderId="37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 vertical="center"/>
    </xf>
    <xf numFmtId="2" fontId="39" fillId="4" borderId="2" xfId="0" applyNumberFormat="1" applyFont="1" applyFill="1" applyBorder="1" applyAlignment="1">
      <alignment horizontal="center" vertical="center"/>
    </xf>
    <xf numFmtId="165" fontId="39" fillId="4" borderId="39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 vertical="center"/>
    </xf>
    <xf numFmtId="2" fontId="39" fillId="4" borderId="0" xfId="0" applyNumberFormat="1" applyFont="1" applyFill="1" applyBorder="1" applyAlignment="1">
      <alignment horizontal="center" vertical="center"/>
    </xf>
    <xf numFmtId="165" fontId="39" fillId="4" borderId="41" xfId="0" applyNumberFormat="1" applyFont="1" applyFill="1" applyBorder="1" applyAlignment="1">
      <alignment horizontal="center" vertical="center"/>
    </xf>
    <xf numFmtId="2" fontId="39" fillId="4" borderId="36" xfId="0" applyNumberFormat="1" applyFont="1" applyFill="1" applyBorder="1" applyAlignment="1">
      <alignment horizontal="center" vertical="center"/>
    </xf>
    <xf numFmtId="165" fontId="39" fillId="4" borderId="37" xfId="0" applyNumberFormat="1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1" fontId="0" fillId="7" borderId="44" xfId="0" applyNumberFormat="1" applyFill="1" applyBorder="1" applyAlignment="1" applyProtection="1">
      <alignment horizontal="center" vertical="center"/>
    </xf>
    <xf numFmtId="0" fontId="0" fillId="7" borderId="44" xfId="0" applyFill="1" applyBorder="1" applyAlignment="1" applyProtection="1">
      <alignment horizontal="center" vertical="center"/>
    </xf>
    <xf numFmtId="0" fontId="0" fillId="7" borderId="52" xfId="0" applyFill="1" applyBorder="1" applyAlignment="1" applyProtection="1">
      <alignment horizontal="left" vertical="center" indent="1"/>
    </xf>
    <xf numFmtId="0" fontId="0" fillId="7" borderId="44" xfId="0" applyFill="1" applyBorder="1" applyAlignment="1" applyProtection="1">
      <alignment horizontal="center"/>
    </xf>
    <xf numFmtId="0" fontId="0" fillId="7" borderId="44" xfId="0" applyFill="1" applyBorder="1" applyProtection="1"/>
    <xf numFmtId="0" fontId="0" fillId="7" borderId="46" xfId="0" applyFill="1" applyBorder="1" applyProtection="1"/>
    <xf numFmtId="0" fontId="12" fillId="7" borderId="45" xfId="0" applyFont="1" applyFill="1" applyBorder="1" applyAlignment="1" applyProtection="1">
      <alignment horizontal="center" vertical="center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left" vertical="center" indent="1"/>
    </xf>
    <xf numFmtId="0" fontId="0" fillId="6" borderId="5" xfId="0" applyFill="1" applyBorder="1" applyAlignment="1" applyProtection="1">
      <alignment horizontal="left" vertical="center" indent="1"/>
    </xf>
    <xf numFmtId="0" fontId="0" fillId="6" borderId="31" xfId="0" applyFill="1" applyBorder="1" applyAlignment="1" applyProtection="1">
      <alignment horizontal="left" vertical="center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center"/>
    </xf>
    <xf numFmtId="0" fontId="11" fillId="8" borderId="45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1" fillId="8" borderId="50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left" vertical="center" indent="1"/>
    </xf>
    <xf numFmtId="0" fontId="0" fillId="6" borderId="17" xfId="0" applyFill="1" applyBorder="1" applyAlignment="1" applyProtection="1">
      <alignment horizontal="left" vertical="center" indent="1"/>
    </xf>
    <xf numFmtId="0" fontId="0" fillId="6" borderId="18" xfId="0" applyFill="1" applyBorder="1" applyAlignment="1" applyProtection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0" fillId="7" borderId="0" xfId="0" applyNumberFormat="1" applyFill="1" applyBorder="1" applyAlignment="1" applyProtection="1">
      <alignment horizontal="center" vertical="center"/>
    </xf>
    <xf numFmtId="2" fontId="24" fillId="9" borderId="45" xfId="0" applyNumberFormat="1" applyFont="1" applyFill="1" applyBorder="1" applyAlignment="1" applyProtection="1">
      <alignment horizontal="center" vertical="center"/>
      <protection locked="0"/>
    </xf>
    <xf numFmtId="2" fontId="24" fillId="9" borderId="46" xfId="0" applyNumberFormat="1" applyFont="1" applyFill="1" applyBorder="1" applyAlignment="1" applyProtection="1">
      <alignment horizontal="center" vertical="center"/>
      <protection locked="0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51" fillId="7" borderId="40" xfId="0" applyFont="1" applyFill="1" applyBorder="1" applyAlignment="1" applyProtection="1">
      <alignment horizontal="center" vertical="center" wrapText="1"/>
    </xf>
    <xf numFmtId="0" fontId="51" fillId="7" borderId="0" xfId="0" applyFont="1" applyFill="1" applyBorder="1" applyAlignment="1" applyProtection="1">
      <alignment horizontal="center" vertical="center" wrapText="1"/>
    </xf>
    <xf numFmtId="0" fontId="51" fillId="7" borderId="41" xfId="0" applyFont="1" applyFill="1" applyBorder="1" applyAlignment="1" applyProtection="1">
      <alignment horizontal="center" vertical="center" wrapText="1"/>
    </xf>
    <xf numFmtId="165" fontId="0" fillId="7" borderId="0" xfId="0" applyNumberFormat="1" applyFill="1" applyBorder="1" applyAlignment="1" applyProtection="1">
      <alignment horizontal="center" vertical="center"/>
    </xf>
    <xf numFmtId="1" fontId="24" fillId="7" borderId="36" xfId="0" applyNumberFormat="1" applyFont="1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9" borderId="45" xfId="0" applyNumberFormat="1" applyFill="1" applyBorder="1" applyAlignment="1" applyProtection="1">
      <alignment horizontal="center" vertical="center"/>
      <protection locked="0"/>
    </xf>
    <xf numFmtId="1" fontId="0" fillId="9" borderId="46" xfId="0" applyNumberFormat="1" applyFill="1" applyBorder="1" applyAlignment="1" applyProtection="1">
      <alignment horizontal="center" vertical="center"/>
      <protection locked="0"/>
    </xf>
    <xf numFmtId="2" fontId="0" fillId="7" borderId="36" xfId="0" applyNumberFormat="1" applyFill="1" applyBorder="1" applyAlignment="1" applyProtection="1">
      <alignment horizontal="center" vertical="center"/>
    </xf>
    <xf numFmtId="165" fontId="35" fillId="9" borderId="45" xfId="0" applyNumberFormat="1" applyFont="1" applyFill="1" applyBorder="1" applyAlignment="1" applyProtection="1">
      <alignment horizontal="center" vertical="center"/>
      <protection locked="0"/>
    </xf>
    <xf numFmtId="165" fontId="35" fillId="9" borderId="46" xfId="0" applyNumberFormat="1" applyFont="1" applyFill="1" applyBorder="1" applyAlignment="1" applyProtection="1">
      <alignment horizontal="center" vertical="center"/>
      <protection locked="0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0" fillId="6" borderId="13" xfId="0" applyFill="1" applyBorder="1" applyAlignment="1" applyProtection="1">
      <alignment horizontal="left" vertical="center"/>
    </xf>
    <xf numFmtId="0" fontId="0" fillId="6" borderId="14" xfId="0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left" vertical="center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9868828896388788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Efficiency!$U$4:$U$13</c:f>
              <c:numCache>
                <c:formatCode>0.0</c:formatCode>
                <c:ptCount val="10"/>
                <c:pt idx="0">
                  <c:v>89.206325000109061</c:v>
                </c:pt>
                <c:pt idx="1">
                  <c:v>91.709761751666392</c:v>
                </c:pt>
                <c:pt idx="2">
                  <c:v>91.727075057788483</c:v>
                </c:pt>
                <c:pt idx="3">
                  <c:v>91.143995684057657</c:v>
                </c:pt>
                <c:pt idx="4">
                  <c:v>90.288721972589869</c:v>
                </c:pt>
                <c:pt idx="5">
                  <c:v>89.254051707069323</c:v>
                </c:pt>
                <c:pt idx="6">
                  <c:v>88.082166407789273</c:v>
                </c:pt>
                <c:pt idx="7">
                  <c:v>86.80019978294871</c:v>
                </c:pt>
                <c:pt idx="8">
                  <c:v>85.34139154984608</c:v>
                </c:pt>
                <c:pt idx="9">
                  <c:v>83.670572286376355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65-4B3F-83D6-8A5272C87467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Efficiency!$AO$4:$AO$13</c:f>
              <c:numCache>
                <c:formatCode>0.0</c:formatCode>
                <c:ptCount val="10"/>
                <c:pt idx="0">
                  <c:v>77.43292634518717</c:v>
                </c:pt>
                <c:pt idx="1">
                  <c:v>82.69926851346996</c:v>
                </c:pt>
                <c:pt idx="2">
                  <c:v>83.899846087841468</c:v>
                </c:pt>
                <c:pt idx="3">
                  <c:v>84.112186450121712</c:v>
                </c:pt>
                <c:pt idx="4">
                  <c:v>83.918744812258552</c:v>
                </c:pt>
                <c:pt idx="5">
                  <c:v>83.506016553689292</c:v>
                </c:pt>
                <c:pt idx="6">
                  <c:v>82.978472060184728</c:v>
                </c:pt>
                <c:pt idx="7">
                  <c:v>82.418700320206085</c:v>
                </c:pt>
                <c:pt idx="8">
                  <c:v>81.753836240739545</c:v>
                </c:pt>
                <c:pt idx="9">
                  <c:v>80.984564819871522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65-4B3F-83D6-8A5272C87467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Efficiency!$BI$4:$BI$13</c:f>
              <c:numCache>
                <c:formatCode>0.0</c:formatCode>
                <c:ptCount val="10"/>
                <c:pt idx="0">
                  <c:v>65.904305380278089</c:v>
                </c:pt>
                <c:pt idx="1">
                  <c:v>72.830224283173891</c:v>
                </c:pt>
                <c:pt idx="2">
                  <c:v>74.754309414129409</c:v>
                </c:pt>
                <c:pt idx="3">
                  <c:v>75.401415234361608</c:v>
                </c:pt>
                <c:pt idx="4">
                  <c:v>75.517511100500982</c:v>
                </c:pt>
                <c:pt idx="5">
                  <c:v>75.349647897526154</c:v>
                </c:pt>
                <c:pt idx="6">
                  <c:v>75.03213116026231</c:v>
                </c:pt>
                <c:pt idx="7">
                  <c:v>74.666704498024401</c:v>
                </c:pt>
                <c:pt idx="8">
                  <c:v>74.190032390967914</c:v>
                </c:pt>
                <c:pt idx="9">
                  <c:v>73.613318270672693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65-4B3F-83D6-8A5272C8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99760"/>
        <c:axId val="-594289968"/>
      </c:scatterChart>
      <c:valAx>
        <c:axId val="-594299760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85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89968"/>
        <c:crosses val="autoZero"/>
        <c:crossBetween val="midCat"/>
        <c:majorUnit val="0.25"/>
        <c:minorUnit val="0.125"/>
      </c:valAx>
      <c:valAx>
        <c:axId val="-594289968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119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976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9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25832358538644"/>
          <c:y val="0.10866027305170212"/>
          <c:w val="0.81528175940313463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Constants!$A$30:$A$31</c:f>
              <c:numCache>
                <c:formatCode>General</c:formatCode>
                <c:ptCount val="2"/>
                <c:pt idx="0">
                  <c:v>5</c:v>
                </c:pt>
                <c:pt idx="1">
                  <c:v>99</c:v>
                </c:pt>
              </c:numCache>
            </c:numRef>
          </c:xVal>
          <c:yVal>
            <c:numRef>
              <c:f>Constants!$B$30:$B$31</c:f>
              <c:numCache>
                <c:formatCode>General</c:formatCode>
                <c:ptCount val="2"/>
                <c:pt idx="0">
                  <c:v>4.8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11-44CB-9E53-E1C6172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2325328"/>
        <c:axId val="-592332944"/>
      </c:scatterChart>
      <c:valAx>
        <c:axId val="-592325328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592332944"/>
        <c:crosses val="autoZero"/>
        <c:crossBetween val="midCat"/>
        <c:majorUnit val="10"/>
        <c:minorUnit val="10"/>
      </c:valAx>
      <c:valAx>
        <c:axId val="-592332944"/>
        <c:scaling>
          <c:orientation val="minMax"/>
          <c:min val="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592325328"/>
        <c:crosses val="autoZero"/>
        <c:crossBetween val="midCat"/>
        <c:majorUnit val="0.2"/>
        <c:minorUnit val="0.2"/>
      </c:valAx>
    </c:plotArea>
    <c:legend>
      <c:legendPos val="r"/>
      <c:layout>
        <c:manualLayout>
          <c:xMode val="edge"/>
          <c:yMode val="edge"/>
          <c:x val="0.67002531557170986"/>
          <c:y val="0.13924063306800549"/>
          <c:w val="0.2491294117647059"/>
          <c:h val="0.148769961872846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5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Efficiency!$U$15:$U$24</c:f>
              <c:numCache>
                <c:formatCode>0.0</c:formatCode>
                <c:ptCount val="10"/>
                <c:pt idx="0">
                  <c:v>89.202483342910668</c:v>
                </c:pt>
                <c:pt idx="1">
                  <c:v>91.412513018445253</c:v>
                </c:pt>
                <c:pt idx="2">
                  <c:v>91.123159422724797</c:v>
                </c:pt>
                <c:pt idx="3">
                  <c:v>90.222043456221115</c:v>
                </c:pt>
                <c:pt idx="4">
                  <c:v>89.033886356212989</c:v>
                </c:pt>
                <c:pt idx="5">
                  <c:v>87.646634723005988</c:v>
                </c:pt>
                <c:pt idx="6">
                  <c:v>86.096418165544236</c:v>
                </c:pt>
                <c:pt idx="7">
                  <c:v>84.402803783140342</c:v>
                </c:pt>
                <c:pt idx="8">
                  <c:v>82.489987753695758</c:v>
                </c:pt>
                <c:pt idx="9">
                  <c:v>80.310926161499978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27-4141-9023-A919EB601371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Efficiency!$AO$15:$AO$24</c:f>
              <c:numCache>
                <c:formatCode>0.0</c:formatCode>
                <c:ptCount val="10"/>
                <c:pt idx="0">
                  <c:v>77.723986918901815</c:v>
                </c:pt>
                <c:pt idx="1">
                  <c:v>82.901930629416938</c:v>
                </c:pt>
                <c:pt idx="2">
                  <c:v>83.964694448956649</c:v>
                </c:pt>
                <c:pt idx="3">
                  <c:v>84.026118642067644</c:v>
                </c:pt>
                <c:pt idx="4">
                  <c:v>83.674910231641746</c:v>
                </c:pt>
                <c:pt idx="5">
                  <c:v>83.098552293773054</c:v>
                </c:pt>
                <c:pt idx="6">
                  <c:v>82.400596577587208</c:v>
                </c:pt>
                <c:pt idx="7">
                  <c:v>81.66102262251205</c:v>
                </c:pt>
                <c:pt idx="8">
                  <c:v>80.804550476015365</c:v>
                </c:pt>
                <c:pt idx="9">
                  <c:v>79.828256577096866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27-4141-9023-A919EB601371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Efficiency!$BI$15:$BI$24</c:f>
              <c:numCache>
                <c:formatCode>0.0</c:formatCode>
                <c:ptCount val="10"/>
                <c:pt idx="0">
                  <c:v>66.203533127045063</c:v>
                </c:pt>
                <c:pt idx="1">
                  <c:v>73.116553602701501</c:v>
                </c:pt>
                <c:pt idx="2">
                  <c:v>74.96531366039207</c:v>
                </c:pt>
                <c:pt idx="3">
                  <c:v>75.52024510700619</c:v>
                </c:pt>
                <c:pt idx="4">
                  <c:v>75.536921986747387</c:v>
                </c:pt>
                <c:pt idx="5">
                  <c:v>75.265307023327509</c:v>
                </c:pt>
                <c:pt idx="6">
                  <c:v>74.84064684155716</c:v>
                </c:pt>
                <c:pt idx="7">
                  <c:v>74.364442667250927</c:v>
                </c:pt>
                <c:pt idx="8">
                  <c:v>73.77238319577144</c:v>
                </c:pt>
                <c:pt idx="9">
                  <c:v>73.074765513746414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27-4141-9023-A919EB60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95408"/>
        <c:axId val="-594303568"/>
      </c:scatterChart>
      <c:valAx>
        <c:axId val="-594295408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8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303568"/>
        <c:crosses val="autoZero"/>
        <c:crossBetween val="midCat"/>
        <c:majorUnit val="0.25"/>
        <c:minorUnit val="0.125"/>
      </c:valAx>
      <c:valAx>
        <c:axId val="-594303568"/>
        <c:scaling>
          <c:orientation val="minMax"/>
          <c:max val="9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133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5408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9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4035495563054835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5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Efficiency!$O$4:$O$13</c:f>
              <c:numCache>
                <c:formatCode>0.0</c:formatCode>
                <c:ptCount val="10"/>
                <c:pt idx="0">
                  <c:v>29.098896259154952</c:v>
                </c:pt>
                <c:pt idx="1">
                  <c:v>31.232183447884072</c:v>
                </c:pt>
                <c:pt idx="2">
                  <c:v>34.129387748454207</c:v>
                </c:pt>
                <c:pt idx="3">
                  <c:v>37.854311624396196</c:v>
                </c:pt>
                <c:pt idx="4">
                  <c:v>42.497176346641552</c:v>
                </c:pt>
                <c:pt idx="5">
                  <c:v>48.181009181572989</c:v>
                </c:pt>
                <c:pt idx="6">
                  <c:v>55.071166700612856</c:v>
                </c:pt>
                <c:pt idx="7">
                  <c:v>63.389496327307242</c:v>
                </c:pt>
                <c:pt idx="8">
                  <c:v>73.435637386653781</c:v>
                </c:pt>
                <c:pt idx="9">
                  <c:v>85.619733986857995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E3-4B14-874B-242B2EE3839B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Efficiency!$AI$4:$AI$13</c:f>
              <c:numCache>
                <c:formatCode>0.0</c:formatCode>
                <c:ptCount val="10"/>
                <c:pt idx="0">
                  <c:v>34.824174856425046</c:v>
                </c:pt>
                <c:pt idx="1">
                  <c:v>40.115514818896344</c:v>
                </c:pt>
                <c:pt idx="2">
                  <c:v>45.88415680077275</c:v>
                </c:pt>
                <c:pt idx="3">
                  <c:v>52.195237789246193</c:v>
                </c:pt>
                <c:pt idx="4">
                  <c:v>59.127660789530317</c:v>
                </c:pt>
                <c:pt idx="5">
                  <c:v>66.778084480812538</c:v>
                </c:pt>
                <c:pt idx="6">
                  <c:v>75.261387288140284</c:v>
                </c:pt>
                <c:pt idx="7">
                  <c:v>84.710077017013347</c:v>
                </c:pt>
                <c:pt idx="8">
                  <c:v>95.322271110875334</c:v>
                </c:pt>
                <c:pt idx="9">
                  <c:v>107.3441161235484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E3-4B14-874B-242B2EE3839B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Efficiency!$BC$4:$BC$13</c:f>
              <c:numCache>
                <c:formatCode>0.0</c:formatCode>
                <c:ptCount val="10"/>
                <c:pt idx="0">
                  <c:v>42.530142415043784</c:v>
                </c:pt>
                <c:pt idx="1">
                  <c:v>53.598982472156301</c:v>
                </c:pt>
                <c:pt idx="2">
                  <c:v>65.044652492532492</c:v>
                </c:pt>
                <c:pt idx="3">
                  <c:v>76.939635385287147</c:v>
                </c:pt>
                <c:pt idx="4">
                  <c:v>89.366282005640358</c:v>
                </c:pt>
                <c:pt idx="5">
                  <c:v>102.41956075410555</c:v>
                </c:pt>
                <c:pt idx="6">
                  <c:v>116.20559224862447</c:v>
                </c:pt>
                <c:pt idx="7">
                  <c:v>130.83784726954951</c:v>
                </c:pt>
                <c:pt idx="8">
                  <c:v>146.48031071528627</c:v>
                </c:pt>
                <c:pt idx="9">
                  <c:v>163.32219894959783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5E3-4B14-874B-242B2EE3839B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5E3-4B14-874B-242B2EE3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88880"/>
        <c:axId val="-594302480"/>
      </c:scatterChart>
      <c:valAx>
        <c:axId val="-594288880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8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302480"/>
        <c:crosses val="autoZero"/>
        <c:crossBetween val="midCat"/>
        <c:majorUnit val="0.25"/>
        <c:minorUnit val="0.125"/>
      </c:valAx>
      <c:valAx>
        <c:axId val="-594302480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8888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8006"/>
          <c:w val="0.16859142607174121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28281527309086746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83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Efficiency!$O$15:$O$24</c:f>
              <c:numCache>
                <c:formatCode>0.0</c:formatCode>
                <c:ptCount val="10"/>
                <c:pt idx="0">
                  <c:v>89.189422197494963</c:v>
                </c:pt>
                <c:pt idx="1">
                  <c:v>91.674792865341345</c:v>
                </c:pt>
                <c:pt idx="2">
                  <c:v>95.201044242289669</c:v>
                </c:pt>
                <c:pt idx="3">
                  <c:v>99.849351984288319</c:v>
                </c:pt>
                <c:pt idx="4">
                  <c:v>105.7364264519793</c:v>
                </c:pt>
                <c:pt idx="5">
                  <c:v>113.02288258373363</c:v>
                </c:pt>
                <c:pt idx="6">
                  <c:v>121.92578679325656</c:v>
                </c:pt>
                <c:pt idx="7">
                  <c:v>132.73736686982184</c:v>
                </c:pt>
                <c:pt idx="8">
                  <c:v>145.85319641988428</c:v>
                </c:pt>
                <c:pt idx="9">
                  <c:v>161.81551364755569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CD-4934-82FC-21B3B004DB74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Efficiency!$AI$15:$AI$24</c:f>
              <c:numCache>
                <c:formatCode>0.0</c:formatCode>
                <c:ptCount val="10"/>
                <c:pt idx="0">
                  <c:v>94.883036748466381</c:v>
                </c:pt>
                <c:pt idx="1">
                  <c:v>100.3650328754366</c:v>
                </c:pt>
                <c:pt idx="2">
                  <c:v>106.47959930577068</c:v>
                </c:pt>
                <c:pt idx="3">
                  <c:v>113.30563430716217</c:v>
                </c:pt>
                <c:pt idx="4">
                  <c:v>120.94051727579762</c:v>
                </c:pt>
                <c:pt idx="5">
                  <c:v>129.50560477098674</c:v>
                </c:pt>
                <c:pt idx="6">
                  <c:v>139.14730216693766</c:v>
                </c:pt>
                <c:pt idx="7">
                  <c:v>150.03738174881846</c:v>
                </c:pt>
                <c:pt idx="8">
                  <c:v>162.43791335286687</c:v>
                </c:pt>
                <c:pt idx="9">
                  <c:v>176.68112400711831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CD-4934-82FC-21B3B004DB74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Efficiency!$BC$15:$BC$24</c:f>
              <c:numCache>
                <c:formatCode>0.0</c:formatCode>
                <c:ptCount val="10"/>
                <c:pt idx="0">
                  <c:v>102.57348175223264</c:v>
                </c:pt>
                <c:pt idx="1">
                  <c:v>113.7689755479761</c:v>
                </c:pt>
                <c:pt idx="2">
                  <c:v>125.44311136520884</c:v>
                </c:pt>
                <c:pt idx="3">
                  <c:v>137.67587478385144</c:v>
                </c:pt>
                <c:pt idx="4">
                  <c:v>150.55949151340809</c:v>
                </c:pt>
                <c:pt idx="5">
                  <c:v>164.20177684018597</c:v>
                </c:pt>
                <c:pt idx="6">
                  <c:v>178.72419377696684</c:v>
                </c:pt>
                <c:pt idx="7">
                  <c:v>194.25735714181496</c:v>
                </c:pt>
                <c:pt idx="8">
                  <c:v>210.99546972331223</c:v>
                </c:pt>
                <c:pt idx="9">
                  <c:v>229.16451039253639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CD-4934-82FC-21B3B004DB74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CD-4934-82FC-21B3B004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94320"/>
        <c:axId val="-594303024"/>
      </c:scatterChart>
      <c:valAx>
        <c:axId val="-594294320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90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303024"/>
        <c:crosses val="autoZero"/>
        <c:crossBetween val="midCat"/>
        <c:majorUnit val="0.25"/>
        <c:minorUnit val="0.125"/>
      </c:valAx>
      <c:valAx>
        <c:axId val="-594303024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432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3235845519531"/>
          <c:y val="0.15375943069878006"/>
          <c:w val="0.14875015623047141"/>
          <c:h val="0.159461667709946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0860892388452144"/>
          <c:y val="2.0845385958554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83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Efficiency!$N$4:$N$13</c:f>
              <c:numCache>
                <c:formatCode>0.0</c:formatCode>
                <c:ptCount val="10"/>
                <c:pt idx="0">
                  <c:v>25.918165395551121</c:v>
                </c:pt>
                <c:pt idx="1">
                  <c:v>27.180078289301928</c:v>
                </c:pt>
                <c:pt idx="2">
                  <c:v>28.596280827609203</c:v>
                </c:pt>
                <c:pt idx="3">
                  <c:v>30.165188628253592</c:v>
                </c:pt>
                <c:pt idx="4">
                  <c:v>31.885238928127336</c:v>
                </c:pt>
                <c:pt idx="5">
                  <c:v>33.754890215743224</c:v>
                </c:pt>
                <c:pt idx="6">
                  <c:v>35.675062378576982</c:v>
                </c:pt>
                <c:pt idx="7">
                  <c:v>37.400400925184542</c:v>
                </c:pt>
                <c:pt idx="8">
                  <c:v>39.165448479776863</c:v>
                </c:pt>
                <c:pt idx="9">
                  <c:v>40.969805481310487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33-4C2A-A952-148C9B1D96DE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Efficiency!$AH$4:$AH$13</c:f>
              <c:numCache>
                <c:formatCode>0.0</c:formatCode>
                <c:ptCount val="10"/>
                <c:pt idx="0">
                  <c:v>27.593776600722983</c:v>
                </c:pt>
                <c:pt idx="1">
                  <c:v>31.081343240487861</c:v>
                </c:pt>
                <c:pt idx="2">
                  <c:v>34.904878705483512</c:v>
                </c:pt>
                <c:pt idx="3">
                  <c:v>39.043649868628023</c:v>
                </c:pt>
                <c:pt idx="4">
                  <c:v>43.47628678802986</c:v>
                </c:pt>
                <c:pt idx="5">
                  <c:v>48.180340629409415</c:v>
                </c:pt>
                <c:pt idx="6">
                  <c:v>52.88556588083425</c:v>
                </c:pt>
                <c:pt idx="7">
                  <c:v>56.969728333161662</c:v>
                </c:pt>
                <c:pt idx="8">
                  <c:v>61.019522439817699</c:v>
                </c:pt>
                <c:pt idx="9">
                  <c:v>65.016633062427786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33-4C2A-A952-148C9B1D96DE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Efficiency!$BB$4:$BB$13</c:f>
              <c:numCache>
                <c:formatCode>0.0</c:formatCode>
                <c:ptCount val="10"/>
                <c:pt idx="0">
                  <c:v>28.238322329325602</c:v>
                </c:pt>
                <c:pt idx="1">
                  <c:v>32.597708571740604</c:v>
                </c:pt>
                <c:pt idx="2">
                  <c:v>37.384318050581264</c:v>
                </c:pt>
                <c:pt idx="3">
                  <c:v>42.575203763410187</c:v>
                </c:pt>
                <c:pt idx="4">
                  <c:v>48.14760845128432</c:v>
                </c:pt>
                <c:pt idx="5">
                  <c:v>54.078734524997955</c:v>
                </c:pt>
                <c:pt idx="6">
                  <c:v>60.032398924617802</c:v>
                </c:pt>
                <c:pt idx="7">
                  <c:v>65.223529038958901</c:v>
                </c:pt>
                <c:pt idx="8">
                  <c:v>70.406685483057231</c:v>
                </c:pt>
                <c:pt idx="9">
                  <c:v>75.571750903800762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33-4C2A-A952-148C9B1D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89424"/>
        <c:axId val="-594298128"/>
      </c:scatterChart>
      <c:valAx>
        <c:axId val="-594289424"/>
        <c:scaling>
          <c:orientation val="minMax"/>
          <c:max val="3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90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8128"/>
        <c:crosses val="autoZero"/>
        <c:crossBetween val="midCat"/>
        <c:majorUnit val="0.25"/>
        <c:minorUnit val="0.125"/>
      </c:valAx>
      <c:valAx>
        <c:axId val="-594298128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89424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331"/>
          <c:y val="0.10912902623573729"/>
          <c:w val="0.12461751371987591"/>
          <c:h val="0.1578844644419498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83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Efficiency!$N$15:$N$24</c:f>
              <c:numCache>
                <c:formatCode>0.0</c:formatCode>
                <c:ptCount val="10"/>
                <c:pt idx="0">
                  <c:v>85.748076437198606</c:v>
                </c:pt>
                <c:pt idx="1">
                  <c:v>86.803782212516552</c:v>
                </c:pt>
                <c:pt idx="2">
                  <c:v>88.015194158875218</c:v>
                </c:pt>
                <c:pt idx="3">
                  <c:v>89.380713347911325</c:v>
                </c:pt>
                <c:pt idx="4">
                  <c:v>90.898762668857302</c:v>
                </c:pt>
                <c:pt idx="5">
                  <c:v>92.567786457676348</c:v>
                </c:pt>
                <c:pt idx="6">
                  <c:v>94.28869064109945</c:v>
                </c:pt>
                <c:pt idx="7">
                  <c:v>95.816106955504324</c:v>
                </c:pt>
                <c:pt idx="8">
                  <c:v>97.384564438317227</c:v>
                </c:pt>
                <c:pt idx="9">
                  <c:v>98.993650123994414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28-4EB4-95F0-F4FE5143EA61}"/>
            </c:ext>
          </c:extLst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Efficiency!$AH$15:$AH$24</c:f>
              <c:numCache>
                <c:formatCode>0.0</c:formatCode>
                <c:ptCount val="10"/>
                <c:pt idx="0">
                  <c:v>87.121115984635239</c:v>
                </c:pt>
                <c:pt idx="1">
                  <c:v>90.042897301743352</c:v>
                </c:pt>
                <c:pt idx="2">
                  <c:v>93.310467457717465</c:v>
                </c:pt>
                <c:pt idx="3">
                  <c:v>96.900782309959084</c:v>
                </c:pt>
                <c:pt idx="4">
                  <c:v>100.7900102829494</c:v>
                </c:pt>
                <c:pt idx="5">
                  <c:v>104.95296955225346</c:v>
                </c:pt>
                <c:pt idx="6">
                  <c:v>109.1167348724741</c:v>
                </c:pt>
                <c:pt idx="7">
                  <c:v>112.65931361744826</c:v>
                </c:pt>
                <c:pt idx="8">
                  <c:v>116.16471047532308</c:v>
                </c:pt>
                <c:pt idx="9">
                  <c:v>119.61082104512946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28-4EB4-95F0-F4FE5143EA61}"/>
            </c:ext>
          </c:extLst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0.55499999999999994</c:v>
                </c:pt>
                <c:pt idx="2">
                  <c:v>0.85999999999999988</c:v>
                </c:pt>
                <c:pt idx="3">
                  <c:v>1.1649999999999998</c:v>
                </c:pt>
                <c:pt idx="4">
                  <c:v>1.4699999999999998</c:v>
                </c:pt>
                <c:pt idx="5">
                  <c:v>1.7749999999999997</c:v>
                </c:pt>
                <c:pt idx="6">
                  <c:v>2.0799999999999996</c:v>
                </c:pt>
                <c:pt idx="7">
                  <c:v>2.3849999999999998</c:v>
                </c:pt>
                <c:pt idx="8">
                  <c:v>2.69</c:v>
                </c:pt>
                <c:pt idx="9">
                  <c:v>2.9950000000000001</c:v>
                </c:pt>
              </c:numCache>
            </c:numRef>
          </c:xVal>
          <c:yVal>
            <c:numRef>
              <c:f>Efficiency!$BB$15:$BB$24</c:f>
              <c:numCache>
                <c:formatCode>0.0</c:formatCode>
                <c:ptCount val="10"/>
                <c:pt idx="0">
                  <c:v>87.645701457493402</c:v>
                </c:pt>
                <c:pt idx="1">
                  <c:v>91.299568106877956</c:v>
                </c:pt>
                <c:pt idx="2">
                  <c:v>95.398476531217682</c:v>
                </c:pt>
                <c:pt idx="3">
                  <c:v>99.918040364984421</c:v>
                </c:pt>
                <c:pt idx="4">
                  <c:v>104.83407778819634</c:v>
                </c:pt>
                <c:pt idx="5">
                  <c:v>110.12234691992104</c:v>
                </c:pt>
                <c:pt idx="6">
                  <c:v>115.4446930291933</c:v>
                </c:pt>
                <c:pt idx="7">
                  <c:v>120.01468705751236</c:v>
                </c:pt>
                <c:pt idx="8">
                  <c:v>124.58775423539615</c:v>
                </c:pt>
                <c:pt idx="9">
                  <c:v>129.15272253713243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28-4EB4-95F0-F4FE5143E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290512"/>
        <c:axId val="-594300848"/>
      </c:scatterChart>
      <c:valAx>
        <c:axId val="-594290512"/>
        <c:scaling>
          <c:orientation val="minMax"/>
          <c:max val="2.5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90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300848"/>
        <c:crosses val="autoZero"/>
        <c:crossBetween val="midCat"/>
        <c:majorUnit val="0.25"/>
        <c:minorUnit val="0.125"/>
      </c:valAx>
      <c:valAx>
        <c:axId val="-594300848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0512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331"/>
          <c:y val="0.10912902623573729"/>
          <c:w val="0.12461751371987591"/>
          <c:h val="0.1578844644419498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Vout </a:t>
            </a:r>
            <a:r>
              <a:rPr lang="en-US" sz="1200" baseline="0"/>
              <a:t>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6268841394825637"/>
          <c:y val="2.0845385958554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5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Dropout!$C$4</c:f>
              <c:strCache>
                <c:ptCount val="1"/>
                <c:pt idx="0">
                  <c:v>3.00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Dropout!$Q$4:$Q$44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4.9908745341851448</c:v>
                </c:pt>
                <c:pt idx="28">
                  <c:v>4.7895165324249236</c:v>
                </c:pt>
                <c:pt idx="29">
                  <c:v>4.5880632188766297</c:v>
                </c:pt>
                <c:pt idx="30">
                  <c:v>4.3865146430466346</c:v>
                </c:pt>
                <c:pt idx="31">
                  <c:v>4.1848708513606221</c:v>
                </c:pt>
                <c:pt idx="32">
                  <c:v>3.9831321981059862</c:v>
                </c:pt>
                <c:pt idx="33">
                  <c:v>3.7813014995093779</c:v>
                </c:pt>
                <c:pt idx="34">
                  <c:v>3.5793794203235771</c:v>
                </c:pt>
                <c:pt idx="35">
                  <c:v>3.3773659605485831</c:v>
                </c:pt>
                <c:pt idx="36">
                  <c:v>3.1752611201843961</c:v>
                </c:pt>
                <c:pt idx="37">
                  <c:v>2.9730648992310167</c:v>
                </c:pt>
                <c:pt idx="38">
                  <c:v>2.7707772976884435</c:v>
                </c:pt>
                <c:pt idx="39">
                  <c:v>2.5683983155566783</c:v>
                </c:pt>
                <c:pt idx="40">
                  <c:v>2.3659279528357207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A9-41C9-BCC2-65FB29E8F87B}"/>
            </c:ext>
          </c:extLst>
        </c:ser>
        <c:ser>
          <c:idx val="1"/>
          <c:order val="1"/>
          <c:tx>
            <c:strRef>
              <c:f>Dropout!$R$4</c:f>
              <c:strCache>
                <c:ptCount val="1"/>
                <c:pt idx="0">
                  <c:v>2.00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Dropout!$AF$4:$AF$44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4.9936842105263155</c:v>
                </c:pt>
                <c:pt idx="29">
                  <c:v>4.9589537992035719</c:v>
                </c:pt>
                <c:pt idx="30">
                  <c:v>4.7557579018219691</c:v>
                </c:pt>
                <c:pt idx="31">
                  <c:v>4.5525260368976159</c:v>
                </c:pt>
                <c:pt idx="32">
                  <c:v>4.3492582193234544</c:v>
                </c:pt>
                <c:pt idx="33">
                  <c:v>4.1459553231735899</c:v>
                </c:pt>
                <c:pt idx="34">
                  <c:v>3.9426182482569341</c:v>
                </c:pt>
                <c:pt idx="35">
                  <c:v>3.7392469946626874</c:v>
                </c:pt>
                <c:pt idx="36">
                  <c:v>3.5358415623908495</c:v>
                </c:pt>
                <c:pt idx="37">
                  <c:v>3.3324019514414194</c:v>
                </c:pt>
                <c:pt idx="38">
                  <c:v>3.1289281618143985</c:v>
                </c:pt>
                <c:pt idx="39">
                  <c:v>2.9254201935097859</c:v>
                </c:pt>
                <c:pt idx="40">
                  <c:v>2.7218780465275811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A9-41C9-BCC2-65FB29E8F87B}"/>
            </c:ext>
          </c:extLst>
        </c:ser>
        <c:ser>
          <c:idx val="2"/>
          <c:order val="2"/>
          <c:tx>
            <c:strRef>
              <c:f>Dropout!$AG$4</c:f>
              <c:strCache>
                <c:ptCount val="1"/>
                <c:pt idx="0">
                  <c:v>1.00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Dropout!$AU$4:$AU$44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4.9936842105263155</c:v>
                </c:pt>
                <c:pt idx="29">
                  <c:v>4.9936842105263155</c:v>
                </c:pt>
                <c:pt idx="30">
                  <c:v>4.9936842105263155</c:v>
                </c:pt>
                <c:pt idx="31">
                  <c:v>4.8237426266832344</c:v>
                </c:pt>
                <c:pt idx="32">
                  <c:v>4.6197369466059204</c:v>
                </c:pt>
                <c:pt idx="33">
                  <c:v>4.4157229050884048</c:v>
                </c:pt>
                <c:pt idx="34">
                  <c:v>4.2117010236878807</c:v>
                </c:pt>
                <c:pt idx="35">
                  <c:v>4.00767133940285</c:v>
                </c:pt>
                <c:pt idx="36">
                  <c:v>3.8036338522333151</c:v>
                </c:pt>
                <c:pt idx="37">
                  <c:v>3.5995885621792731</c:v>
                </c:pt>
                <c:pt idx="38">
                  <c:v>3.3955354692407256</c:v>
                </c:pt>
                <c:pt idx="39">
                  <c:v>3.1914745734176724</c:v>
                </c:pt>
                <c:pt idx="40">
                  <c:v>2.9874058747101127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A9-41C9-BCC2-65FB29E8F87B}"/>
            </c:ext>
          </c:extLst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A9-41C9-BCC2-65FB29E8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4300304"/>
        <c:axId val="-594296496"/>
      </c:scatterChart>
      <c:valAx>
        <c:axId val="-594300304"/>
        <c:scaling>
          <c:orientation val="minMax"/>
          <c:max val="11.4"/>
          <c:min val="3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8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296496"/>
        <c:crosses val="autoZero"/>
        <c:crossBetween val="midCat"/>
        <c:majorUnit val="0.8"/>
        <c:minorUnit val="0.4"/>
      </c:valAx>
      <c:valAx>
        <c:axId val="-594296496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741E-2"/>
              <c:y val="0.307160412479825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43003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942600924884387"/>
          <c:y val="0.11191842651467594"/>
          <c:w val="0.1468136795400575"/>
          <c:h val="0.2152496732887468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Vout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483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Dropout!$C$47</c:f>
              <c:strCache>
                <c:ptCount val="1"/>
                <c:pt idx="0">
                  <c:v>3.00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Dropout!$Q$47:$Q$87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4.8875850539973715</c:v>
                </c:pt>
                <c:pt idx="28">
                  <c:v>4.6901016371707192</c:v>
                </c:pt>
                <c:pt idx="29">
                  <c:v>4.4925256016501836</c:v>
                </c:pt>
                <c:pt idx="30">
                  <c:v>4.2948569926243101</c:v>
                </c:pt>
                <c:pt idx="31">
                  <c:v>4.097095852476512</c:v>
                </c:pt>
                <c:pt idx="32">
                  <c:v>3.8992424978274132</c:v>
                </c:pt>
                <c:pt idx="33">
                  <c:v>3.7012994964281454</c:v>
                </c:pt>
                <c:pt idx="34">
                  <c:v>3.5032674652021552</c:v>
                </c:pt>
                <c:pt idx="35">
                  <c:v>3.3051464041494425</c:v>
                </c:pt>
                <c:pt idx="36">
                  <c:v>3.1069363132700056</c:v>
                </c:pt>
                <c:pt idx="37">
                  <c:v>2.9086371925638463</c:v>
                </c:pt>
                <c:pt idx="38">
                  <c:v>2.7102490420309646</c:v>
                </c:pt>
                <c:pt idx="39">
                  <c:v>2.5117718616713596</c:v>
                </c:pt>
                <c:pt idx="40">
                  <c:v>2.3132056514850312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C4-4B16-B425-49D19F304A76}"/>
            </c:ext>
          </c:extLst>
        </c:ser>
        <c:ser>
          <c:idx val="1"/>
          <c:order val="1"/>
          <c:tx>
            <c:strRef>
              <c:f>Dropout!$R$47</c:f>
              <c:strCache>
                <c:ptCount val="1"/>
                <c:pt idx="0">
                  <c:v>2.00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Dropout!$AF$47:$AF$87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4.9936842105263155</c:v>
                </c:pt>
                <c:pt idx="29">
                  <c:v>4.8541927770322593</c:v>
                </c:pt>
                <c:pt idx="30">
                  <c:v>4.6549237499378568</c:v>
                </c:pt>
                <c:pt idx="31">
                  <c:v>4.4556196407520892</c:v>
                </c:pt>
                <c:pt idx="32">
                  <c:v>4.2562804631790909</c:v>
                </c:pt>
                <c:pt idx="33">
                  <c:v>4.0569070200402857</c:v>
                </c:pt>
                <c:pt idx="34">
                  <c:v>3.8575001410881291</c:v>
                </c:pt>
                <c:pt idx="35">
                  <c:v>3.6580598264221549</c:v>
                </c:pt>
                <c:pt idx="36">
                  <c:v>3.4585860760423657</c:v>
                </c:pt>
                <c:pt idx="37">
                  <c:v>3.2590788899487602</c:v>
                </c:pt>
                <c:pt idx="38">
                  <c:v>3.0595382681413379</c:v>
                </c:pt>
                <c:pt idx="39">
                  <c:v>2.8599642106200993</c:v>
                </c:pt>
                <c:pt idx="40">
                  <c:v>2.6603567173850444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C4-4B16-B425-49D19F304A76}"/>
            </c:ext>
          </c:extLst>
        </c:ser>
        <c:ser>
          <c:idx val="2"/>
          <c:order val="2"/>
          <c:tx>
            <c:strRef>
              <c:f>Dropout!$AG$47</c:f>
              <c:strCache>
                <c:ptCount val="1"/>
                <c:pt idx="0">
                  <c:v>1.00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Dropout!$AU$47:$AU$87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4.9936842105263155</c:v>
                </c:pt>
                <c:pt idx="29">
                  <c:v>4.9936842105263155</c:v>
                </c:pt>
                <c:pt idx="30">
                  <c:v>4.923334362917501</c:v>
                </c:pt>
                <c:pt idx="31">
                  <c:v>4.7232822028318662</c:v>
                </c:pt>
                <c:pt idx="32">
                  <c:v>4.523221720758352</c:v>
                </c:pt>
                <c:pt idx="33">
                  <c:v>4.323153074930099</c:v>
                </c:pt>
                <c:pt idx="34">
                  <c:v>4.1230767471991294</c:v>
                </c:pt>
                <c:pt idx="35">
                  <c:v>3.9229927717679649</c:v>
                </c:pt>
                <c:pt idx="36">
                  <c:v>3.7229011486366037</c:v>
                </c:pt>
                <c:pt idx="37">
                  <c:v>3.5228018778050463</c:v>
                </c:pt>
                <c:pt idx="38">
                  <c:v>3.3226949592732926</c:v>
                </c:pt>
                <c:pt idx="39">
                  <c:v>3.1225803930413436</c:v>
                </c:pt>
                <c:pt idx="40">
                  <c:v>2.9224581791091979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C4-4B16-B425-49D19F304A76}"/>
            </c:ext>
          </c:extLst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C4-4B16-B425-49D19F30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2327504"/>
        <c:axId val="-592330224"/>
      </c:scatterChart>
      <c:valAx>
        <c:axId val="-592327504"/>
        <c:scaling>
          <c:orientation val="minMax"/>
          <c:max val="11.4"/>
          <c:min val="3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90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2330224"/>
        <c:crosses val="autoZero"/>
        <c:crossBetween val="midCat"/>
        <c:majorUnit val="0.8"/>
        <c:minorUnit val="0.4"/>
      </c:valAx>
      <c:valAx>
        <c:axId val="-592330224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741E-2"/>
              <c:y val="0.307160412479825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923275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752124734410044"/>
          <c:y val="0.1202866273514987"/>
          <c:w val="0.15673431446069619"/>
          <c:h val="0.19572387133616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726"/>
          <c:y val="2.17983651226158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11863517060374"/>
          <c:y val="0.12319251646677827"/>
          <c:w val="0.82715987168271365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16527850685331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Constants!$B$45:$B$49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Constants!$C$45:$C$49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4C-4B11-909C-F0C0C6032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2326960"/>
        <c:axId val="-592323152"/>
      </c:scatterChart>
      <c:valAx>
        <c:axId val="-592326960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592323152"/>
        <c:crosses val="autoZero"/>
        <c:crossBetween val="midCat"/>
        <c:majorUnit val="1"/>
        <c:minorUnit val="1"/>
      </c:valAx>
      <c:valAx>
        <c:axId val="-592323152"/>
        <c:scaling>
          <c:orientation val="minMax"/>
          <c:max val="10.5"/>
          <c:min val="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83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592326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6538"/>
          <c:y val="0.14972044025831921"/>
          <c:w val="0.2491294117647059"/>
          <c:h val="0.1240132066287117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28576</xdr:colOff>
      <xdr:row>8</xdr:row>
      <xdr:rowOff>9525</xdr:rowOff>
    </xdr:from>
    <xdr:to>
      <xdr:col>14</xdr:col>
      <xdr:colOff>600076</xdr:colOff>
      <xdr:row>20</xdr:row>
      <xdr:rowOff>58070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7176" y="2124075"/>
          <a:ext cx="3657600" cy="296319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701040</xdr:colOff>
          <xdr:row>72</xdr:row>
          <xdr:rowOff>167640</xdr:rowOff>
        </xdr:from>
        <xdr:to>
          <xdr:col>7</xdr:col>
          <xdr:colOff>289560</xdr:colOff>
          <xdr:row>88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171450</xdr:rowOff>
    </xdr:from>
    <xdr:to>
      <xdr:col>5</xdr:col>
      <xdr:colOff>473075</xdr:colOff>
      <xdr:row>31</xdr:row>
      <xdr:rowOff>95250</xdr:rowOff>
    </xdr:to>
    <xdr:pic>
      <xdr:nvPicPr>
        <xdr:cNvPr id="1025" name="Picture 0" descr="A8600SAA19.png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1</xdr:row>
      <xdr:rowOff>179731</xdr:rowOff>
    </xdr:from>
    <xdr:to>
      <xdr:col>15</xdr:col>
      <xdr:colOff>419099</xdr:colOff>
      <xdr:row>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425" b="10130"/>
        <a:stretch>
          <a:fillRect/>
        </a:stretch>
      </xdr:blipFill>
      <xdr:spPr bwMode="auto">
        <a:xfrm>
          <a:off x="7972425" y="179731"/>
          <a:ext cx="3952874" cy="32111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76200</xdr:rowOff>
    </xdr:from>
    <xdr:to>
      <xdr:col>14</xdr:col>
      <xdr:colOff>219075</xdr:colOff>
      <xdr:row>48</xdr:row>
      <xdr:rowOff>57150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48</xdr:row>
      <xdr:rowOff>133350</xdr:rowOff>
    </xdr:from>
    <xdr:to>
      <xdr:col>14</xdr:col>
      <xdr:colOff>219075</xdr:colOff>
      <xdr:row>72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24</xdr:row>
      <xdr:rowOff>80963</xdr:rowOff>
    </xdr:from>
    <xdr:to>
      <xdr:col>28</xdr:col>
      <xdr:colOff>419100</xdr:colOff>
      <xdr:row>48</xdr:row>
      <xdr:rowOff>61913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285750</xdr:colOff>
      <xdr:row>48</xdr:row>
      <xdr:rowOff>142875</xdr:rowOff>
    </xdr:from>
    <xdr:to>
      <xdr:col>28</xdr:col>
      <xdr:colOff>419100</xdr:colOff>
      <xdr:row>72</xdr:row>
      <xdr:rowOff>123825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38100</xdr:colOff>
      <xdr:row>24</xdr:row>
      <xdr:rowOff>85725</xdr:rowOff>
    </xdr:from>
    <xdr:to>
      <xdr:col>43</xdr:col>
      <xdr:colOff>171450</xdr:colOff>
      <xdr:row>48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48</xdr:row>
      <xdr:rowOff>152400</xdr:rowOff>
    </xdr:from>
    <xdr:to>
      <xdr:col>43</xdr:col>
      <xdr:colOff>171450</xdr:colOff>
      <xdr:row>72</xdr:row>
      <xdr:rowOff>133350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87</xdr:row>
      <xdr:rowOff>66675</xdr:rowOff>
    </xdr:from>
    <xdr:to>
      <xdr:col>14</xdr:col>
      <xdr:colOff>247649</xdr:colOff>
      <xdr:row>111</xdr:row>
      <xdr:rowOff>47625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87</xdr:row>
      <xdr:rowOff>66675</xdr:rowOff>
    </xdr:from>
    <xdr:to>
      <xdr:col>29</xdr:col>
      <xdr:colOff>19050</xdr:colOff>
      <xdr:row>111</xdr:row>
      <xdr:rowOff>47625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107282</xdr:colOff>
      <xdr:row>5</xdr:row>
      <xdr:rowOff>20053</xdr:rowOff>
    </xdr:from>
    <xdr:to>
      <xdr:col>14</xdr:col>
      <xdr:colOff>259682</xdr:colOff>
      <xdr:row>14</xdr:row>
      <xdr:rowOff>150926</xdr:rowOff>
    </xdr:to>
    <xdr:pic>
      <xdr:nvPicPr>
        <xdr:cNvPr id="17" name="Picture 16" descr="82.png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5703" y="1243264"/>
          <a:ext cx="3210426" cy="2206320"/>
        </a:xfrm>
        <a:prstGeom prst="rect">
          <a:avLst/>
        </a:prstGeom>
      </xdr:spPr>
    </xdr:pic>
    <xdr:clientData/>
  </xdr:twoCellAnchor>
  <xdr:twoCellAnchor editAs="oneCell">
    <xdr:from>
      <xdr:col>14</xdr:col>
      <xdr:colOff>335881</xdr:colOff>
      <xdr:row>5</xdr:row>
      <xdr:rowOff>20053</xdr:rowOff>
    </xdr:from>
    <xdr:to>
      <xdr:col>19</xdr:col>
      <xdr:colOff>488281</xdr:colOff>
      <xdr:row>14</xdr:row>
      <xdr:rowOff>150926</xdr:rowOff>
    </xdr:to>
    <xdr:pic>
      <xdr:nvPicPr>
        <xdr:cNvPr id="18" name="Picture 17" descr="82_1.pn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12328" y="1243264"/>
          <a:ext cx="3210427" cy="2206320"/>
        </a:xfrm>
        <a:prstGeom prst="rect">
          <a:avLst/>
        </a:prstGeom>
      </xdr:spPr>
    </xdr:pic>
    <xdr:clientData/>
  </xdr:twoCellAnchor>
  <xdr:twoCellAnchor>
    <xdr:from>
      <xdr:col>7</xdr:col>
      <xdr:colOff>76199</xdr:colOff>
      <xdr:row>35</xdr:row>
      <xdr:rowOff>152400</xdr:rowOff>
    </xdr:from>
    <xdr:to>
      <xdr:col>14</xdr:col>
      <xdr:colOff>123824</xdr:colOff>
      <xdr:row>53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120717</xdr:colOff>
      <xdr:row>16</xdr:row>
      <xdr:rowOff>191405</xdr:rowOff>
    </xdr:from>
    <xdr:to>
      <xdr:col>16</xdr:col>
      <xdr:colOff>149292</xdr:colOff>
      <xdr:row>31</xdr:row>
      <xdr:rowOff>229503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511342</xdr:colOff>
      <xdr:row>14</xdr:row>
      <xdr:rowOff>153402</xdr:rowOff>
    </xdr:from>
    <xdr:to>
      <xdr:col>14</xdr:col>
      <xdr:colOff>139866</xdr:colOff>
      <xdr:row>15</xdr:row>
      <xdr:rowOff>229603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529763" y="3452060"/>
          <a:ext cx="2686550" cy="306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15</xdr:col>
      <xdr:colOff>21054</xdr:colOff>
      <xdr:row>14</xdr:row>
      <xdr:rowOff>194010</xdr:rowOff>
    </xdr:from>
    <xdr:to>
      <xdr:col>19</xdr:col>
      <xdr:colOff>299284</xdr:colOff>
      <xdr:row>16</xdr:row>
      <xdr:rowOff>39606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0709107" y="3492668"/>
          <a:ext cx="2724651" cy="306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93"/>
  <sheetViews>
    <sheetView showGridLines="0" tabSelected="1" workbookViewId="0">
      <selection activeCell="C5" sqref="C5"/>
    </sheetView>
  </sheetViews>
  <sheetFormatPr defaultRowHeight="14.4" x14ac:dyDescent="0.3"/>
  <cols>
    <col min="1" max="1" width="20.6640625" style="4" customWidth="1"/>
    <col min="2" max="4" width="12.6640625" style="6" customWidth="1"/>
    <col min="5" max="5" width="15.6640625" style="5" customWidth="1"/>
    <col min="6" max="6" width="15.6640625" style="6" customWidth="1"/>
    <col min="7" max="8" width="9.109375" style="6"/>
    <col min="9" max="10" width="9.109375" style="6" customWidth="1"/>
    <col min="11" max="11" width="9.109375" style="6"/>
    <col min="12" max="12" width="9.6640625" style="6" bestFit="1" customWidth="1"/>
    <col min="13" max="16" width="9.109375" style="6"/>
  </cols>
  <sheetData>
    <row r="1" spans="1:16" ht="24" customHeight="1" thickBot="1" x14ac:dyDescent="0.35">
      <c r="A1" s="349" t="s">
        <v>325</v>
      </c>
      <c r="B1" s="350"/>
      <c r="C1" s="350"/>
      <c r="D1" s="350"/>
      <c r="E1" s="350"/>
      <c r="F1" s="350"/>
      <c r="G1" s="350"/>
      <c r="H1" s="350"/>
      <c r="I1" s="351"/>
    </row>
    <row r="2" spans="1:16" ht="24" customHeight="1" thickBot="1" x14ac:dyDescent="0.35">
      <c r="A2" s="373" t="s">
        <v>155</v>
      </c>
      <c r="B2" s="374"/>
      <c r="C2" s="374"/>
      <c r="D2" s="374"/>
      <c r="E2" s="374"/>
      <c r="F2" s="374"/>
      <c r="G2" s="374"/>
      <c r="H2" s="374"/>
      <c r="I2" s="375"/>
    </row>
    <row r="3" spans="1:16" s="2" customFormat="1" ht="18" customHeight="1" thickBot="1" x14ac:dyDescent="0.4">
      <c r="A3" s="90" t="s">
        <v>131</v>
      </c>
      <c r="B3" s="42" t="s">
        <v>30</v>
      </c>
      <c r="C3" s="42" t="s">
        <v>31</v>
      </c>
      <c r="D3" s="42" t="s">
        <v>32</v>
      </c>
      <c r="E3" s="43" t="s">
        <v>33</v>
      </c>
      <c r="F3" s="378" t="s">
        <v>35</v>
      </c>
      <c r="G3" s="379"/>
      <c r="H3" s="379"/>
      <c r="I3" s="380"/>
      <c r="J3" s="3"/>
      <c r="K3" s="3"/>
      <c r="L3" s="3"/>
      <c r="M3" s="3"/>
      <c r="N3" s="3"/>
      <c r="O3" s="3"/>
      <c r="P3" s="3"/>
    </row>
    <row r="4" spans="1:16" ht="18" customHeight="1" thickBot="1" x14ac:dyDescent="0.35">
      <c r="A4" s="44" t="s">
        <v>296</v>
      </c>
      <c r="B4" s="249">
        <v>6</v>
      </c>
      <c r="C4" s="249">
        <v>12</v>
      </c>
      <c r="D4" s="249">
        <v>18</v>
      </c>
      <c r="E4" s="23" t="s">
        <v>2</v>
      </c>
      <c r="F4" s="381" t="str">
        <f>IF(B4&lt;Constants!D7,"Vin_min is lower than UVLO Stop_max","Steady-state input operating voltages")</f>
        <v>Steady-state input operating voltages</v>
      </c>
      <c r="G4" s="382"/>
      <c r="H4" s="382"/>
      <c r="I4" s="383"/>
    </row>
    <row r="5" spans="1:16" ht="18" customHeight="1" thickBot="1" x14ac:dyDescent="0.35">
      <c r="A5" s="45" t="s">
        <v>48</v>
      </c>
      <c r="B5" s="283" t="s">
        <v>21</v>
      </c>
      <c r="C5" s="284">
        <v>5</v>
      </c>
      <c r="D5" s="62" t="s">
        <v>21</v>
      </c>
      <c r="E5" s="13" t="s">
        <v>2</v>
      </c>
      <c r="F5" s="384" t="s">
        <v>89</v>
      </c>
      <c r="G5" s="385"/>
      <c r="H5" s="385"/>
      <c r="I5" s="386"/>
    </row>
    <row r="6" spans="1:16" ht="18" customHeight="1" thickBot="1" x14ac:dyDescent="0.4">
      <c r="A6" s="45" t="s">
        <v>73</v>
      </c>
      <c r="B6" s="285" t="s">
        <v>21</v>
      </c>
      <c r="C6" s="313" t="s">
        <v>21</v>
      </c>
      <c r="D6" s="286">
        <v>3</v>
      </c>
      <c r="E6" s="23" t="s">
        <v>66</v>
      </c>
      <c r="F6" s="384" t="s">
        <v>90</v>
      </c>
      <c r="G6" s="385"/>
      <c r="H6" s="385"/>
      <c r="I6" s="386"/>
    </row>
    <row r="7" spans="1:16" ht="18" customHeight="1" thickBot="1" x14ac:dyDescent="0.35">
      <c r="A7" s="45" t="s">
        <v>134</v>
      </c>
      <c r="B7" s="287" t="s">
        <v>21</v>
      </c>
      <c r="C7" s="288" t="s">
        <v>21</v>
      </c>
      <c r="D7" s="58">
        <v>1.6</v>
      </c>
      <c r="E7" s="23" t="s">
        <v>23</v>
      </c>
      <c r="F7" s="384" t="s">
        <v>149</v>
      </c>
      <c r="G7" s="385"/>
      <c r="H7" s="385"/>
      <c r="I7" s="386"/>
    </row>
    <row r="8" spans="1:16" ht="18" customHeight="1" thickBot="1" x14ac:dyDescent="0.35">
      <c r="A8" s="45" t="s">
        <v>133</v>
      </c>
      <c r="B8" s="289" t="s">
        <v>21</v>
      </c>
      <c r="C8" s="60" t="s">
        <v>21</v>
      </c>
      <c r="D8" s="58">
        <v>1.6</v>
      </c>
      <c r="E8" s="23" t="s">
        <v>23</v>
      </c>
      <c r="F8" s="384" t="s">
        <v>149</v>
      </c>
      <c r="G8" s="385"/>
      <c r="H8" s="385"/>
      <c r="I8" s="386"/>
    </row>
    <row r="9" spans="1:16" ht="18" customHeight="1" thickBot="1" x14ac:dyDescent="0.35">
      <c r="A9" s="44" t="s">
        <v>132</v>
      </c>
      <c r="B9" s="58">
        <v>-15</v>
      </c>
      <c r="C9" s="290" t="s">
        <v>21</v>
      </c>
      <c r="D9" s="58">
        <v>15</v>
      </c>
      <c r="E9" s="23" t="s">
        <v>23</v>
      </c>
      <c r="F9" s="384" t="s">
        <v>57</v>
      </c>
      <c r="G9" s="385"/>
      <c r="H9" s="385"/>
      <c r="I9" s="386"/>
    </row>
    <row r="10" spans="1:16" ht="18" customHeight="1" thickBot="1" x14ac:dyDescent="0.35">
      <c r="A10" s="46" t="s">
        <v>69</v>
      </c>
      <c r="B10" s="291" t="s">
        <v>21</v>
      </c>
      <c r="C10" s="292">
        <v>1</v>
      </c>
      <c r="D10" s="62" t="s">
        <v>21</v>
      </c>
      <c r="E10" s="38" t="s">
        <v>36</v>
      </c>
      <c r="F10" s="355" t="s">
        <v>65</v>
      </c>
      <c r="G10" s="356"/>
      <c r="H10" s="356"/>
      <c r="I10" s="357"/>
    </row>
    <row r="11" spans="1:16" ht="18" customHeight="1" thickBot="1" x14ac:dyDescent="0.35">
      <c r="A11" s="39" t="s">
        <v>141</v>
      </c>
      <c r="B11" s="40" t="s">
        <v>21</v>
      </c>
      <c r="C11" s="37">
        <v>37</v>
      </c>
      <c r="D11" s="54" t="s">
        <v>21</v>
      </c>
      <c r="E11" s="41" t="s">
        <v>22</v>
      </c>
      <c r="F11" s="367" t="s">
        <v>275</v>
      </c>
      <c r="G11" s="368"/>
      <c r="H11" s="368"/>
      <c r="I11" s="369"/>
    </row>
    <row r="12" spans="1:16" ht="18" customHeight="1" thickBot="1" x14ac:dyDescent="0.35">
      <c r="A12" s="55" t="s">
        <v>101</v>
      </c>
      <c r="B12" s="56" t="s">
        <v>21</v>
      </c>
      <c r="C12" s="57" t="s">
        <v>21</v>
      </c>
      <c r="D12" s="58">
        <v>85</v>
      </c>
      <c r="E12" s="59" t="s">
        <v>100</v>
      </c>
      <c r="F12" s="358" t="s">
        <v>159</v>
      </c>
      <c r="G12" s="359"/>
      <c r="H12" s="359"/>
      <c r="I12" s="360"/>
    </row>
    <row r="13" spans="1:16" ht="18" customHeight="1" thickBot="1" x14ac:dyDescent="0.35">
      <c r="A13" s="388" t="s">
        <v>234</v>
      </c>
      <c r="B13" s="389"/>
      <c r="C13" s="390"/>
      <c r="D13" s="220" t="s">
        <v>33</v>
      </c>
      <c r="E13" s="389" t="s">
        <v>35</v>
      </c>
      <c r="F13" s="389"/>
      <c r="G13" s="389"/>
      <c r="H13" s="389"/>
      <c r="I13" s="391"/>
    </row>
    <row r="14" spans="1:16" ht="18" customHeight="1" thickBot="1" x14ac:dyDescent="0.35">
      <c r="A14" s="252" t="s">
        <v>227</v>
      </c>
      <c r="B14" s="215">
        <v>0.2</v>
      </c>
      <c r="C14" s="216">
        <v>0.32</v>
      </c>
      <c r="D14" s="217" t="s">
        <v>224</v>
      </c>
      <c r="E14" s="392" t="s">
        <v>241</v>
      </c>
      <c r="F14" s="393"/>
      <c r="G14" s="393"/>
      <c r="H14" s="393"/>
      <c r="I14" s="394"/>
      <c r="M14" s="246"/>
    </row>
    <row r="15" spans="1:16" ht="18" customHeight="1" thickBot="1" x14ac:dyDescent="0.35">
      <c r="A15" s="135" t="s">
        <v>228</v>
      </c>
      <c r="B15" s="215">
        <v>2</v>
      </c>
      <c r="C15" s="216">
        <v>0.46</v>
      </c>
      <c r="D15" s="218" t="s">
        <v>224</v>
      </c>
      <c r="E15" s="384" t="s">
        <v>242</v>
      </c>
      <c r="F15" s="385"/>
      <c r="G15" s="385"/>
      <c r="H15" s="385"/>
      <c r="I15" s="386"/>
    </row>
    <row r="16" spans="1:16" ht="18" customHeight="1" thickBot="1" x14ac:dyDescent="0.35">
      <c r="A16" s="135" t="s">
        <v>229</v>
      </c>
      <c r="B16" s="215">
        <v>4</v>
      </c>
      <c r="C16" s="216">
        <v>0.51</v>
      </c>
      <c r="D16" s="218" t="s">
        <v>224</v>
      </c>
      <c r="E16" s="384" t="s">
        <v>243</v>
      </c>
      <c r="F16" s="385"/>
      <c r="G16" s="385"/>
      <c r="H16" s="385"/>
      <c r="I16" s="386"/>
      <c r="K16" s="244"/>
      <c r="L16" s="245"/>
      <c r="M16" s="245"/>
      <c r="N16" s="245"/>
      <c r="O16" s="245"/>
      <c r="P16" s="245"/>
    </row>
    <row r="17" spans="1:16" ht="18" customHeight="1" thickBot="1" x14ac:dyDescent="0.35">
      <c r="A17" s="135" t="s">
        <v>267</v>
      </c>
      <c r="B17" s="376">
        <v>-1</v>
      </c>
      <c r="C17" s="377"/>
      <c r="D17" s="218" t="s">
        <v>225</v>
      </c>
      <c r="E17" s="385" t="s">
        <v>266</v>
      </c>
      <c r="F17" s="385"/>
      <c r="G17" s="385"/>
      <c r="H17" s="385"/>
      <c r="I17" s="386"/>
      <c r="K17" s="258"/>
      <c r="L17" s="245"/>
      <c r="M17" s="245"/>
      <c r="N17" s="245"/>
      <c r="O17" s="245"/>
      <c r="P17" s="245"/>
    </row>
    <row r="18" spans="1:16" ht="18" customHeight="1" thickBot="1" x14ac:dyDescent="0.35">
      <c r="A18" s="261" t="s">
        <v>268</v>
      </c>
      <c r="B18" s="395">
        <v>57</v>
      </c>
      <c r="C18" s="396"/>
      <c r="D18" s="41" t="s">
        <v>22</v>
      </c>
      <c r="E18" s="257" t="s">
        <v>269</v>
      </c>
      <c r="F18" s="259"/>
      <c r="G18" s="259"/>
      <c r="H18" s="259"/>
      <c r="I18" s="260"/>
    </row>
    <row r="19" spans="1:16" ht="32.1" customHeight="1" thickBot="1" x14ac:dyDescent="0.35">
      <c r="A19" s="370" t="s">
        <v>174</v>
      </c>
      <c r="B19" s="371"/>
      <c r="C19" s="371"/>
      <c r="D19" s="371"/>
      <c r="E19" s="371"/>
      <c r="F19" s="371"/>
      <c r="G19" s="371"/>
      <c r="H19" s="371"/>
      <c r="I19" s="372"/>
    </row>
    <row r="20" spans="1:16" s="2" customFormat="1" ht="18" customHeight="1" x14ac:dyDescent="0.35">
      <c r="A20" s="132" t="s">
        <v>29</v>
      </c>
      <c r="B20" s="243" t="s">
        <v>28</v>
      </c>
      <c r="C20" s="243" t="s">
        <v>33</v>
      </c>
      <c r="D20" s="364" t="s">
        <v>35</v>
      </c>
      <c r="E20" s="365"/>
      <c r="F20" s="365"/>
      <c r="G20" s="365"/>
      <c r="H20" s="365"/>
      <c r="I20" s="366"/>
      <c r="J20" s="3"/>
      <c r="K20" s="3"/>
      <c r="L20" s="3"/>
      <c r="M20" s="3"/>
      <c r="N20" s="3"/>
      <c r="O20" s="3"/>
      <c r="P20" s="3"/>
    </row>
    <row r="21" spans="1:16" s="2" customFormat="1" ht="18" customHeight="1" x14ac:dyDescent="0.35">
      <c r="A21" s="361" t="s">
        <v>252</v>
      </c>
      <c r="B21" s="362"/>
      <c r="C21" s="362"/>
      <c r="D21" s="362"/>
      <c r="E21" s="362"/>
      <c r="F21" s="362"/>
      <c r="G21" s="362"/>
      <c r="H21" s="362"/>
      <c r="I21" s="363"/>
      <c r="J21" s="3"/>
      <c r="K21" s="3"/>
      <c r="L21" s="3"/>
      <c r="M21" s="3"/>
      <c r="N21" s="3"/>
      <c r="O21" s="3"/>
      <c r="P21" s="3"/>
    </row>
    <row r="22" spans="1:16" ht="18" customHeight="1" thickBot="1" x14ac:dyDescent="0.35">
      <c r="A22" s="47" t="s">
        <v>49</v>
      </c>
      <c r="B22" s="397">
        <f>Constants!C5*1000*Design!C5/Constants!C3/1000</f>
        <v>25</v>
      </c>
      <c r="C22" s="397"/>
      <c r="D22" s="16" t="s">
        <v>64</v>
      </c>
      <c r="E22" s="20" t="s">
        <v>87</v>
      </c>
      <c r="F22" s="18"/>
      <c r="G22" s="18"/>
      <c r="H22" s="18"/>
      <c r="I22" s="48"/>
      <c r="K22" s="247" t="s">
        <v>270</v>
      </c>
    </row>
    <row r="23" spans="1:16" ht="18" customHeight="1" thickBot="1" x14ac:dyDescent="0.35">
      <c r="A23" s="95" t="s">
        <v>51</v>
      </c>
      <c r="B23" s="398">
        <v>24.9</v>
      </c>
      <c r="C23" s="399"/>
      <c r="D23" s="96" t="s">
        <v>175</v>
      </c>
      <c r="E23" s="20" t="s">
        <v>91</v>
      </c>
      <c r="F23" s="18"/>
      <c r="G23" s="18"/>
      <c r="H23" s="18"/>
      <c r="I23" s="48"/>
    </row>
    <row r="24" spans="1:16" ht="18" customHeight="1" thickBot="1" x14ac:dyDescent="0.35">
      <c r="A24" s="47" t="s">
        <v>50</v>
      </c>
      <c r="B24" s="397">
        <f>1000/((1/Constants!C5*1000)-(1/Design!B22*1000))</f>
        <v>4.7619047619047619</v>
      </c>
      <c r="C24" s="397"/>
      <c r="D24" s="16" t="s">
        <v>64</v>
      </c>
      <c r="E24" s="20" t="s">
        <v>88</v>
      </c>
      <c r="F24" s="18"/>
      <c r="G24" s="18"/>
      <c r="H24" s="18"/>
      <c r="I24" s="48"/>
    </row>
    <row r="25" spans="1:16" ht="18" customHeight="1" thickBot="1" x14ac:dyDescent="0.35">
      <c r="A25" s="95" t="s">
        <v>52</v>
      </c>
      <c r="B25" s="398">
        <v>4.75</v>
      </c>
      <c r="C25" s="399"/>
      <c r="D25" s="96" t="s">
        <v>175</v>
      </c>
      <c r="E25" s="20" t="s">
        <v>91</v>
      </c>
      <c r="F25" s="18"/>
      <c r="G25" s="18"/>
      <c r="H25" s="18"/>
      <c r="I25" s="48"/>
    </row>
    <row r="26" spans="1:16" ht="18" customHeight="1" x14ac:dyDescent="0.3">
      <c r="A26" s="352" t="s">
        <v>168</v>
      </c>
      <c r="B26" s="353"/>
      <c r="C26" s="353"/>
      <c r="D26" s="353"/>
      <c r="E26" s="353"/>
      <c r="F26" s="353"/>
      <c r="G26" s="353"/>
      <c r="H26" s="353"/>
      <c r="I26" s="354"/>
    </row>
    <row r="27" spans="1:16" ht="18" customHeight="1" x14ac:dyDescent="0.3">
      <c r="A27" s="47" t="s">
        <v>148</v>
      </c>
      <c r="B27" s="309">
        <f>Constants!B3*(1+(1-D7/100)*IF(ISBLANK(B23),B22,B23)/((1+D8/100)*IF(ISBLANK(B25),B24,B25)))</f>
        <v>4.8129836717778698</v>
      </c>
      <c r="C27" s="309">
        <f>Constants!C3*(1+IF(ISBLANK(B23),B22,B23)/IF(ISBLANK(B25),B24,B25))</f>
        <v>4.9936842105263155</v>
      </c>
      <c r="D27" s="309">
        <f>Constants!D3*(1+(1+D7/100)*IF(ISBLANK(B23),B22,B23)/((1-D8/100)*IF(ISBLANK(B25),B24,B25)))</f>
        <v>5.1813648267008983</v>
      </c>
      <c r="E27" s="20" t="s">
        <v>147</v>
      </c>
      <c r="F27" s="18"/>
      <c r="G27" s="18"/>
      <c r="H27" s="18"/>
      <c r="I27" s="48"/>
    </row>
    <row r="28" spans="1:16" ht="18" customHeight="1" thickBot="1" x14ac:dyDescent="0.35">
      <c r="A28" s="47" t="s">
        <v>232</v>
      </c>
      <c r="B28" s="306">
        <f ca="1">MIN(Efficiency!AR4:AR13,Efficiency!AR15:AR24)</f>
        <v>28.930870121261176</v>
      </c>
      <c r="C28" s="306">
        <f ca="1">AVERAGE(Efficiency!X4:X13,Efficiency!X15:X24)</f>
        <v>45.318392460379513</v>
      </c>
      <c r="D28" s="306">
        <f ca="1">MAX(Efficiency!D4:D13,Efficiency!D15:D24)</f>
        <v>80.05</v>
      </c>
      <c r="E28" s="20" t="s">
        <v>233</v>
      </c>
      <c r="F28" s="204"/>
      <c r="G28" s="18"/>
      <c r="H28" s="18"/>
      <c r="I28" s="48"/>
    </row>
    <row r="29" spans="1:16" ht="18" customHeight="1" x14ac:dyDescent="0.3">
      <c r="A29" s="352" t="s">
        <v>135</v>
      </c>
      <c r="B29" s="353"/>
      <c r="C29" s="353"/>
      <c r="D29" s="353"/>
      <c r="E29" s="353"/>
      <c r="F29" s="353"/>
      <c r="G29" s="353"/>
      <c r="H29" s="353"/>
      <c r="I29" s="354"/>
      <c r="L29" s="5"/>
    </row>
    <row r="30" spans="1:16" ht="18" customHeight="1" thickBot="1" x14ac:dyDescent="0.35">
      <c r="A30" s="248" t="s">
        <v>41</v>
      </c>
      <c r="B30" s="310">
        <f ca="1">MIN($B$28/100/Constants!D$19/0.000000001/1000000, Constants!D17)</f>
        <v>2.1430274163897165</v>
      </c>
      <c r="C30" s="293" t="s">
        <v>14</v>
      </c>
      <c r="D30" s="21" t="s">
        <v>185</v>
      </c>
      <c r="E30" s="16"/>
      <c r="F30" s="18"/>
      <c r="G30" s="18"/>
      <c r="H30" s="18"/>
      <c r="I30" s="48"/>
    </row>
    <row r="31" spans="1:16" ht="18" customHeight="1" thickBot="1" x14ac:dyDescent="0.35">
      <c r="A31" s="248" t="s">
        <v>39</v>
      </c>
      <c r="B31" s="311">
        <v>2.1</v>
      </c>
      <c r="C31" s="293" t="s">
        <v>14</v>
      </c>
      <c r="D31" s="87" t="s">
        <v>183</v>
      </c>
      <c r="E31" s="131" t="str">
        <f ca="1">IF(D28&gt;B34," See the DROPOUT tab for operation approaching Vin_min "," ")</f>
        <v xml:space="preserve"> See the DROPOUT tab for operation approaching Vin_min </v>
      </c>
      <c r="F31" s="110"/>
      <c r="G31" s="111"/>
      <c r="H31" s="107"/>
      <c r="I31" s="48"/>
      <c r="M31" s="5"/>
      <c r="N31" s="106"/>
    </row>
    <row r="32" spans="1:16" ht="18" customHeight="1" x14ac:dyDescent="0.3">
      <c r="A32" s="98" t="s">
        <v>176</v>
      </c>
      <c r="B32" s="99">
        <f>(26385/IF(ISBLANK(B31),1000*B30,1000*B31)-2.75)</f>
        <v>9.8142857142857149</v>
      </c>
      <c r="C32" s="297" t="s">
        <v>175</v>
      </c>
      <c r="D32" s="21" t="s">
        <v>84</v>
      </c>
      <c r="E32" s="16"/>
      <c r="F32" s="18"/>
      <c r="G32" s="18"/>
      <c r="H32" s="18"/>
      <c r="I32" s="48"/>
      <c r="L32" s="5"/>
    </row>
    <row r="33" spans="1:14" ht="18" customHeight="1" x14ac:dyDescent="0.35">
      <c r="A33" s="248" t="s">
        <v>311</v>
      </c>
      <c r="B33" s="308">
        <f>100*IF(ISBLANK(B31),B30,B31)*1000000*Constants!C19/1000000000</f>
        <v>19.95</v>
      </c>
      <c r="C33" s="308">
        <f>100*IF(ISBLANK(B31),B30,B31)*1000000*Constants!D19/1000000000</f>
        <v>28.35</v>
      </c>
      <c r="D33" s="20" t="s">
        <v>271</v>
      </c>
      <c r="E33" s="206"/>
      <c r="F33" s="18"/>
      <c r="G33" s="18"/>
      <c r="H33" s="18"/>
      <c r="I33" s="48"/>
      <c r="K33" s="105"/>
      <c r="L33" s="5"/>
      <c r="M33" s="5"/>
      <c r="N33" s="106"/>
    </row>
    <row r="34" spans="1:14" ht="18" customHeight="1" x14ac:dyDescent="0.35">
      <c r="A34" s="248" t="s">
        <v>312</v>
      </c>
      <c r="B34" s="207">
        <f>100*(1-IF(ISBLANK(B31),B30,B31)*1000000*Constants!D20/1000000000)</f>
        <v>72.7</v>
      </c>
      <c r="C34" s="312">
        <f>100*(1-IF(ISBLANK(B31),B30,B31)*1000000*Constants!C20/1000000000)</f>
        <v>80.05</v>
      </c>
      <c r="D34" s="20" t="s">
        <v>272</v>
      </c>
      <c r="E34" s="206"/>
      <c r="F34" s="205"/>
      <c r="G34" s="205"/>
      <c r="H34" s="205"/>
      <c r="I34" s="48"/>
      <c r="K34" s="105"/>
      <c r="L34" s="5"/>
      <c r="M34" s="5"/>
      <c r="N34" s="106"/>
    </row>
    <row r="35" spans="1:14" ht="18" customHeight="1" x14ac:dyDescent="0.3">
      <c r="A35" s="248" t="s">
        <v>313</v>
      </c>
      <c r="B35" s="207">
        <f>100*(1-IF(ISBLANK(B31),B30,B31)/4*1000000*Constants!D20/1000000000)</f>
        <v>93.174999999999997</v>
      </c>
      <c r="C35" s="312">
        <f>100*(1-IF(ISBLANK(B31),B30,B31)/4*1000000*Constants!C20/1000000000)</f>
        <v>95.012500000000003</v>
      </c>
      <c r="D35" s="87" t="s">
        <v>314</v>
      </c>
      <c r="E35" s="206"/>
      <c r="F35" s="205"/>
      <c r="G35" s="205"/>
      <c r="H35" s="205"/>
      <c r="I35" s="48"/>
      <c r="K35" s="105"/>
      <c r="L35" s="5"/>
      <c r="M35" s="5"/>
      <c r="N35" s="106"/>
    </row>
    <row r="36" spans="1:14" ht="18" customHeight="1" thickBot="1" x14ac:dyDescent="0.4">
      <c r="A36" s="76" t="s">
        <v>187</v>
      </c>
      <c r="B36" s="310">
        <f ca="1">MIN(1.5*B30, 1.5*IF(ISBLANK(B31),B30,B31), C28/100/(Constants!C19/1000000000)/1000000)</f>
        <v>3.1500000000000004</v>
      </c>
      <c r="C36" s="78" t="s">
        <v>14</v>
      </c>
      <c r="D36" s="82" t="s">
        <v>250</v>
      </c>
      <c r="E36" s="50"/>
      <c r="F36" s="52"/>
      <c r="G36" s="52"/>
      <c r="H36" s="52"/>
      <c r="I36" s="53"/>
    </row>
    <row r="37" spans="1:14" ht="18" customHeight="1" x14ac:dyDescent="0.3">
      <c r="A37" s="352" t="s">
        <v>139</v>
      </c>
      <c r="B37" s="353"/>
      <c r="C37" s="353"/>
      <c r="D37" s="353"/>
      <c r="E37" s="353"/>
      <c r="F37" s="353"/>
      <c r="G37" s="353"/>
      <c r="H37" s="353"/>
      <c r="I37" s="354"/>
      <c r="K37" s="105"/>
      <c r="L37" s="5"/>
      <c r="M37" s="5"/>
      <c r="N37" s="106"/>
    </row>
    <row r="38" spans="1:14" ht="18" customHeight="1" x14ac:dyDescent="0.3">
      <c r="A38" s="248" t="s">
        <v>301</v>
      </c>
      <c r="B38" s="296">
        <f ca="1">0.4*(C5+Efficiency!C13)/Constants!I56</f>
        <v>0.61093316887920646</v>
      </c>
      <c r="C38" s="307">
        <f ca="1">1.1*(C5+Efficiency!C13)/Constants!G56</f>
        <v>3.146790687322262</v>
      </c>
      <c r="D38" s="293" t="s">
        <v>70</v>
      </c>
      <c r="E38" s="294" t="s">
        <v>302</v>
      </c>
      <c r="F38" s="18"/>
      <c r="G38" s="18"/>
      <c r="H38" s="18"/>
      <c r="I38" s="49"/>
      <c r="J38" s="9"/>
      <c r="L38" s="5"/>
    </row>
    <row r="39" spans="1:14" ht="18" customHeight="1" thickBot="1" x14ac:dyDescent="0.35">
      <c r="A39" s="248" t="s">
        <v>310</v>
      </c>
      <c r="B39" s="397">
        <f ca="1">(C27+Efficiency!C24)*(1-0.18/(D28/100))/(Constants!H56)</f>
        <v>1.5262517298651217</v>
      </c>
      <c r="C39" s="397"/>
      <c r="D39" s="293" t="s">
        <v>70</v>
      </c>
      <c r="E39" s="87" t="s">
        <v>303</v>
      </c>
      <c r="F39" s="18"/>
      <c r="G39" s="18"/>
      <c r="H39" s="18"/>
      <c r="I39" s="49"/>
      <c r="J39" s="9"/>
      <c r="L39" s="5"/>
    </row>
    <row r="40" spans="1:14" ht="18" customHeight="1" thickBot="1" x14ac:dyDescent="0.35">
      <c r="A40" s="98" t="s">
        <v>40</v>
      </c>
      <c r="B40" s="398">
        <v>3.3</v>
      </c>
      <c r="C40" s="399"/>
      <c r="D40" s="297" t="s">
        <v>177</v>
      </c>
      <c r="E40" s="294" t="s">
        <v>323</v>
      </c>
      <c r="F40" s="18"/>
      <c r="G40" s="18"/>
      <c r="H40" s="18"/>
      <c r="I40" s="48"/>
    </row>
    <row r="41" spans="1:14" ht="18" customHeight="1" thickBot="1" x14ac:dyDescent="0.35">
      <c r="A41" s="298" t="s">
        <v>189</v>
      </c>
      <c r="B41" s="415">
        <v>45</v>
      </c>
      <c r="C41" s="416"/>
      <c r="D41" s="299" t="s">
        <v>188</v>
      </c>
      <c r="E41" s="295" t="s">
        <v>190</v>
      </c>
      <c r="F41" s="108"/>
      <c r="G41" s="108"/>
      <c r="H41" s="108"/>
      <c r="I41" s="109"/>
    </row>
    <row r="42" spans="1:14" ht="18" customHeight="1" x14ac:dyDescent="0.3">
      <c r="A42" s="248" t="s">
        <v>46</v>
      </c>
      <c r="B42" s="397">
        <f ca="1">(C4-C5)/(IF(ISBLANK(B40),B38,B40)*0.000001)*(C28/100)/(IF(ISBLANK(B31),B30,B31)*1000000)</f>
        <v>0.45776154000383351</v>
      </c>
      <c r="C42" s="397"/>
      <c r="D42" s="293" t="s">
        <v>67</v>
      </c>
      <c r="E42" s="294" t="s">
        <v>166</v>
      </c>
      <c r="F42" s="18"/>
      <c r="G42" s="18"/>
      <c r="H42" s="18"/>
      <c r="I42" s="48"/>
      <c r="L42" s="5"/>
      <c r="M42" s="5"/>
      <c r="N42" s="5"/>
    </row>
    <row r="43" spans="1:14" ht="18" customHeight="1" x14ac:dyDescent="0.3">
      <c r="A43" s="248" t="s">
        <v>45</v>
      </c>
      <c r="B43" s="397">
        <f ca="1">(D4-(1+Constants!B4/100)*C5)/((1+B9/100)*IF(ISBLANK(B40),B38,B40)*0.000001)*(B28/100)/((1+Constants!B18/100)*IF(ISBLANK(B31),B30,B31)*1000000)</f>
        <v>0.71215960743279372</v>
      </c>
      <c r="C43" s="397"/>
      <c r="D43" s="293" t="s">
        <v>67</v>
      </c>
      <c r="E43" s="294" t="s">
        <v>140</v>
      </c>
      <c r="F43" s="18"/>
      <c r="G43" s="18"/>
      <c r="H43" s="18"/>
      <c r="I43" s="48"/>
    </row>
    <row r="44" spans="1:14" ht="18" customHeight="1" x14ac:dyDescent="0.3">
      <c r="A44" s="248" t="s">
        <v>293</v>
      </c>
      <c r="B44" s="397">
        <f ca="1">D6+B43/2</f>
        <v>3.3560798037163968</v>
      </c>
      <c r="C44" s="397"/>
      <c r="D44" s="293" t="s">
        <v>68</v>
      </c>
      <c r="E44" s="294" t="s">
        <v>299</v>
      </c>
      <c r="F44" s="18"/>
      <c r="G44" s="18"/>
      <c r="H44" s="18"/>
      <c r="I44" s="48"/>
    </row>
    <row r="45" spans="1:14" ht="18" customHeight="1" x14ac:dyDescent="0.3">
      <c r="A45" s="248" t="s">
        <v>308</v>
      </c>
      <c r="B45" s="397">
        <f ca="1">FORECAST(Design!C28,OFFSET(Constants!B30:B31,MATCH(Design!C28,Constants!A30:A31,1)-1,0,2), OFFSET(Constants!A30:A31,MATCH(Design!C28,Constants!A30:A31,1)-1,0,2))-(D6+B42/2)</f>
        <v>0.79906490628868898</v>
      </c>
      <c r="C45" s="397"/>
      <c r="D45" s="293" t="s">
        <v>11</v>
      </c>
      <c r="E45" s="87" t="s">
        <v>306</v>
      </c>
      <c r="F45" s="315"/>
      <c r="G45" s="315"/>
      <c r="H45" s="315"/>
      <c r="I45" s="316"/>
    </row>
    <row r="46" spans="1:14" ht="18" customHeight="1" thickBot="1" x14ac:dyDescent="0.35">
      <c r="A46" s="76" t="s">
        <v>309</v>
      </c>
      <c r="B46" s="414">
        <f ca="1">FORECAST(Design!D28,OFFSET(Constants!B30:B31,MATCH(Design!D28,Constants!A30:A31,1)-1,0,2), OFFSET(Constants!A30:A31,MATCH(Design!D28,Constants!A30:A31,1)-1,0,2))-B44</f>
        <v>6.7925367091357103E-3</v>
      </c>
      <c r="C46" s="414"/>
      <c r="D46" s="78" t="s">
        <v>11</v>
      </c>
      <c r="E46" s="79" t="s">
        <v>307</v>
      </c>
      <c r="F46" s="80"/>
      <c r="G46" s="80"/>
      <c r="H46" s="80"/>
      <c r="I46" s="81"/>
      <c r="N46" s="5"/>
    </row>
    <row r="47" spans="1:14" ht="18" customHeight="1" thickBot="1" x14ac:dyDescent="0.35">
      <c r="A47" s="352" t="s">
        <v>287</v>
      </c>
      <c r="B47" s="353"/>
      <c r="C47" s="353"/>
      <c r="D47" s="353"/>
      <c r="E47" s="353"/>
      <c r="F47" s="353"/>
      <c r="G47" s="353"/>
      <c r="H47" s="353"/>
      <c r="I47" s="354"/>
      <c r="K47" s="403" t="s">
        <v>258</v>
      </c>
      <c r="L47" s="404"/>
      <c r="M47" s="405"/>
    </row>
    <row r="48" spans="1:14" ht="18" customHeight="1" thickBot="1" x14ac:dyDescent="0.35">
      <c r="A48" s="85" t="s">
        <v>156</v>
      </c>
      <c r="B48" s="88">
        <v>100</v>
      </c>
      <c r="C48" s="86" t="s">
        <v>23</v>
      </c>
      <c r="D48" s="87" t="s">
        <v>282</v>
      </c>
      <c r="E48" s="83"/>
      <c r="F48" s="83"/>
      <c r="G48" s="83"/>
      <c r="H48" s="83"/>
      <c r="I48" s="84"/>
      <c r="K48" s="400" t="s">
        <v>260</v>
      </c>
      <c r="L48" s="401"/>
      <c r="M48" s="402"/>
    </row>
    <row r="49" spans="1:13" ht="18" customHeight="1" thickBot="1" x14ac:dyDescent="0.35">
      <c r="A49" s="47" t="s">
        <v>138</v>
      </c>
      <c r="B49" s="103">
        <f>(IF(ISBLANK(B48),Constants!B38,B48))/Constants!B38*Constants!B39*Constants!B35/C5*Constants!B40/(IF(ISBLANK(B31),B30,B31))*D6/Constants!B36</f>
        <v>1.714285714285714</v>
      </c>
      <c r="C49" s="19" t="s">
        <v>130</v>
      </c>
      <c r="D49" s="21" t="s">
        <v>281</v>
      </c>
      <c r="E49" s="100"/>
      <c r="F49" s="101"/>
      <c r="G49" s="101"/>
      <c r="H49" s="101"/>
      <c r="I49" s="102"/>
      <c r="K49" s="406" t="s">
        <v>259</v>
      </c>
      <c r="L49" s="407"/>
      <c r="M49" s="408"/>
    </row>
    <row r="50" spans="1:13" ht="18" customHeight="1" thickBot="1" x14ac:dyDescent="0.35">
      <c r="A50" s="95" t="s">
        <v>121</v>
      </c>
      <c r="B50" s="104">
        <v>2</v>
      </c>
      <c r="C50" s="97" t="s">
        <v>130</v>
      </c>
      <c r="D50" s="21" t="s">
        <v>181</v>
      </c>
      <c r="E50" s="16"/>
      <c r="F50" s="18"/>
      <c r="G50" s="18"/>
      <c r="H50" s="18"/>
      <c r="I50" s="48"/>
      <c r="K50" s="406"/>
      <c r="L50" s="407"/>
      <c r="M50" s="408"/>
    </row>
    <row r="51" spans="1:13" ht="18" customHeight="1" thickBot="1" x14ac:dyDescent="0.35">
      <c r="A51" s="47" t="s">
        <v>124</v>
      </c>
      <c r="B51" s="15">
        <f>IF(ISBLANK(L51), IF(ISBLANK(B50),B49,B50)*(1-Constants!B42/100)*(Constants!C50*$C$5^3+Constants!C51*$C$5^2+Constants!C52*$C$5+Constants!C53), L51*IF(ISBLANK(L54),1,L54))</f>
        <v>15.940799999999998</v>
      </c>
      <c r="C51" s="16" t="s">
        <v>71</v>
      </c>
      <c r="D51" s="21" t="s">
        <v>165</v>
      </c>
      <c r="E51" s="16"/>
      <c r="F51" s="18"/>
      <c r="G51" s="18"/>
      <c r="H51" s="18"/>
      <c r="I51" s="48"/>
      <c r="K51" s="248" t="s">
        <v>253</v>
      </c>
      <c r="L51" s="305"/>
      <c r="M51" s="250" t="s">
        <v>256</v>
      </c>
    </row>
    <row r="52" spans="1:13" ht="18" customHeight="1" thickBot="1" x14ac:dyDescent="0.35">
      <c r="A52" s="348" t="s">
        <v>321</v>
      </c>
      <c r="B52" s="342">
        <f ca="1">IF(ISBLANK(L51), 1000*(B42*Constants!B43/1000/IF(ISBLANK(B50),B49,B50)+B42/(8*(IF(ISBLANK(B31),B30,B31))*1000000*B51/1000000)+(C4-C5)/(IF(ISBLANK(B40),B38,B40)/1000000)*Constants!B44/1000000000),
1000*(B42*L52/1000/IF(ISBLANK(L54),1,L54)+B42/(8*(IF(ISBLANK(B31),B30,B31))*1000000*L51*IF(ISBLANK(L54),1,L54)/1000000)+(C4-C5)/(IF(ISBLANK(B40),B38,B40)/1000000)*L53/1000000000/IF(ISBLANK(L54),1,L54)) )</f>
        <v>6.9007727913571442</v>
      </c>
      <c r="C52" s="343" t="s">
        <v>295</v>
      </c>
      <c r="D52" s="344" t="s">
        <v>322</v>
      </c>
      <c r="E52" s="345"/>
      <c r="F52" s="346"/>
      <c r="G52" s="346"/>
      <c r="H52" s="346"/>
      <c r="I52" s="347"/>
      <c r="K52" s="248" t="s">
        <v>254</v>
      </c>
      <c r="L52" s="305"/>
      <c r="M52" s="250" t="s">
        <v>257</v>
      </c>
    </row>
    <row r="53" spans="1:13" ht="18" customHeight="1" thickBot="1" x14ac:dyDescent="0.35">
      <c r="A53" s="94" t="s">
        <v>173</v>
      </c>
      <c r="B53" s="92"/>
      <c r="C53" s="16"/>
      <c r="D53" s="93"/>
      <c r="E53" s="16"/>
      <c r="F53" s="18"/>
      <c r="G53" s="18"/>
      <c r="H53" s="18"/>
      <c r="I53" s="48"/>
      <c r="K53" s="248" t="s">
        <v>255</v>
      </c>
      <c r="L53" s="305"/>
      <c r="M53" s="250" t="s">
        <v>27</v>
      </c>
    </row>
    <row r="54" spans="1:13" ht="18" customHeight="1" thickBot="1" x14ac:dyDescent="0.4">
      <c r="A54" s="98" t="s">
        <v>178</v>
      </c>
      <c r="B54" s="99">
        <f ca="1">MAX(MAX(D6*SQRT(B28/100*(1-B28/100)),D6*SQRT(C28/100*(1-C28/100)), D6*SQRT(D28/100*(1-D28/100))),IF((B28&lt;50)*AND(D28&gt;50),D6*SQRT(0.5*(1-0.5)),0))</f>
        <v>1.5</v>
      </c>
      <c r="C54" s="96" t="s">
        <v>179</v>
      </c>
      <c r="D54" s="82" t="s">
        <v>171</v>
      </c>
      <c r="E54" s="16"/>
      <c r="F54" s="18"/>
      <c r="G54" s="18"/>
      <c r="H54" s="18"/>
      <c r="I54" s="48"/>
      <c r="K54" s="76" t="s">
        <v>261</v>
      </c>
      <c r="L54" s="305"/>
      <c r="M54" s="251" t="s">
        <v>130</v>
      </c>
    </row>
    <row r="55" spans="1:13" ht="18" customHeight="1" x14ac:dyDescent="0.3">
      <c r="A55" s="352" t="s">
        <v>136</v>
      </c>
      <c r="B55" s="353"/>
      <c r="C55" s="353"/>
      <c r="D55" s="353"/>
      <c r="E55" s="353"/>
      <c r="F55" s="353"/>
      <c r="G55" s="353"/>
      <c r="H55" s="353"/>
      <c r="I55" s="354"/>
    </row>
    <row r="56" spans="1:13" ht="18" customHeight="1" x14ac:dyDescent="0.3">
      <c r="A56" s="98" t="s">
        <v>42</v>
      </c>
      <c r="B56" s="99">
        <f ca="1">IF(AND(B28&lt;50, D28&gt;50), 1000000*D6*0.5*(1-0.5)/((1+Constants!B18/100)*IF(ISBLANK(B31),B30,B31)*1000000*Constants!C9*Constants!B8/1000), MAX(1000000*D6*D28/100*(1-D28/100)/((1+Constants!B18/100)*IF(ISBLANK(B31),B30,B31)*1000000*Constants!C9*Constants!B8/1000), 1000000*D6*C28/100*(1-C28/100)/((1+Constants!B18/100)*IF(ISBLANK(B31),B30,B31)*1000000*Constants!C9*Constants!B8/1000), 1000000*D6*B28/100*(1-B28/100)/((1+Constants!B18/100)*IF(ISBLANK(B31),B30,B31)*1000000*Constants!C9*Constants!B8/1000)))</f>
        <v>1.9841269841269837</v>
      </c>
      <c r="C56" s="297" t="s">
        <v>180</v>
      </c>
      <c r="D56" s="21" t="s">
        <v>76</v>
      </c>
      <c r="E56" s="16"/>
      <c r="F56" s="18"/>
      <c r="G56" s="18"/>
      <c r="H56" s="18"/>
      <c r="I56" s="48"/>
    </row>
    <row r="57" spans="1:13" ht="18" customHeight="1" thickBot="1" x14ac:dyDescent="0.35">
      <c r="A57" s="76" t="s">
        <v>172</v>
      </c>
      <c r="B57" s="77">
        <f ca="1">D6*SQRT(D28/100*(1-D28/100))</f>
        <v>1.1988735337807737</v>
      </c>
      <c r="C57" s="78" t="s">
        <v>72</v>
      </c>
      <c r="D57" s="51" t="s">
        <v>44</v>
      </c>
      <c r="E57" s="50"/>
      <c r="F57" s="52"/>
      <c r="G57" s="52"/>
      <c r="H57" s="52"/>
      <c r="I57" s="53"/>
    </row>
    <row r="58" spans="1:13" ht="18" customHeight="1" x14ac:dyDescent="0.3">
      <c r="A58" s="352" t="s">
        <v>137</v>
      </c>
      <c r="B58" s="353"/>
      <c r="C58" s="353"/>
      <c r="D58" s="353"/>
      <c r="E58" s="353"/>
      <c r="F58" s="353"/>
      <c r="G58" s="353"/>
      <c r="H58" s="353"/>
      <c r="I58" s="354"/>
    </row>
    <row r="59" spans="1:13" ht="18" customHeight="1" thickBot="1" x14ac:dyDescent="0.35">
      <c r="A59" s="248" t="s">
        <v>56</v>
      </c>
      <c r="B59" s="296">
        <f>1000000000*Constants!C28/1000000*C10/1000/Constants!C3</f>
        <v>25</v>
      </c>
      <c r="C59" s="293" t="s">
        <v>15</v>
      </c>
      <c r="D59" s="21" t="s">
        <v>63</v>
      </c>
      <c r="E59" s="16"/>
      <c r="F59" s="18"/>
      <c r="G59" s="18"/>
      <c r="H59" s="18"/>
      <c r="I59" s="48"/>
    </row>
    <row r="60" spans="1:13" ht="18" customHeight="1" thickBot="1" x14ac:dyDescent="0.35">
      <c r="A60" s="98" t="s">
        <v>62</v>
      </c>
      <c r="B60" s="300">
        <v>33</v>
      </c>
      <c r="C60" s="297" t="s">
        <v>15</v>
      </c>
      <c r="D60" s="21" t="s">
        <v>142</v>
      </c>
      <c r="E60" s="16"/>
      <c r="F60" s="18"/>
      <c r="G60" s="18"/>
      <c r="H60" s="18"/>
      <c r="I60" s="48"/>
    </row>
    <row r="61" spans="1:13" ht="18" customHeight="1" x14ac:dyDescent="0.3">
      <c r="A61" s="248" t="s">
        <v>59</v>
      </c>
      <c r="B61" s="296">
        <f>1000*IF(ISBLANK(B60),B59,B60)/1000000000*Constants!C3/(Constants!C28/1000000)</f>
        <v>1.32</v>
      </c>
      <c r="C61" s="293" t="s">
        <v>36</v>
      </c>
      <c r="D61" s="21" t="s">
        <v>61</v>
      </c>
      <c r="E61" s="16"/>
      <c r="F61" s="18"/>
      <c r="G61" s="18"/>
      <c r="H61" s="18"/>
      <c r="I61" s="48"/>
    </row>
    <row r="62" spans="1:13" ht="18" customHeight="1" thickBot="1" x14ac:dyDescent="0.35">
      <c r="A62" s="76" t="s">
        <v>60</v>
      </c>
      <c r="B62" s="77">
        <f>1000*IF(ISBLANK(B60),B59,B60)/1000000000*Constants!C29/1000/(Constants!C28/1000000)</f>
        <v>0.54449999999999998</v>
      </c>
      <c r="C62" s="78" t="s">
        <v>36</v>
      </c>
      <c r="D62" s="51" t="s">
        <v>77</v>
      </c>
      <c r="E62" s="50"/>
      <c r="F62" s="52"/>
      <c r="G62" s="52"/>
      <c r="H62" s="52"/>
      <c r="I62" s="53"/>
    </row>
    <row r="63" spans="1:13" ht="18" customHeight="1" x14ac:dyDescent="0.3">
      <c r="A63" s="352" t="s">
        <v>283</v>
      </c>
      <c r="B63" s="353"/>
      <c r="C63" s="353"/>
      <c r="D63" s="353"/>
      <c r="E63" s="353"/>
      <c r="F63" s="353"/>
      <c r="G63" s="353"/>
      <c r="H63" s="353"/>
      <c r="I63" s="354"/>
    </row>
    <row r="64" spans="1:13" ht="18" customHeight="1" thickBot="1" x14ac:dyDescent="0.35">
      <c r="A64" s="248" t="s">
        <v>74</v>
      </c>
      <c r="B64" s="411">
        <f>1000*IF(ISBLANK(B31),B30,B31)/20</f>
        <v>105</v>
      </c>
      <c r="C64" s="411"/>
      <c r="D64" s="293" t="s">
        <v>17</v>
      </c>
      <c r="E64" s="294" t="s">
        <v>284</v>
      </c>
      <c r="F64" s="18"/>
      <c r="G64" s="18"/>
      <c r="H64" s="18"/>
      <c r="I64" s="48"/>
    </row>
    <row r="65" spans="1:9" ht="18" customHeight="1" thickBot="1" x14ac:dyDescent="0.35">
      <c r="A65" s="248" t="s">
        <v>43</v>
      </c>
      <c r="B65" s="412">
        <v>75</v>
      </c>
      <c r="C65" s="413"/>
      <c r="D65" s="293" t="s">
        <v>17</v>
      </c>
      <c r="E65" s="294" t="s">
        <v>290</v>
      </c>
      <c r="F65" s="18"/>
      <c r="G65" s="18"/>
      <c r="H65" s="18"/>
      <c r="I65" s="48"/>
    </row>
    <row r="66" spans="1:9" ht="18" customHeight="1" x14ac:dyDescent="0.3">
      <c r="A66" s="248" t="s">
        <v>85</v>
      </c>
      <c r="B66" s="409">
        <f ca="1">C5/AVERAGE(B42/2, D6)</f>
        <v>3.0970483930238353</v>
      </c>
      <c r="C66" s="409"/>
      <c r="D66" s="301" t="s">
        <v>78</v>
      </c>
      <c r="E66" s="294" t="s">
        <v>285</v>
      </c>
      <c r="F66" s="18"/>
      <c r="G66" s="18"/>
      <c r="H66" s="18"/>
      <c r="I66" s="48"/>
    </row>
    <row r="67" spans="1:9" ht="18" customHeight="1" x14ac:dyDescent="0.3">
      <c r="A67" s="248" t="s">
        <v>79</v>
      </c>
      <c r="B67" s="397">
        <f ca="1">1/(6.28*B66*B51/1000000)/1000</f>
        <v>3.2253901237943419</v>
      </c>
      <c r="C67" s="397"/>
      <c r="D67" s="301" t="s">
        <v>17</v>
      </c>
      <c r="E67" s="294" t="s">
        <v>286</v>
      </c>
      <c r="F67" s="18"/>
      <c r="G67" s="18"/>
      <c r="H67" s="18"/>
      <c r="I67" s="48"/>
    </row>
    <row r="68" spans="1:9" ht="18" customHeight="1" x14ac:dyDescent="0.3">
      <c r="A68" s="248" t="s">
        <v>80</v>
      </c>
      <c r="B68" s="409">
        <f>IF(ISBLANK(L51), 1/(6.28*Constants!B43/(IF(ISBLANK(B50),B49,B50))/1000*B51/1000000)/1000, 1/(6.28*IF(ISBLANK(L52),Constants!B43,L52)/(IF(ISBLANK(L54),1,L54))/1000*B51/1000000)/1000)</f>
        <v>3329.729766590739</v>
      </c>
      <c r="C68" s="409"/>
      <c r="D68" s="301" t="s">
        <v>17</v>
      </c>
      <c r="E68" s="294" t="s">
        <v>86</v>
      </c>
      <c r="F68" s="18"/>
      <c r="G68" s="18"/>
      <c r="H68" s="18"/>
      <c r="I68" s="48"/>
    </row>
    <row r="69" spans="1:9" ht="18" customHeight="1" thickBot="1" x14ac:dyDescent="0.35">
      <c r="A69" s="248" t="s">
        <v>12</v>
      </c>
      <c r="B69" s="409">
        <f>IF(ISBLANK(B65),B64,B65)*1000*(C5/Constants!C3)*((6.28*B51/1000000)/(Constants!C13*Constants!C11/1000000))/1000</f>
        <v>15.641909999999998</v>
      </c>
      <c r="C69" s="409"/>
      <c r="D69" s="293" t="s">
        <v>64</v>
      </c>
      <c r="E69" s="294" t="s">
        <v>291</v>
      </c>
      <c r="F69" s="18"/>
      <c r="G69" s="18"/>
      <c r="H69" s="18"/>
      <c r="I69" s="48"/>
    </row>
    <row r="70" spans="1:9" ht="18" customHeight="1" thickBot="1" x14ac:dyDescent="0.35">
      <c r="A70" s="98" t="s">
        <v>83</v>
      </c>
      <c r="B70" s="398">
        <v>15.4</v>
      </c>
      <c r="C70" s="399"/>
      <c r="D70" s="297" t="s">
        <v>175</v>
      </c>
      <c r="E70" s="294" t="s">
        <v>292</v>
      </c>
      <c r="F70" s="18"/>
      <c r="G70" s="18"/>
      <c r="H70" s="18"/>
      <c r="I70" s="48"/>
    </row>
    <row r="71" spans="1:9" ht="18" customHeight="1" x14ac:dyDescent="0.3">
      <c r="A71" s="98" t="s">
        <v>324</v>
      </c>
      <c r="B71" s="99">
        <f>4*1000000000/(6.28*IF(ISBLANK(B70),B69,B70)*1000*IF(ISBLANK(B65),B64,B65)*1000)</f>
        <v>0.55146551961838586</v>
      </c>
      <c r="C71" s="99">
        <f ca="1">1000000000/(6.28*IF(ISBLANK(B70),B69,B70)*1000*1.5*B67*1000)</f>
        <v>2.1372047196326558</v>
      </c>
      <c r="D71" s="297" t="s">
        <v>15</v>
      </c>
      <c r="E71" s="294" t="s">
        <v>289</v>
      </c>
      <c r="F71" s="18"/>
      <c r="G71" s="18"/>
      <c r="H71" s="18"/>
      <c r="I71" s="48"/>
    </row>
    <row r="72" spans="1:9" ht="18" customHeight="1" thickBot="1" x14ac:dyDescent="0.35">
      <c r="A72" s="302" t="s">
        <v>13</v>
      </c>
      <c r="B72" s="410">
        <f>IF(B68&gt;10*IF(ISBLANK(B65),B64,B65), MAX(1000000000000/(6.28*IF(ISBLANK(B70),B69,B70)*1000*7.5*IF(ISBLANK(B65),B64,B65)*1000),1000000000000/(6.28*IF(ISBLANK(B70),B69,B70)*1000*IF(ISBLANK(B31),B30,B31)*1000000/2)),
1000000000000/(6.28*IF(ISBLANK(B70),B69,B70)*1000*B68*1000))</f>
        <v>18.382183987279529</v>
      </c>
      <c r="C72" s="410"/>
      <c r="D72" s="303" t="s">
        <v>16</v>
      </c>
      <c r="E72" s="304" t="s">
        <v>288</v>
      </c>
      <c r="F72" s="52"/>
      <c r="G72" s="52"/>
      <c r="H72" s="52"/>
      <c r="I72" s="53"/>
    </row>
    <row r="73" spans="1:9" x14ac:dyDescent="0.3">
      <c r="B73" s="5"/>
      <c r="C73" s="7"/>
    </row>
    <row r="74" spans="1:9" x14ac:dyDescent="0.3">
      <c r="B74" s="8"/>
      <c r="C74" s="10"/>
    </row>
    <row r="93" spans="1:9" x14ac:dyDescent="0.3">
      <c r="A93" s="387"/>
      <c r="B93" s="387"/>
      <c r="C93" s="387"/>
      <c r="D93" s="387"/>
      <c r="E93" s="387"/>
      <c r="F93" s="387"/>
      <c r="G93" s="387"/>
      <c r="H93" s="387"/>
      <c r="I93" s="387"/>
    </row>
  </sheetData>
  <sheetProtection algorithmName="SHA-512" hashValue="y2P3eeKy3Q1eHFQZzodRc6TgxCchfkfnDacxrbifu9FRF8b1z4ja47mZB6wx3JyiBB49knO55oxh4+ARVjbdZA==" saltValue="Yw/SRp56315XWt1y8K5qRQ==" spinCount="100000" sheet="1" objects="1" scenarios="1"/>
  <mergeCells count="54">
    <mergeCell ref="B44:C44"/>
    <mergeCell ref="B46:C46"/>
    <mergeCell ref="B39:C39"/>
    <mergeCell ref="B40:C40"/>
    <mergeCell ref="B41:C41"/>
    <mergeCell ref="B42:C42"/>
    <mergeCell ref="B43:C43"/>
    <mergeCell ref="B45:C45"/>
    <mergeCell ref="K49:M50"/>
    <mergeCell ref="B69:C69"/>
    <mergeCell ref="B70:C70"/>
    <mergeCell ref="B72:C72"/>
    <mergeCell ref="B64:C64"/>
    <mergeCell ref="B65:C65"/>
    <mergeCell ref="B66:C66"/>
    <mergeCell ref="B67:C67"/>
    <mergeCell ref="B68:C68"/>
    <mergeCell ref="K48:M48"/>
    <mergeCell ref="F7:I7"/>
    <mergeCell ref="F8:I8"/>
    <mergeCell ref="F9:I9"/>
    <mergeCell ref="K47:M47"/>
    <mergeCell ref="F3:I3"/>
    <mergeCell ref="F4:I4"/>
    <mergeCell ref="F5:I5"/>
    <mergeCell ref="F6:I6"/>
    <mergeCell ref="A93:I93"/>
    <mergeCell ref="A13:C13"/>
    <mergeCell ref="E13:I13"/>
    <mergeCell ref="E17:I17"/>
    <mergeCell ref="E16:I16"/>
    <mergeCell ref="E15:I15"/>
    <mergeCell ref="E14:I14"/>
    <mergeCell ref="B18:C18"/>
    <mergeCell ref="B22:C22"/>
    <mergeCell ref="B23:C23"/>
    <mergeCell ref="B24:C24"/>
    <mergeCell ref="B25:C25"/>
    <mergeCell ref="A1:I1"/>
    <mergeCell ref="A55:I55"/>
    <mergeCell ref="A58:I58"/>
    <mergeCell ref="A63:I63"/>
    <mergeCell ref="A26:I26"/>
    <mergeCell ref="F10:I10"/>
    <mergeCell ref="F12:I12"/>
    <mergeCell ref="A21:I21"/>
    <mergeCell ref="A29:I29"/>
    <mergeCell ref="A37:I37"/>
    <mergeCell ref="A47:I47"/>
    <mergeCell ref="D20:I20"/>
    <mergeCell ref="F11:I11"/>
    <mergeCell ref="A19:I19"/>
    <mergeCell ref="A2:I2"/>
    <mergeCell ref="B17:C17"/>
  </mergeCells>
  <conditionalFormatting sqref="B46">
    <cfRule type="cellIs" dxfId="5" priority="4" operator="lessThan">
      <formula>0</formula>
    </cfRule>
    <cfRule type="cellIs" dxfId="4" priority="5" operator="lessThan">
      <formula>0</formula>
    </cfRule>
    <cfRule type="cellIs" dxfId="3" priority="6" operator="lessThan">
      <formula>0</formula>
    </cfRule>
  </conditionalFormatting>
  <conditionalFormatting sqref="B45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/>
  <pageMargins left="0.7" right="0.7" top="0.75" bottom="0.75" header="0.3" footer="0.3"/>
  <pageSetup scale="77" fitToHeight="2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autoPict="0" r:id="rId5">
            <anchor moveWithCells="1">
              <from>
                <xdr:col>0</xdr:col>
                <xdr:colOff>701040</xdr:colOff>
                <xdr:row>72</xdr:row>
                <xdr:rowOff>167640</xdr:rowOff>
              </from>
              <to>
                <xdr:col>7</xdr:col>
                <xdr:colOff>289560</xdr:colOff>
                <xdr:row>88</xdr:row>
                <xdr:rowOff>7620</xdr:rowOff>
              </to>
            </anchor>
          </objectPr>
        </oleObject>
      </mc:Choice>
      <mc:Fallback>
        <oleObject progId="Visio.Drawing.11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3"/>
  <sheetViews>
    <sheetView showGridLines="0" workbookViewId="0">
      <selection activeCell="B14" sqref="B14"/>
    </sheetView>
  </sheetViews>
  <sheetFormatPr defaultRowHeight="14.4" x14ac:dyDescent="0.3"/>
  <cols>
    <col min="1" max="1" width="20.6640625" customWidth="1"/>
    <col min="2" max="4" width="12.6640625" customWidth="1"/>
    <col min="5" max="6" width="15.6640625" customWidth="1"/>
  </cols>
  <sheetData>
    <row r="1" spans="1:11" ht="24" customHeight="1" thickBot="1" x14ac:dyDescent="0.35">
      <c r="A1" s="349" t="s">
        <v>320</v>
      </c>
      <c r="B1" s="350"/>
      <c r="C1" s="350"/>
      <c r="D1" s="350"/>
      <c r="E1" s="350"/>
      <c r="F1" s="350"/>
      <c r="G1" s="350"/>
      <c r="H1" s="350"/>
      <c r="I1" s="351"/>
    </row>
    <row r="2" spans="1:11" ht="24" customHeight="1" thickBot="1" x14ac:dyDescent="0.35">
      <c r="A2" s="373" t="s">
        <v>155</v>
      </c>
      <c r="B2" s="374"/>
      <c r="C2" s="374"/>
      <c r="D2" s="374"/>
      <c r="E2" s="374"/>
      <c r="F2" s="374"/>
      <c r="G2" s="374"/>
      <c r="H2" s="374"/>
      <c r="I2" s="375"/>
    </row>
    <row r="3" spans="1:11" ht="18.600000000000001" thickBot="1" x14ac:dyDescent="0.4">
      <c r="A3" s="90" t="s">
        <v>131</v>
      </c>
      <c r="B3" s="43" t="s">
        <v>30</v>
      </c>
      <c r="C3" s="42" t="s">
        <v>31</v>
      </c>
      <c r="D3" s="43" t="s">
        <v>32</v>
      </c>
      <c r="E3" s="43" t="s">
        <v>33</v>
      </c>
      <c r="F3" s="378" t="s">
        <v>35</v>
      </c>
      <c r="G3" s="379"/>
      <c r="H3" s="379"/>
      <c r="I3" s="380"/>
    </row>
    <row r="4" spans="1:11" ht="16.2" thickBot="1" x14ac:dyDescent="0.4">
      <c r="A4" s="44" t="s">
        <v>202</v>
      </c>
      <c r="B4" s="24" t="s">
        <v>21</v>
      </c>
      <c r="C4" s="22">
        <v>263</v>
      </c>
      <c r="D4" s="226" t="s">
        <v>21</v>
      </c>
      <c r="E4" s="133" t="s">
        <v>14</v>
      </c>
      <c r="F4" s="420" t="s">
        <v>199</v>
      </c>
      <c r="G4" s="421"/>
      <c r="H4" s="421"/>
      <c r="I4" s="422"/>
    </row>
    <row r="5" spans="1:11" ht="16.2" thickBot="1" x14ac:dyDescent="0.4">
      <c r="A5" s="44" t="s">
        <v>205</v>
      </c>
      <c r="B5" s="14" t="s">
        <v>21</v>
      </c>
      <c r="C5" s="227">
        <f>1000000000/(C4*1000000)</f>
        <v>3.8022813688212929</v>
      </c>
      <c r="D5" s="14" t="s">
        <v>21</v>
      </c>
      <c r="E5" s="133" t="s">
        <v>4</v>
      </c>
      <c r="F5" s="141" t="s">
        <v>204</v>
      </c>
      <c r="G5" s="142"/>
      <c r="H5" s="142"/>
      <c r="I5" s="143"/>
    </row>
    <row r="6" spans="1:11" ht="16.2" thickBot="1" x14ac:dyDescent="0.35">
      <c r="A6" s="135" t="s">
        <v>198</v>
      </c>
      <c r="B6" s="60" t="s">
        <v>21</v>
      </c>
      <c r="C6" s="61">
        <v>70</v>
      </c>
      <c r="D6" s="218" t="s">
        <v>21</v>
      </c>
      <c r="E6" s="63" t="s">
        <v>16</v>
      </c>
      <c r="F6" s="384" t="s">
        <v>200</v>
      </c>
      <c r="G6" s="385"/>
      <c r="H6" s="385"/>
      <c r="I6" s="386"/>
    </row>
    <row r="7" spans="1:11" s="279" customFormat="1" ht="18.75" customHeight="1" thickBot="1" x14ac:dyDescent="0.35">
      <c r="A7" s="135" t="s">
        <v>213</v>
      </c>
      <c r="B7" s="60" t="s">
        <v>21</v>
      </c>
      <c r="C7" s="61">
        <v>50</v>
      </c>
      <c r="D7" s="218" t="s">
        <v>21</v>
      </c>
      <c r="E7" s="63" t="s">
        <v>16</v>
      </c>
      <c r="F7" s="423" t="s">
        <v>214</v>
      </c>
      <c r="G7" s="424"/>
      <c r="H7" s="424"/>
      <c r="I7" s="425"/>
    </row>
    <row r="8" spans="1:11" ht="16.2" thickBot="1" x14ac:dyDescent="0.35">
      <c r="A8" s="145" t="s">
        <v>211</v>
      </c>
      <c r="B8" s="146" t="s">
        <v>21</v>
      </c>
      <c r="C8" s="262">
        <v>2.5</v>
      </c>
      <c r="D8" s="219" t="s">
        <v>21</v>
      </c>
      <c r="E8" s="134" t="s">
        <v>222</v>
      </c>
      <c r="F8" s="358" t="s">
        <v>210</v>
      </c>
      <c r="G8" s="359"/>
      <c r="H8" s="359"/>
      <c r="I8" s="360"/>
    </row>
    <row r="9" spans="1:11" ht="32.1" customHeight="1" thickBot="1" x14ac:dyDescent="0.35">
      <c r="A9" s="417" t="s">
        <v>174</v>
      </c>
      <c r="B9" s="418"/>
      <c r="C9" s="418"/>
      <c r="D9" s="418"/>
      <c r="E9" s="418"/>
      <c r="F9" s="418"/>
      <c r="G9" s="418"/>
      <c r="H9" s="418"/>
      <c r="I9" s="419"/>
    </row>
    <row r="10" spans="1:11" ht="18" customHeight="1" x14ac:dyDescent="0.3">
      <c r="A10" s="132" t="s">
        <v>29</v>
      </c>
      <c r="B10" s="91" t="s">
        <v>28</v>
      </c>
      <c r="C10" s="91" t="s">
        <v>33</v>
      </c>
      <c r="D10" s="364" t="s">
        <v>35</v>
      </c>
      <c r="E10" s="365"/>
      <c r="F10" s="365"/>
      <c r="G10" s="365"/>
      <c r="H10" s="365"/>
      <c r="I10" s="366"/>
    </row>
    <row r="11" spans="1:11" ht="15.6" x14ac:dyDescent="0.3">
      <c r="A11" s="361" t="s">
        <v>197</v>
      </c>
      <c r="B11" s="362"/>
      <c r="C11" s="362"/>
      <c r="D11" s="362"/>
      <c r="E11" s="362"/>
      <c r="F11" s="362"/>
      <c r="G11" s="362"/>
      <c r="H11" s="362"/>
      <c r="I11" s="363"/>
    </row>
    <row r="12" spans="1:11" ht="15.6" x14ac:dyDescent="0.35">
      <c r="A12" s="47" t="s">
        <v>201</v>
      </c>
      <c r="B12" s="17">
        <f>1000000000*(C5/1000000000)^2/(4*3.14^2*(C6/1000000000000+C7/1000000000000))</f>
        <v>3.0548364892434625</v>
      </c>
      <c r="C12" s="16" t="s">
        <v>27</v>
      </c>
      <c r="D12" s="20" t="s">
        <v>209</v>
      </c>
      <c r="E12" s="16"/>
      <c r="F12" s="18"/>
      <c r="G12" s="18"/>
      <c r="H12" s="18"/>
      <c r="I12" s="48"/>
    </row>
    <row r="13" spans="1:11" ht="16.2" thickBot="1" x14ac:dyDescent="0.4">
      <c r="A13" s="47" t="s">
        <v>244</v>
      </c>
      <c r="B13" s="221">
        <f>SQRT(B12*0.000000001/(C6*0.000000000001+C7*0.000000000001))</f>
        <v>5.0454901390940723</v>
      </c>
      <c r="C13" s="222" t="s">
        <v>78</v>
      </c>
      <c r="D13" s="20" t="s">
        <v>207</v>
      </c>
      <c r="E13" s="100"/>
      <c r="F13" s="101"/>
      <c r="G13" s="101"/>
      <c r="H13" s="101"/>
      <c r="I13" s="102"/>
    </row>
    <row r="14" spans="1:11" ht="16.2" thickBot="1" x14ac:dyDescent="0.4">
      <c r="A14" s="95" t="s">
        <v>247</v>
      </c>
      <c r="B14" s="225">
        <v>5.0999999999999996</v>
      </c>
      <c r="C14" s="97" t="s">
        <v>78</v>
      </c>
      <c r="D14" s="20" t="s">
        <v>246</v>
      </c>
      <c r="E14" s="100"/>
      <c r="F14" s="101"/>
      <c r="G14" s="101"/>
      <c r="H14" s="101"/>
      <c r="I14" s="102"/>
    </row>
    <row r="15" spans="1:11" ht="16.2" thickBot="1" x14ac:dyDescent="0.4">
      <c r="A15" s="47" t="s">
        <v>245</v>
      </c>
      <c r="B15" s="223">
        <f>1000000000000/C8*(C5/1000000000)/B14</f>
        <v>298.21814657421908</v>
      </c>
      <c r="C15" s="224" t="s">
        <v>16</v>
      </c>
      <c r="D15" s="20" t="s">
        <v>208</v>
      </c>
      <c r="E15" s="16"/>
      <c r="F15" s="18"/>
      <c r="G15" s="18"/>
      <c r="H15" s="18"/>
      <c r="I15" s="48"/>
    </row>
    <row r="16" spans="1:11" ht="16.2" thickBot="1" x14ac:dyDescent="0.4">
      <c r="A16" s="95" t="s">
        <v>248</v>
      </c>
      <c r="B16" s="263">
        <v>330</v>
      </c>
      <c r="C16" s="96" t="s">
        <v>16</v>
      </c>
      <c r="D16" s="20" t="s">
        <v>273</v>
      </c>
      <c r="E16" s="16"/>
      <c r="F16" s="18"/>
      <c r="G16" s="18"/>
      <c r="H16" s="18"/>
      <c r="I16" s="48"/>
      <c r="K16" s="12" t="s">
        <v>304</v>
      </c>
    </row>
    <row r="17" spans="1:9" ht="16.2" thickBot="1" x14ac:dyDescent="0.4">
      <c r="A17" s="138" t="s">
        <v>203</v>
      </c>
      <c r="B17" s="144">
        <f>1000*0.5*B16/1000000000000*Design!D4^2*IF(ISBLANK(Design!B31),Design!B30,Design!B31)*1000000</f>
        <v>112.26600000000001</v>
      </c>
      <c r="C17" s="139" t="s">
        <v>206</v>
      </c>
      <c r="D17" s="140" t="s">
        <v>212</v>
      </c>
      <c r="E17" s="136"/>
      <c r="F17" s="136"/>
      <c r="G17" s="136"/>
      <c r="H17" s="136"/>
      <c r="I17" s="137"/>
    </row>
    <row r="33" spans="3:3" x14ac:dyDescent="0.3">
      <c r="C33" s="12" t="s">
        <v>221</v>
      </c>
    </row>
  </sheetData>
  <sheetProtection password="83AF" sheet="1" objects="1" scenarios="1"/>
  <mergeCells count="10">
    <mergeCell ref="A1:I1"/>
    <mergeCell ref="F8:I8"/>
    <mergeCell ref="A9:I9"/>
    <mergeCell ref="D10:I10"/>
    <mergeCell ref="A11:I11"/>
    <mergeCell ref="A2:I2"/>
    <mergeCell ref="F3:I3"/>
    <mergeCell ref="F4:I4"/>
    <mergeCell ref="F6:I6"/>
    <mergeCell ref="F7:I7"/>
  </mergeCells>
  <printOptions horizontalCentered="1"/>
  <pageMargins left="0.7" right="0.7" top="0.75" bottom="0.75" header="0.3" footer="0.3"/>
  <pageSetup scale="77" fitToHeight="2" orientation="portrait" horizontalDpi="4294967293" r:id="rId1"/>
  <ignoredErrors>
    <ignoredError sqref="C5 B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I78"/>
  <sheetViews>
    <sheetView showGridLines="0" topLeftCell="A25" zoomScale="73" zoomScaleNormal="73" workbookViewId="0">
      <selection activeCell="F10" sqref="F10"/>
    </sheetView>
  </sheetViews>
  <sheetFormatPr defaultRowHeight="14.4" x14ac:dyDescent="0.3"/>
  <cols>
    <col min="1" max="5" width="6.6640625" style="1" customWidth="1"/>
    <col min="6" max="20" width="6.6640625" style="155" customWidth="1"/>
    <col min="21" max="61" width="6.6640625" customWidth="1"/>
  </cols>
  <sheetData>
    <row r="1" spans="1:61" ht="24" customHeight="1" thickBot="1" x14ac:dyDescent="0.35">
      <c r="A1" s="426" t="s">
        <v>167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428"/>
    </row>
    <row r="2" spans="1:61" s="209" customFormat="1" ht="18" customHeight="1" x14ac:dyDescent="0.3">
      <c r="A2" s="213"/>
      <c r="B2" s="253" t="s">
        <v>251</v>
      </c>
      <c r="C2" s="254">
        <f>Design!B4</f>
        <v>6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6"/>
      <c r="V2" s="253" t="s">
        <v>251</v>
      </c>
      <c r="W2" s="254">
        <f>Design!C4</f>
        <v>12</v>
      </c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6"/>
      <c r="AP2" s="253" t="s">
        <v>251</v>
      </c>
      <c r="AQ2" s="254">
        <f>Design!D4</f>
        <v>18</v>
      </c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6"/>
    </row>
    <row r="3" spans="1:61" s="158" customFormat="1" ht="16.2" thickBot="1" x14ac:dyDescent="0.35">
      <c r="A3" s="214" t="s">
        <v>194</v>
      </c>
      <c r="B3" s="210" t="s">
        <v>92</v>
      </c>
      <c r="C3" s="208" t="s">
        <v>219</v>
      </c>
      <c r="D3" s="200" t="s">
        <v>217</v>
      </c>
      <c r="E3" s="200" t="s">
        <v>218</v>
      </c>
      <c r="F3" s="200" t="s">
        <v>93</v>
      </c>
      <c r="G3" s="200" t="s">
        <v>94</v>
      </c>
      <c r="H3" s="200" t="s">
        <v>95</v>
      </c>
      <c r="I3" s="200" t="s">
        <v>182</v>
      </c>
      <c r="J3" s="200" t="s">
        <v>235</v>
      </c>
      <c r="K3" s="200" t="s">
        <v>237</v>
      </c>
      <c r="L3" s="200" t="s">
        <v>238</v>
      </c>
      <c r="M3" s="200" t="s">
        <v>249</v>
      </c>
      <c r="N3" s="200" t="s">
        <v>264</v>
      </c>
      <c r="O3" s="200" t="s">
        <v>265</v>
      </c>
      <c r="P3" s="200" t="s">
        <v>111</v>
      </c>
      <c r="Q3" s="200" t="s">
        <v>231</v>
      </c>
      <c r="R3" s="200" t="s">
        <v>236</v>
      </c>
      <c r="S3" s="200" t="s">
        <v>239</v>
      </c>
      <c r="T3" s="200" t="s">
        <v>240</v>
      </c>
      <c r="U3" s="211" t="s">
        <v>226</v>
      </c>
      <c r="V3" s="210" t="s">
        <v>92</v>
      </c>
      <c r="W3" s="208" t="s">
        <v>219</v>
      </c>
      <c r="X3" s="200" t="s">
        <v>217</v>
      </c>
      <c r="Y3" s="200" t="s">
        <v>218</v>
      </c>
      <c r="Z3" s="200" t="s">
        <v>93</v>
      </c>
      <c r="AA3" s="200" t="s">
        <v>94</v>
      </c>
      <c r="AB3" s="200" t="s">
        <v>95</v>
      </c>
      <c r="AC3" s="200" t="s">
        <v>182</v>
      </c>
      <c r="AD3" s="200" t="s">
        <v>235</v>
      </c>
      <c r="AE3" s="200" t="s">
        <v>237</v>
      </c>
      <c r="AF3" s="200" t="s">
        <v>238</v>
      </c>
      <c r="AG3" s="200" t="s">
        <v>249</v>
      </c>
      <c r="AH3" s="200" t="s">
        <v>264</v>
      </c>
      <c r="AI3" s="200" t="s">
        <v>265</v>
      </c>
      <c r="AJ3" s="200" t="s">
        <v>111</v>
      </c>
      <c r="AK3" s="200" t="s">
        <v>231</v>
      </c>
      <c r="AL3" s="200" t="s">
        <v>236</v>
      </c>
      <c r="AM3" s="200" t="s">
        <v>239</v>
      </c>
      <c r="AN3" s="200" t="s">
        <v>240</v>
      </c>
      <c r="AO3" s="211" t="s">
        <v>226</v>
      </c>
      <c r="AP3" s="210" t="s">
        <v>92</v>
      </c>
      <c r="AQ3" s="208" t="s">
        <v>219</v>
      </c>
      <c r="AR3" s="200" t="s">
        <v>217</v>
      </c>
      <c r="AS3" s="200" t="s">
        <v>218</v>
      </c>
      <c r="AT3" s="200" t="s">
        <v>93</v>
      </c>
      <c r="AU3" s="200" t="s">
        <v>94</v>
      </c>
      <c r="AV3" s="200" t="s">
        <v>95</v>
      </c>
      <c r="AW3" s="200" t="s">
        <v>182</v>
      </c>
      <c r="AX3" s="200" t="s">
        <v>235</v>
      </c>
      <c r="AY3" s="200" t="s">
        <v>237</v>
      </c>
      <c r="AZ3" s="200" t="s">
        <v>238</v>
      </c>
      <c r="BA3" s="200" t="s">
        <v>249</v>
      </c>
      <c r="BB3" s="200" t="s">
        <v>264</v>
      </c>
      <c r="BC3" s="200" t="s">
        <v>265</v>
      </c>
      <c r="BD3" s="200" t="s">
        <v>111</v>
      </c>
      <c r="BE3" s="200" t="s">
        <v>231</v>
      </c>
      <c r="BF3" s="200" t="s">
        <v>236</v>
      </c>
      <c r="BG3" s="200" t="s">
        <v>239</v>
      </c>
      <c r="BH3" s="200" t="s">
        <v>240</v>
      </c>
      <c r="BI3" s="211" t="s">
        <v>226</v>
      </c>
    </row>
    <row r="4" spans="1:61" s="120" customFormat="1" ht="12.75" customHeight="1" x14ac:dyDescent="0.25">
      <c r="A4" s="159">
        <v>25</v>
      </c>
      <c r="B4" s="317">
        <v>0.25</v>
      </c>
      <c r="C4" s="318">
        <f ca="1">FORECAST(B4, OFFSET(Design!$C$14:$C$16,MATCH(B4,Design!$B$14:$B$16,1)-1,0,2), OFFSET(Design!$B$14:$B$16,MATCH(B4,Design!$B$14:$B$16,1)-1,0,2))+(N4-25)*Design!$B$17/1000</f>
        <v>0.32297072349333777</v>
      </c>
      <c r="D4" s="164">
        <f ca="1">IF(100*(Design!$C$27+C4+B4*IF(ISBLANK(Design!$B$41),Constants!$C$6,Design!$B$41)/1000*(1+Constants!$C$32/100*(O4-25)))/($C$2+C4-B4*P4/1000)&gt;Design!$C$34,Design!$C$34,100*(Design!$C$27+C4+B4*IF(ISBLANK(Design!$B$41),Constants!$C$6,Design!$B$41)/1000*(1+Constants!$C$32/100*(O4-25)))/($C$2+C4-B4*P4/1000))</f>
        <v>80.05</v>
      </c>
      <c r="E4" s="163">
        <f ca="1">IF(($C$2-B4*IF(ISBLANK(Design!$B$41),Constants!$C$6,Design!$B$41)/1000*(1+Constants!$C$32/100*(O4-25))-Design!$C$27) / (IF(ISBLANK(Design!$B$40),Design!$B$38,Design!$B$40)/1000000) * D4/100/(IF(ISBLANK(Design!$B$31),Design!$B$30,Design!$B$31)*1000000)&lt;0,0,($C$2-B4*IF(ISBLANK(Design!$B$41),Constants!$C$6,Design!$B$41)/1000*(1+Constants!$C$32/100*(O4-25))-Design!$C$27) / (IF(ISBLANK(Design!$B$40),Design!$B$38,Design!$B$40)/1000000) * D4/100/(IF(ISBLANK(Design!$B$31),Design!$B$30,Design!$B$31)*1000000))</f>
        <v>0.11492137025999608</v>
      </c>
      <c r="F4" s="163">
        <f>$C$2*Constants!$C$21/1000+IF(ISBLANK(Design!$B$31),Design!$B$30,Design!$B$31)*1000000*Constants!$D$25/1000000000*($C$2-Constants!$C$24)</f>
        <v>2.5500000000000002E-2</v>
      </c>
      <c r="G4" s="163">
        <f>$C$2*B4*($C$2/(Constants!$C$26*1000000000)*IF(ISBLANK(Design!$B$31),Design!$B$30,Design!$B$31)*1000000/2+$C$2/(Constants!$C$27*1000000000)*IF(ISBLANK(Design!$B$31),Design!$B$30,Design!$B$31)*1000000/2)</f>
        <v>2.6250000000000002E-2</v>
      </c>
      <c r="H4" s="163">
        <f ca="1">IF($D$78,1,D4/100*(B4^2+E4^2/12)*P4/1000)</f>
        <v>6.5309799771608688E-3</v>
      </c>
      <c r="I4" s="163">
        <f>Constants!$D$25/1000000000*Constants!$C$24*IF(ISBLANK(Design!$B$31),Design!$B$30,Design!$B$31)*1000000</f>
        <v>5.2499999999999998E-2</v>
      </c>
      <c r="J4" s="163">
        <f t="shared" ref="J4:J9" ca="1" si="0">SUM(F4:I4)</f>
        <v>0.11078097997716088</v>
      </c>
      <c r="K4" s="163">
        <f t="shared" ref="K4:K9" ca="1" si="1">B4*C4*(1-D4/100)</f>
        <v>1.6108164834230221E-2</v>
      </c>
      <c r="L4" s="163">
        <f ca="1">B4^2*IF(ISBLANK(Design!$B$41),Constants!$C$6,Design!$B$41)/1000*(1+(O4-25)*(Constants!$C$32/100))</f>
        <v>2.8578056127144718E-3</v>
      </c>
      <c r="M4" s="163">
        <f>0.5*Snubber!$B$16/1000000000000*$C$2^2*Design!$B$31*1000000</f>
        <v>1.2473999999999999E-2</v>
      </c>
      <c r="N4" s="164">
        <f ca="1">$A4+K4*Design!$B$18</f>
        <v>25.918165395551121</v>
      </c>
      <c r="O4" s="164">
        <f ca="1">J4*Design!$C$11+A4</f>
        <v>29.098896259154952</v>
      </c>
      <c r="P4" s="164">
        <f ca="1">Constants!$D$22+Constants!$D$22*Constants!$C$23/100*(O4-25)</f>
        <v>128.27911700732398</v>
      </c>
      <c r="Q4" s="163">
        <f ca="1">(1-Constants!$C$20/1000000000*Design!$B$31*1000000) * ($C$2+C4-B4*P4/1000) - (C4+B4*Design!$B$41/1000)</f>
        <v>4.7016454823719886</v>
      </c>
      <c r="R4" s="163">
        <f ca="1">IF(Q4&gt;Design!$C$27,Design!$C$27,Q4)</f>
        <v>4.7016454823719886</v>
      </c>
      <c r="S4" s="163">
        <f t="shared" ref="S4:S9" ca="1" si="2">SUM(J4:M4)</f>
        <v>0.1422209504241056</v>
      </c>
      <c r="T4" s="163">
        <f t="shared" ref="T4:T9" ca="1" si="3">R4*B4</f>
        <v>1.1754113705929972</v>
      </c>
      <c r="U4" s="319">
        <f t="shared" ref="U4:U9" ca="1" si="4">100*T4/(T4+S4)</f>
        <v>89.206325000109061</v>
      </c>
      <c r="V4" s="325">
        <v>0.25</v>
      </c>
      <c r="W4" s="326">
        <f ca="1">FORECAST(V4, OFFSET(Design!$C$14:$C$16,MATCH(V4,Design!$B$14:$B$16,1)-1,0,2), OFFSET(Design!$B$14:$B$16,MATCH(V4,Design!$B$14:$B$16,1)-1,0,2))+(AH4-25)*Design!$B$17/1000</f>
        <v>0.32129511228816593</v>
      </c>
      <c r="X4" s="180">
        <f ca="1">IF(100*(Design!$C$27+W4+V4*IF(ISBLANK(Design!$B$41),Constants!$C$6,Design!$B$41)/1000*(1+Constants!$C$32/100*(AI4-25)))/($W$2+W4-V4*AJ4/1000)&gt;Design!$C$34,Design!$C$34,100*(Design!$C$27+W4+V4*IF(ISBLANK(Design!$B$41),Constants!$C$6,Design!$B$41)/1000*(1+Constants!$C$32/100*(AI4-25)))/($W$2+W4-V4*AJ4/1000))</f>
        <v>43.348216759114507</v>
      </c>
      <c r="Y4" s="179">
        <f ca="1">($W$2-V4*IF(ISBLANK(Design!$B$41),Constants!$C$6,Design!$B$41)/1000*(1+Constants!$C$32/100*(AI4-25))-Design!$C$27) / (IF(ISBLANK(Design!$B$40),Design!$B$38,Design!$B$40)/1000000) * X4/100/(IF(ISBLANK(Design!$B$31),Design!$B$30,Design!$B$31)*1000000)</f>
        <v>0.43752496353641118</v>
      </c>
      <c r="Z4" s="179">
        <f>$W$2*Constants!$C$21/1000+IF(ISBLANK(Design!$B$31),Design!$B$30,Design!$B$31)*1000000*Constants!$D$25/1000000000*($W$2-Constants!$C$24)</f>
        <v>0.10350000000000001</v>
      </c>
      <c r="AA4" s="179">
        <f>$W$2*V4*($W$2/(Constants!$C$26*1000000000)*IF(ISBLANK(Design!$B$31),Design!$B$30,Design!$B$31)*1000000/2+$W$2/(Constants!$C$27*1000000000)*IF(ISBLANK(Design!$B$31),Design!$B$30,Design!$B$31)*1000000/2)</f>
        <v>0.10500000000000001</v>
      </c>
      <c r="AB4" s="179">
        <f t="shared" ref="AB4:AB9" ca="1" si="5">IF($D$78,1,X4/100*(V4^2+Y4^2/12)*AJ4/1000)</f>
        <v>4.5182393628390846E-3</v>
      </c>
      <c r="AC4" s="179">
        <f>Constants!$D$25/1000000000*Constants!$C$24*IF(ISBLANK(Design!$B$31),Design!$B$30,Design!$B$31)*1000000</f>
        <v>5.2499999999999998E-2</v>
      </c>
      <c r="AD4" s="179">
        <f t="shared" ref="AD4:AD9" ca="1" si="6">SUM(Z4:AC4)</f>
        <v>0.26551823936283908</v>
      </c>
      <c r="AE4" s="179">
        <f t="shared" ref="AE4:AE9" ca="1" si="7">V4*W4*(1-X4/100)</f>
        <v>4.550485264426285E-2</v>
      </c>
      <c r="AF4" s="179">
        <f ca="1">V4^2*IF(ISBLANK(Design!$B$41),Constants!$C$6,Design!$B$41)/1000*(1+(AI4-25)*(Constants!$C$32/100))</f>
        <v>2.9210878327099229E-3</v>
      </c>
      <c r="AG4" s="179">
        <f>0.5*Snubber!$B$16/1000000000000*$W$2^2*Design!$B$31*1000000</f>
        <v>4.9895999999999996E-2</v>
      </c>
      <c r="AH4" s="180">
        <f ca="1">$A4+AE4*Design!$B$18</f>
        <v>27.593776600722983</v>
      </c>
      <c r="AI4" s="180">
        <f ca="1">AD4*Design!$C$11+$A4</f>
        <v>34.824174856425046</v>
      </c>
      <c r="AJ4" s="180">
        <f ca="1">Constants!$D$22+Constants!$D$22*Constants!$C$23/100*(AI4-25)</f>
        <v>132.85933988514003</v>
      </c>
      <c r="AK4" s="179">
        <f ca="1">(1-Constants!$C$20/1000000000*Design!$B$31*1000000) * ($W$2+W4-V4*AJ4/1000) - (W4+V4*Design!$B$41/1000)</f>
        <v>9.5040631497039971</v>
      </c>
      <c r="AL4" s="179">
        <f ca="1">IF(AK4&gt;Design!$C$27,Design!$C$27,AK4)</f>
        <v>4.9936842105263155</v>
      </c>
      <c r="AM4" s="179">
        <f t="shared" ref="AM4:AM9" ca="1" si="8">SUM(AD4:AG4)</f>
        <v>0.36384017983981187</v>
      </c>
      <c r="AN4" s="179">
        <f t="shared" ref="AN4:AN9" ca="1" si="9">AL4*V4</f>
        <v>1.2484210526315789</v>
      </c>
      <c r="AO4" s="327">
        <f t="shared" ref="AO4:AO9" ca="1" si="10">100*AN4/(AN4+AM4)</f>
        <v>77.43292634518717</v>
      </c>
      <c r="AP4" s="333">
        <v>0.25</v>
      </c>
      <c r="AQ4" s="334">
        <f ca="1">FORECAST(AP4, OFFSET(Design!$C$14:$C$16,MATCH(AP4,Design!$B$14:$B$16,1)-1,0,2), OFFSET(Design!$B$14:$B$16,MATCH(AP4,Design!$B$14:$B$16,1)-1,0,2))+(BB4-25)*Design!$B$17/1000</f>
        <v>0.32065056655956331</v>
      </c>
      <c r="AR4" s="193">
        <f ca="1">IF(100*(Design!$C$27+AQ4+AP4*IF(ISBLANK(Design!$B$41),Constants!$C$6,Design!$B$41)/1000*(1+Constants!$C$32/100*(BC4-25)))/($AQ$2+AQ4-AP4*BD4/1000)&gt;Design!$C$34,Design!$C$34,100*(Design!$C$27+AQ4+AP4*IF(ISBLANK(Design!$B$41),Constants!$C$6,Design!$B$41)/1000*(1+Constants!$C$32/100*(BC4-25)))/($AQ$2+AQ4-AP4*BD4/1000))</f>
        <v>29.128243179005398</v>
      </c>
      <c r="AS4" s="192">
        <f ca="1">($AQ$2-AP4*IF(ISBLANK(Design!$B$41),Constants!$C$6,Design!$B$41)/1000*(1+Constants!$C$32/100*(BC4-25))-Design!$C$27) / (IF(ISBLANK(Design!$B$40),Design!$B$38,Design!$B$40)/1000000) * AR4/100/(IF(ISBLANK(Design!$B$31),Design!$B$30,Design!$B$31)*1000000)</f>
        <v>0.54617728796057852</v>
      </c>
      <c r="AT4" s="192">
        <f>$AQ$2*Constants!$C$21/1000+IF(ISBLANK(Design!$B$31),Design!$B$30,Design!$B$31)*1000000*Constants!$D$25/1000000000*($AQ$2-Constants!$C$24)</f>
        <v>0.18149999999999999</v>
      </c>
      <c r="AU4" s="192">
        <f>$AQ$2*AP4*($AQ$2/(Constants!$C$26*1000000000)*IF(ISBLANK(Design!$B$31),Design!$B$30,Design!$B$31)*1000000/2+$AQ$2/(Constants!$C$27*1000000000)*IF(ISBLANK(Design!$B$31),Design!$B$30,Design!$B$31)*1000000/2)</f>
        <v>0.23624999999999999</v>
      </c>
      <c r="AV4" s="192">
        <f t="shared" ref="AV4:AV9" ca="1" si="11">IF($D$78,1,AR4/100*(AP4^2+AS4^2/12)*BD4/1000)</f>
        <v>3.5376328390212147E-3</v>
      </c>
      <c r="AW4" s="192">
        <f>Constants!$D$25/1000000000*Constants!$C$24*IF(ISBLANK(Design!$B$31),Design!$B$30,Design!$B$31)*1000000</f>
        <v>5.2499999999999998E-2</v>
      </c>
      <c r="AX4" s="192">
        <f t="shared" ref="AX4:AX9" ca="1" si="12">SUM(AT4:AW4)</f>
        <v>0.47378763283902114</v>
      </c>
      <c r="AY4" s="192">
        <f t="shared" ref="AY4:AY9" ca="1" si="13">AP4*AQ4*(1-AR4/100)</f>
        <v>5.6812672444308786E-2</v>
      </c>
      <c r="AZ4" s="192">
        <f ca="1">AP4^2*IF(ISBLANK(Design!$B$41),Constants!$C$6,Design!$B$41)/1000*(1+(BC4-25)*(Constants!$C$32/100))</f>
        <v>3.006262855381281E-3</v>
      </c>
      <c r="BA4" s="192">
        <f>0.5*Snubber!$B$16/1000000000000*$AQ$2^2*Design!$B$31*1000000</f>
        <v>0.11226599999999999</v>
      </c>
      <c r="BB4" s="193">
        <f ca="1">$A4+AY4*Design!$B$18</f>
        <v>28.238322329325602</v>
      </c>
      <c r="BC4" s="193">
        <f ca="1">AX4*Design!$C$11+$A4</f>
        <v>42.530142415043784</v>
      </c>
      <c r="BD4" s="193">
        <f ca="1">Constants!$D$22+Constants!$D$22*Constants!$C$23/100*(BC4-25)</f>
        <v>139.02411393203502</v>
      </c>
      <c r="BE4" s="192">
        <f ca="1">(1-Constants!$C$20/1000000000*Design!$B$31*1000000) * ($AQ$2+AQ4-AP4*BD4/1000) - (AQ4+AP4*Design!$B$41/1000)</f>
        <v>14.30595801117072</v>
      </c>
      <c r="BF4" s="192">
        <f ca="1">IF(BE4&gt;Design!$C$27,Design!$C$27,BE4)</f>
        <v>4.9936842105263155</v>
      </c>
      <c r="BG4" s="192">
        <f t="shared" ref="BG4:BG9" ca="1" si="14">SUM(AX4:BA4)</f>
        <v>0.64587256813871119</v>
      </c>
      <c r="BH4" s="192">
        <f t="shared" ref="BH4:BH9" ca="1" si="15">BF4*AP4</f>
        <v>1.2484210526315789</v>
      </c>
      <c r="BI4" s="335">
        <f t="shared" ref="BI4:BI9" ca="1" si="16">100*BH4/(BH4+BG4)</f>
        <v>65.904305380278089</v>
      </c>
    </row>
    <row r="5" spans="1:61" s="120" customFormat="1" ht="13.2" x14ac:dyDescent="0.25">
      <c r="A5" s="112">
        <v>25</v>
      </c>
      <c r="B5" s="320">
        <f>B4+0.305</f>
        <v>0.55499999999999994</v>
      </c>
      <c r="C5" s="321">
        <f ca="1">FORECAST(B5, OFFSET(Design!$C$14:$C$16,MATCH(B5,Design!$B$14:$B$16,1)-1,0,2), OFFSET(Design!$B$14:$B$16,MATCH(B5,Design!$B$14:$B$16,1)-1,0,2))+(N5-25)*Design!$B$17/1000</f>
        <v>0.3454310328218092</v>
      </c>
      <c r="D5" s="166">
        <f ca="1">IF(100*(Design!$C$27+C5+B5*IF(ISBLANK(Design!$B$41),Constants!$C$6,Design!$B$41)/1000*(1+Constants!$C$32/100*(O5-25)))/($C$2+C5-B5*P5/1000)&gt;Design!$C$34,Design!$C$34,100*(Design!$C$27+C5+B5*IF(ISBLANK(Design!$B$41),Constants!$C$6,Design!$B$41)/1000*(1+Constants!$C$32/100*(O5-25)))/($C$2+C5-B5*P5/1000))</f>
        <v>80.05</v>
      </c>
      <c r="E5" s="165">
        <f ca="1">IF(($C$2-B5*IF(ISBLANK(Design!$B$41),Constants!$C$6,Design!$B$41)/1000*(1+Constants!$C$32/100*(O5-25))-Design!$C$27) / (IF(ISBLANK(Design!$B$40),Design!$B$38,Design!$B$40)/1000000) * D5/100/(IF(ISBLANK(Design!$B$31),Design!$B$30,Design!$B$31)*1000000)&lt;0,0,($C$2-B5*IF(ISBLANK(Design!$B$41),Constants!$C$6,Design!$B$41)/1000*(1+Constants!$C$32/100*(O5-25))-Design!$C$27) / (IF(ISBLANK(Design!$B$40),Design!$B$38,Design!$B$40)/1000000) * D5/100/(IF(ISBLANK(Design!$B$31),Design!$B$30,Design!$B$31)*1000000))</f>
        <v>0.11328623901218525</v>
      </c>
      <c r="F5" s="165">
        <f>$C$2*Constants!$C$21/1000+IF(ISBLANK(Design!$B$31),Design!$B$30,Design!$B$31)*1000000*Constants!$D$25/1000000000*($C$2-Constants!$C$24)</f>
        <v>2.5500000000000002E-2</v>
      </c>
      <c r="G5" s="165">
        <f>$C$2*B5*($C$2/(Constants!$C$26*1000000000)*IF(ISBLANK(Design!$B$31),Design!$B$30,Design!$B$31)*1000000/2+$C$2/(Constants!$C$27*1000000000)*IF(ISBLANK(Design!$B$31),Design!$B$30,Design!$B$31)*1000000/2)</f>
        <v>5.8275E-2</v>
      </c>
      <c r="H5" s="165">
        <f t="shared" ref="H5:H9" ca="1" si="17">IF($D$78,1,D5/100*(B5^2+E5^2/12)*P5/1000)</f>
        <v>3.2162390483353287E-2</v>
      </c>
      <c r="I5" s="165">
        <f>Constants!$D$25/1000000000*Constants!$C$24*IF(ISBLANK(Design!$B$31),Design!$B$30,Design!$B$31)*1000000</f>
        <v>5.2499999999999998E-2</v>
      </c>
      <c r="J5" s="165">
        <f t="shared" ca="1" si="0"/>
        <v>0.16843739048335329</v>
      </c>
      <c r="K5" s="165">
        <f t="shared" ca="1" si="1"/>
        <v>3.8246987531612771E-2</v>
      </c>
      <c r="L5" s="165">
        <f ca="1">B5^2*IF(ISBLANK(Design!$B$41),Constants!$C$6,Design!$B$41)/1000*(1+(O5-25)*(Constants!$C$32/100))</f>
        <v>1.4200618340010622E-2</v>
      </c>
      <c r="M5" s="165">
        <f>0.5*Snubber!$B$16/1000000000000*$C$2^2*Design!$B$31*1000000</f>
        <v>1.2473999999999999E-2</v>
      </c>
      <c r="N5" s="166">
        <f ca="1">$A5+K5*Design!$B$18</f>
        <v>27.180078289301928</v>
      </c>
      <c r="O5" s="166">
        <f ca="1">J5*Design!$C$11+A5</f>
        <v>31.232183447884072</v>
      </c>
      <c r="P5" s="166">
        <f ca="1">Constants!$D$22+Constants!$D$22*Constants!$C$23/100*(O5-25)</f>
        <v>129.98574675830724</v>
      </c>
      <c r="Q5" s="165">
        <f ca="1">(1-Constants!$C$20/1000000000*Design!$B$31*1000000) * ($C$2+C5-B5*P5/1000) - (C5+B5*Design!$B$41/1000)</f>
        <v>4.6513617663466347</v>
      </c>
      <c r="R5" s="165">
        <f ca="1">IF(Q5&gt;Design!$C$27,Design!$C$27,Q5)</f>
        <v>4.6513617663466347</v>
      </c>
      <c r="S5" s="165">
        <f t="shared" ca="1" si="2"/>
        <v>0.2333589963549767</v>
      </c>
      <c r="T5" s="165">
        <f t="shared" ca="1" si="3"/>
        <v>2.5815057803223818</v>
      </c>
      <c r="U5" s="322">
        <f t="shared" ca="1" si="4"/>
        <v>91.709761751666392</v>
      </c>
      <c r="V5" s="328">
        <f>V4+0.305</f>
        <v>0.55499999999999994</v>
      </c>
      <c r="W5" s="329">
        <f ca="1">FORECAST(V5, OFFSET(Design!$C$14:$C$16,MATCH(V5,Design!$B$14:$B$16,1)-1,0,2), OFFSET(Design!$B$14:$B$16,MATCH(V5,Design!$B$14:$B$16,1)-1,0,2))+(AH5-25)*Design!$B$17/1000</f>
        <v>0.34152976787062328</v>
      </c>
      <c r="X5" s="184">
        <f ca="1">IF(100*(Design!$C$27+W5+V5*IF(ISBLANK(Design!$B$41),Constants!$C$6,Design!$B$41)/1000*(1+Constants!$C$32/100*(AI5-25)))/($W$2+W5-V5*AJ5/1000)&gt;Design!$C$34,Design!$C$34,100*(Design!$C$27+W5+V5*IF(ISBLANK(Design!$B$41),Constants!$C$6,Design!$B$41)/1000*(1+Constants!$C$32/100*(AI5-25)))/($W$2+W5-V5*AJ5/1000))</f>
        <v>43.713646405702399</v>
      </c>
      <c r="Y5" s="183">
        <f ca="1">($W$2-V5*IF(ISBLANK(Design!$B$41),Constants!$C$6,Design!$B$41)/1000*(1+Constants!$C$32/100*(AI5-25))-Design!$C$27) / (IF(ISBLANK(Design!$B$40),Design!$B$38,Design!$B$40)/1000000) * X5/100/(IF(ISBLANK(Design!$B$31),Design!$B$30,Design!$B$31)*1000000)</f>
        <v>0.44028139757696416</v>
      </c>
      <c r="Z5" s="183">
        <f>$W$2*Constants!$C$21/1000+IF(ISBLANK(Design!$B$31),Design!$B$30,Design!$B$31)*1000000*Constants!$D$25/1000000000*($W$2-Constants!$C$24)</f>
        <v>0.10350000000000001</v>
      </c>
      <c r="AA5" s="183">
        <f>$W$2*V5*($W$2/(Constants!$C$26*1000000000)*IF(ISBLANK(Design!$B$31),Design!$B$30,Design!$B$31)*1000000/2+$W$2/(Constants!$C$27*1000000000)*IF(ISBLANK(Design!$B$31),Design!$B$30,Design!$B$31)*1000000/2)</f>
        <v>0.2331</v>
      </c>
      <c r="AB5" s="183">
        <f t="shared" ca="1" si="5"/>
        <v>1.9427427537739052E-2</v>
      </c>
      <c r="AC5" s="183">
        <f>Constants!$D$25/1000000000*Constants!$C$24*IF(ISBLANK(Design!$B$31),Design!$B$30,Design!$B$31)*1000000</f>
        <v>5.2499999999999998E-2</v>
      </c>
      <c r="AD5" s="183">
        <f t="shared" ca="1" si="6"/>
        <v>0.40852742753773907</v>
      </c>
      <c r="AE5" s="183">
        <f t="shared" ca="1" si="7"/>
        <v>0.10669023228926075</v>
      </c>
      <c r="AF5" s="183">
        <f ca="1">V5^2*IF(ISBLANK(Design!$B$41),Constants!$C$6,Design!$B$41)/1000*(1+(AI5-25)*(Constants!$C$32/100))</f>
        <v>1.4684530898552213E-2</v>
      </c>
      <c r="AG5" s="183">
        <f>0.5*Snubber!$B$16/1000000000000*$W$2^2*Design!$B$31*1000000</f>
        <v>4.9895999999999996E-2</v>
      </c>
      <c r="AH5" s="184">
        <f ca="1">$A5+AE5*Design!$B$18</f>
        <v>31.081343240487861</v>
      </c>
      <c r="AI5" s="184">
        <f ca="1">AD5*Design!$C$11+$A5</f>
        <v>40.115514818896344</v>
      </c>
      <c r="AJ5" s="184">
        <f ca="1">Constants!$D$22+Constants!$D$22*Constants!$C$23/100*(AI5-25)</f>
        <v>137.09241185511706</v>
      </c>
      <c r="AK5" s="183">
        <f ca="1">(1-Constants!$C$20/1000000000*Design!$B$31*1000000) * ($W$2+W5-V5*AJ5/1000) - (W5+V5*Design!$B$41/1000)</f>
        <v>9.451982737301849</v>
      </c>
      <c r="AL5" s="183">
        <f ca="1">IF(AK5&gt;Design!$C$27,Design!$C$27,AK5)</f>
        <v>4.9936842105263155</v>
      </c>
      <c r="AM5" s="183">
        <f t="shared" ca="1" si="8"/>
        <v>0.57979819072555205</v>
      </c>
      <c r="AN5" s="183">
        <f t="shared" ca="1" si="9"/>
        <v>2.7714947368421048</v>
      </c>
      <c r="AO5" s="330">
        <f t="shared" ca="1" si="10"/>
        <v>82.69926851346996</v>
      </c>
      <c r="AP5" s="336">
        <f>AP4+0.305</f>
        <v>0.55499999999999994</v>
      </c>
      <c r="AQ5" s="337">
        <f ca="1">FORECAST(AP5, OFFSET(Design!$C$14:$C$16,MATCH(AP5,Design!$B$14:$B$16,1)-1,0,2), OFFSET(Design!$B$14:$B$16,MATCH(AP5,Design!$B$14:$B$16,1)-1,0,2))+(BB5-25)*Design!$B$17/1000</f>
        <v>0.34001340253937057</v>
      </c>
      <c r="AR5" s="196">
        <f ca="1">IF(100*(Design!$C$27+AQ5+AP5*IF(ISBLANK(Design!$B$41),Constants!$C$6,Design!$B$41)/1000*(1+Constants!$C$32/100*(BC5-25)))/($AQ$2+AQ5-AP5*BD5/1000)&gt;Design!$C$34,Design!$C$34,100*(Design!$C$27+AQ5+AP5*IF(ISBLANK(Design!$B$41),Constants!$C$6,Design!$B$41)/1000*(1+Constants!$C$32/100*(BC5-25)))/($AQ$2+AQ5-AP5*BD5/1000))</f>
        <v>29.365194100928626</v>
      </c>
      <c r="AS5" s="195">
        <f ca="1">($AQ$2-AP5*IF(ISBLANK(Design!$B$41),Constants!$C$6,Design!$B$41)/1000*(1+Constants!$C$32/100*(BC5-25))-Design!$C$27) / (IF(ISBLANK(Design!$B$40),Design!$B$38,Design!$B$40)/1000000) * AR5/100/(IF(ISBLANK(Design!$B$31),Design!$B$30,Design!$B$31)*1000000)</f>
        <v>0.54995261571937204</v>
      </c>
      <c r="AT5" s="195">
        <f>$AQ$2*Constants!$C$21/1000+IF(ISBLANK(Design!$B$31),Design!$B$30,Design!$B$31)*1000000*Constants!$D$25/1000000000*($AQ$2-Constants!$C$24)</f>
        <v>0.18149999999999999</v>
      </c>
      <c r="AU5" s="195">
        <f>$AQ$2*AP5*($AQ$2/(Constants!$C$26*1000000000)*IF(ISBLANK(Design!$B$31),Design!$B$30,Design!$B$31)*1000000/2+$AQ$2/(Constants!$C$27*1000000000)*IF(ISBLANK(Design!$B$31),Design!$B$30,Design!$B$31)*1000000/2)</f>
        <v>0.52447499999999991</v>
      </c>
      <c r="AV5" s="195">
        <f t="shared" ca="1" si="11"/>
        <v>1.4470472220440581E-2</v>
      </c>
      <c r="AW5" s="195">
        <f>Constants!$D$25/1000000000*Constants!$C$24*IF(ISBLANK(Design!$B$31),Design!$B$30,Design!$B$31)*1000000</f>
        <v>5.2499999999999998E-2</v>
      </c>
      <c r="AX5" s="195">
        <f t="shared" ca="1" si="12"/>
        <v>0.77294547222044052</v>
      </c>
      <c r="AY5" s="195">
        <f t="shared" ca="1" si="13"/>
        <v>0.13329313283755448</v>
      </c>
      <c r="AZ5" s="195">
        <f ca="1">AP5^2*IF(ISBLANK(Design!$B$41),Constants!$C$6,Design!$B$41)/1000*(1+(BC5-25)*(Constants!$C$32/100))</f>
        <v>1.5419032298713111E-2</v>
      </c>
      <c r="BA5" s="195">
        <f>0.5*Snubber!$B$16/1000000000000*$AQ$2^2*Design!$B$31*1000000</f>
        <v>0.11226599999999999</v>
      </c>
      <c r="BB5" s="196">
        <f ca="1">$A5+AY5*Design!$B$18</f>
        <v>32.597708571740604</v>
      </c>
      <c r="BC5" s="196">
        <f ca="1">AX5*Design!$C$11+$A5</f>
        <v>53.598982472156301</v>
      </c>
      <c r="BD5" s="196">
        <f ca="1">Constants!$D$22+Constants!$D$22*Constants!$C$23/100*(BC5-25)</f>
        <v>147.87918597772506</v>
      </c>
      <c r="BE5" s="195">
        <f ca="1">(1-Constants!$C$20/1000000000*Design!$B$31*1000000) * ($AQ$2+AQ5-AP5*BD5/1000) - (AQ5+AP5*Design!$B$41/1000)</f>
        <v>14.250492931145176</v>
      </c>
      <c r="BF5" s="195">
        <f ca="1">IF(BE5&gt;Design!$C$27,Design!$C$27,BE5)</f>
        <v>4.9936842105263155</v>
      </c>
      <c r="BG5" s="195">
        <f t="shared" ca="1" si="14"/>
        <v>1.0339236373567082</v>
      </c>
      <c r="BH5" s="195">
        <f t="shared" ca="1" si="15"/>
        <v>2.7714947368421048</v>
      </c>
      <c r="BI5" s="338">
        <f t="shared" ca="1" si="16"/>
        <v>72.830224283173891</v>
      </c>
    </row>
    <row r="6" spans="1:61" s="120" customFormat="1" ht="13.2" x14ac:dyDescent="0.25">
      <c r="A6" s="112">
        <v>25</v>
      </c>
      <c r="B6" s="320">
        <f t="shared" ref="B6:B13" si="18">B5+0.305</f>
        <v>0.85999999999999988</v>
      </c>
      <c r="C6" s="321">
        <f ca="1">FORECAST(B6, OFFSET(Design!$C$14:$C$16,MATCH(B6,Design!$B$14:$B$16,1)-1,0,2), OFFSET(Design!$B$14:$B$16,MATCH(B6,Design!$B$14:$B$16,1)-1,0,2))+(N6-25)*Design!$B$17/1000</f>
        <v>0.36773705250572414</v>
      </c>
      <c r="D6" s="166">
        <f ca="1">IF(100*(Design!$C$27+C6+B6*IF(ISBLANK(Design!$B$41),Constants!$C$6,Design!$B$41)/1000*(1+Constants!$C$32/100*(O6-25)))/($C$2+C6-B6*P6/1000)&gt;Design!$C$34,Design!$C$34,100*(Design!$C$27+C6+B6*IF(ISBLANK(Design!$B$41),Constants!$C$6,Design!$B$41)/1000*(1+Constants!$C$32/100*(O6-25)))/($C$2+C6-B6*P6/1000))</f>
        <v>80.05</v>
      </c>
      <c r="E6" s="165">
        <f ca="1">IF(($C$2-B6*IF(ISBLANK(Design!$B$41),Constants!$C$6,Design!$B$41)/1000*(1+Constants!$C$32/100*(O6-25))-Design!$C$27) / (IF(ISBLANK(Design!$B$40),Design!$B$38,Design!$B$40)/1000000) * D6/100/(IF(ISBLANK(Design!$B$31),Design!$B$30,Design!$B$31)*1000000)&lt;0,0,($C$2-B6*IF(ISBLANK(Design!$B$41),Constants!$C$6,Design!$B$41)/1000*(1+Constants!$C$32/100*(O6-25))-Design!$C$27) / (IF(ISBLANK(Design!$B$40),Design!$B$38,Design!$B$40)/1000000) * D6/100/(IF(ISBLANK(Design!$B$31),Design!$B$30,Design!$B$31)*1000000))</f>
        <v>0.11161110347116715</v>
      </c>
      <c r="F6" s="165">
        <f>$C$2*Constants!$C$21/1000+IF(ISBLANK(Design!$B$31),Design!$B$30,Design!$B$31)*1000000*Constants!$D$25/1000000000*($C$2-Constants!$C$24)</f>
        <v>2.5500000000000002E-2</v>
      </c>
      <c r="G6" s="165">
        <f>$C$2*B6*($C$2/(Constants!$C$26*1000000000)*IF(ISBLANK(Design!$B$31),Design!$B$30,Design!$B$31)*1000000/2+$C$2/(Constants!$C$27*1000000000)*IF(ISBLANK(Design!$B$31),Design!$B$30,Design!$B$31)*1000000/2)</f>
        <v>9.0299999999999991E-2</v>
      </c>
      <c r="H6" s="165">
        <f t="shared" ca="1" si="17"/>
        <v>7.8440209417681289E-2</v>
      </c>
      <c r="I6" s="165">
        <f>Constants!$D$25/1000000000*Constants!$C$24*IF(ISBLANK(Design!$B$31),Design!$B$30,Design!$B$31)*1000000</f>
        <v>5.2499999999999998E-2</v>
      </c>
      <c r="J6" s="165">
        <f t="shared" ca="1" si="0"/>
        <v>0.24674020941768127</v>
      </c>
      <c r="K6" s="165">
        <f t="shared" ca="1" si="1"/>
        <v>6.309264609840709E-2</v>
      </c>
      <c r="L6" s="165">
        <f ca="1">B6^2*IF(ISBLANK(Design!$B$41),Constants!$C$6,Design!$B$41)/1000*(1+(O6-25)*(Constants!$C$32/100))</f>
        <v>3.4476108032363117E-2</v>
      </c>
      <c r="M6" s="165">
        <f>0.5*Snubber!$B$16/1000000000000*$C$2^2*Design!$B$31*1000000</f>
        <v>1.2473999999999999E-2</v>
      </c>
      <c r="N6" s="166">
        <f ca="1">$A6+K6*Design!$B$18</f>
        <v>28.596280827609203</v>
      </c>
      <c r="O6" s="166">
        <f ca="1">J6*Design!$C$11+A6</f>
        <v>34.129387748454207</v>
      </c>
      <c r="P6" s="166">
        <f ca="1">Constants!$D$22+Constants!$D$22*Constants!$C$23/100*(O6-25)</f>
        <v>132.30351019876338</v>
      </c>
      <c r="Q6" s="165">
        <f ca="1">(1-Constants!$C$20/1000000000*Design!$B$31*1000000) * ($C$2+C6-B6*P6/1000) - (C6+B6*Design!$B$41/1000)</f>
        <v>4.5998547524989739</v>
      </c>
      <c r="R6" s="165">
        <f ca="1">IF(Q6&gt;Design!$C$27,Design!$C$27,Q6)</f>
        <v>4.5998547524989739</v>
      </c>
      <c r="S6" s="165">
        <f t="shared" ca="1" si="2"/>
        <v>0.35678296354845146</v>
      </c>
      <c r="T6" s="165">
        <f t="shared" ca="1" si="3"/>
        <v>3.9558750871491171</v>
      </c>
      <c r="U6" s="322">
        <f t="shared" ca="1" si="4"/>
        <v>91.727075057788483</v>
      </c>
      <c r="V6" s="328">
        <f t="shared" ref="V6:V13" si="19">V5+0.305</f>
        <v>0.85999999999999988</v>
      </c>
      <c r="W6" s="329">
        <f ca="1">FORECAST(V6, OFFSET(Design!$C$14:$C$16,MATCH(V6,Design!$B$14:$B$16,1)-1,0,2), OFFSET(Design!$B$14:$B$16,MATCH(V6,Design!$B$14:$B$16,1)-1,0,2))+(AH6-25)*Design!$B$17/1000</f>
        <v>0.36142845462784984</v>
      </c>
      <c r="X6" s="184">
        <f ca="1">IF(100*(Design!$C$27+W6+V6*IF(ISBLANK(Design!$B$41),Constants!$C$6,Design!$B$41)/1000*(1+Constants!$C$32/100*(AI6-25)))/($W$2+W6-V6*AJ6/1000)&gt;Design!$C$34,Design!$C$34,100*(Design!$C$27+W6+V6*IF(ISBLANK(Design!$B$41),Constants!$C$6,Design!$B$41)/1000*(1+Constants!$C$32/100*(AI6-25)))/($W$2+W6-V6*AJ6/1000))</f>
        <v>44.09463158161067</v>
      </c>
      <c r="Y6" s="183">
        <f ca="1">($W$2-V6*IF(ISBLANK(Design!$B$41),Constants!$C$6,Design!$B$41)/1000*(1+Constants!$C$32/100*(AI6-25))-Design!$C$27) / (IF(ISBLANK(Design!$B$40),Design!$B$38,Design!$B$40)/1000000) * X6/100/(IF(ISBLANK(Design!$B$31),Design!$B$30,Design!$B$31)*1000000)</f>
        <v>0.44313765339198391</v>
      </c>
      <c r="Z6" s="183">
        <f>$W$2*Constants!$C$21/1000+IF(ISBLANK(Design!$B$31),Design!$B$30,Design!$B$31)*1000000*Constants!$D$25/1000000000*($W$2-Constants!$C$24)</f>
        <v>0.10350000000000001</v>
      </c>
      <c r="AA6" s="183">
        <f>$W$2*V6*($W$2/(Constants!$C$26*1000000000)*IF(ISBLANK(Design!$B$31),Design!$B$30,Design!$B$31)*1000000/2+$W$2/(Constants!$C$27*1000000000)*IF(ISBLANK(Design!$B$31),Design!$B$30,Design!$B$31)*1000000/2)</f>
        <v>0.36119999999999997</v>
      </c>
      <c r="AB6" s="183">
        <f t="shared" ca="1" si="5"/>
        <v>4.7236670291155407E-2</v>
      </c>
      <c r="AC6" s="183">
        <f>Constants!$D$25/1000000000*Constants!$C$24*IF(ISBLANK(Design!$B$31),Design!$B$30,Design!$B$31)*1000000</f>
        <v>5.2499999999999998E-2</v>
      </c>
      <c r="AD6" s="183">
        <f t="shared" ca="1" si="6"/>
        <v>0.56443667029115541</v>
      </c>
      <c r="AE6" s="183">
        <f t="shared" ca="1" si="7"/>
        <v>0.17376980185058788</v>
      </c>
      <c r="AF6" s="183">
        <f ca="1">V6^2*IF(ISBLANK(Design!$B$41),Constants!$C$6,Design!$B$41)/1000*(1+(AI6-25)*(Constants!$C$32/100))</f>
        <v>3.6013611371108235E-2</v>
      </c>
      <c r="AG6" s="183">
        <f>0.5*Snubber!$B$16/1000000000000*$W$2^2*Design!$B$31*1000000</f>
        <v>4.9895999999999996E-2</v>
      </c>
      <c r="AH6" s="184">
        <f ca="1">$A6+AE6*Design!$B$18</f>
        <v>34.904878705483512</v>
      </c>
      <c r="AI6" s="184">
        <f ca="1">AD6*Design!$C$11+$A6</f>
        <v>45.88415680077275</v>
      </c>
      <c r="AJ6" s="184">
        <f ca="1">Constants!$D$22+Constants!$D$22*Constants!$C$23/100*(AI6-25)</f>
        <v>141.70732544061821</v>
      </c>
      <c r="AK6" s="183">
        <f ca="1">(1-Constants!$C$20/1000000000*Design!$B$31*1000000) * ($W$2+W6-V6*AJ6/1000) - (W6+V6*Design!$B$41/1000)</f>
        <v>9.3976394492486595</v>
      </c>
      <c r="AL6" s="183">
        <f ca="1">IF(AK6&gt;Design!$C$27,Design!$C$27,AK6)</f>
        <v>4.9936842105263155</v>
      </c>
      <c r="AM6" s="183">
        <f t="shared" ca="1" si="8"/>
        <v>0.82411608351285159</v>
      </c>
      <c r="AN6" s="183">
        <f t="shared" ca="1" si="9"/>
        <v>4.2945684210526309</v>
      </c>
      <c r="AO6" s="330">
        <f t="shared" ca="1" si="10"/>
        <v>83.899846087841468</v>
      </c>
      <c r="AP6" s="336">
        <f t="shared" ref="AP6:AP13" si="20">AP5+0.305</f>
        <v>0.85999999999999988</v>
      </c>
      <c r="AQ6" s="337">
        <f ca="1">FORECAST(AP6, OFFSET(Design!$C$14:$C$16,MATCH(AP6,Design!$B$14:$B$16,1)-1,0,2), OFFSET(Design!$B$14:$B$16,MATCH(AP6,Design!$B$14:$B$16,1)-1,0,2))+(BB6-25)*Design!$B$17/1000</f>
        <v>0.35894901528275208</v>
      </c>
      <c r="AR6" s="196">
        <f ca="1">IF(100*(Design!$C$27+AQ6+AP6*IF(ISBLANK(Design!$B$41),Constants!$C$6,Design!$B$41)/1000*(1+Constants!$C$32/100*(BC6-25)))/($AQ$2+AQ6-AP6*BD6/1000)&gt;Design!$C$34,Design!$C$34,100*(Design!$C$27+AQ6+AP6*IF(ISBLANK(Design!$B$41),Constants!$C$6,Design!$B$41)/1000*(1+Constants!$C$32/100*(BC6-25)))/($AQ$2+AQ6-AP6*BD6/1000))</f>
        <v>29.617283689074291</v>
      </c>
      <c r="AS6" s="195">
        <f ca="1">($AQ$2-AP6*IF(ISBLANK(Design!$B$41),Constants!$C$6,Design!$B$41)/1000*(1+Constants!$C$32/100*(BC6-25))-Design!$C$27) / (IF(ISBLANK(Design!$B$40),Design!$B$38,Design!$B$40)/1000000) * AR6/100/(IF(ISBLANK(Design!$B$31),Design!$B$30,Design!$B$31)*1000000)</f>
        <v>0.55394685941972732</v>
      </c>
      <c r="AT6" s="195">
        <f>$AQ$2*Constants!$C$21/1000+IF(ISBLANK(Design!$B$31),Design!$B$30,Design!$B$31)*1000000*Constants!$D$25/1000000000*($AQ$2-Constants!$C$24)</f>
        <v>0.18149999999999999</v>
      </c>
      <c r="AU6" s="195">
        <f>$AQ$2*AP6*($AQ$2/(Constants!$C$26*1000000000)*IF(ISBLANK(Design!$B$31),Design!$B$30,Design!$B$31)*1000000/2+$AQ$2/(Constants!$C$27*1000000000)*IF(ISBLANK(Design!$B$31),Design!$B$30,Design!$B$31)*1000000/2)</f>
        <v>0.81269999999999976</v>
      </c>
      <c r="AV6" s="195">
        <f t="shared" ca="1" si="11"/>
        <v>3.5587905203581058E-2</v>
      </c>
      <c r="AW6" s="195">
        <f>Constants!$D$25/1000000000*Constants!$C$24*IF(ISBLANK(Design!$B$31),Design!$B$30,Design!$B$31)*1000000</f>
        <v>5.2499999999999998E-2</v>
      </c>
      <c r="AX6" s="195">
        <f t="shared" ca="1" si="12"/>
        <v>1.0822879052035808</v>
      </c>
      <c r="AY6" s="195">
        <f t="shared" ca="1" si="13"/>
        <v>0.21726873772949581</v>
      </c>
      <c r="AZ6" s="195">
        <f ca="1">AP6^2*IF(ISBLANK(Design!$B$41),Constants!$C$6,Design!$B$41)/1000*(1+(BC6-25)*(Constants!$C$32/100))</f>
        <v>3.8519770868327904E-2</v>
      </c>
      <c r="BA6" s="195">
        <f>0.5*Snubber!$B$16/1000000000000*$AQ$2^2*Design!$B$31*1000000</f>
        <v>0.11226599999999999</v>
      </c>
      <c r="BB6" s="196">
        <f ca="1">$A6+AY6*Design!$B$18</f>
        <v>37.384318050581264</v>
      </c>
      <c r="BC6" s="196">
        <f ca="1">AX6*Design!$C$11+$A6</f>
        <v>65.044652492532492</v>
      </c>
      <c r="BD6" s="196">
        <f ca="1">Constants!$D$22+Constants!$D$22*Constants!$C$23/100*(BC6-25)</f>
        <v>157.03572199402601</v>
      </c>
      <c r="BE6" s="195">
        <f ca="1">(1-Constants!$C$20/1000000000*Design!$B$31*1000000) * ($AQ$2+AQ6-AP6*BD6/1000) - (AQ6+AP6*Design!$B$41/1000)</f>
        <v>14.190581569358745</v>
      </c>
      <c r="BF6" s="195">
        <f ca="1">IF(BE6&gt;Design!$C$27,Design!$C$27,BE6)</f>
        <v>4.9936842105263155</v>
      </c>
      <c r="BG6" s="195">
        <f t="shared" ca="1" si="14"/>
        <v>1.4503424138014043</v>
      </c>
      <c r="BH6" s="195">
        <f t="shared" ca="1" si="15"/>
        <v>4.2945684210526309</v>
      </c>
      <c r="BI6" s="338">
        <f t="shared" ca="1" si="16"/>
        <v>74.754309414129409</v>
      </c>
    </row>
    <row r="7" spans="1:61" s="120" customFormat="1" ht="13.2" x14ac:dyDescent="0.25">
      <c r="A7" s="112">
        <v>25</v>
      </c>
      <c r="B7" s="320">
        <f t="shared" si="18"/>
        <v>1.1649999999999998</v>
      </c>
      <c r="C7" s="321">
        <f ca="1">FORECAST(B7, OFFSET(Design!$C$14:$C$16,MATCH(B7,Design!$B$14:$B$16,1)-1,0,2), OFFSET(Design!$B$14:$B$16,MATCH(B7,Design!$B$14:$B$16,1)-1,0,2))+(N7-25)*Design!$B$17/1000</f>
        <v>0.38989036692730195</v>
      </c>
      <c r="D7" s="166">
        <f ca="1">IF(100*(Design!$C$27+C7+B7*IF(ISBLANK(Design!$B$41),Constants!$C$6,Design!$B$41)/1000*(1+Constants!$C$32/100*(O7-25)))/($C$2+C7-B7*P7/1000)&gt;Design!$C$34,Design!$C$34,100*(Design!$C$27+C7+B7*IF(ISBLANK(Design!$B$41),Constants!$C$6,Design!$B$41)/1000*(1+Constants!$C$32/100*(O7-25)))/($C$2+C7-B7*P7/1000))</f>
        <v>80.05</v>
      </c>
      <c r="E7" s="165">
        <f ca="1">IF(($C$2-B7*IF(ISBLANK(Design!$B$41),Constants!$C$6,Design!$B$41)/1000*(1+Constants!$C$32/100*(O7-25))-Design!$C$27) / (IF(ISBLANK(Design!$B$40),Design!$B$38,Design!$B$40)/1000000) * D7/100/(IF(ISBLANK(Design!$B$31),Design!$B$30,Design!$B$31)*1000000)&lt;0,0,($C$2-B7*IF(ISBLANK(Design!$B$41),Constants!$C$6,Design!$B$41)/1000*(1+Constants!$C$32/100*(O7-25))-Design!$C$27) / (IF(ISBLANK(Design!$B$40),Design!$B$38,Design!$B$40)/1000000) * D7/100/(IF(ISBLANK(Design!$B$31),Design!$B$30,Design!$B$31)*1000000))</f>
        <v>0.10988016611185047</v>
      </c>
      <c r="F7" s="165">
        <f>$C$2*Constants!$C$21/1000+IF(ISBLANK(Design!$B$31),Design!$B$30,Design!$B$31)*1000000*Constants!$D$25/1000000000*($C$2-Constants!$C$24)</f>
        <v>2.5500000000000002E-2</v>
      </c>
      <c r="G7" s="165">
        <f>$C$2*B7*($C$2/(Constants!$C$26*1000000000)*IF(ISBLANK(Design!$B$31),Design!$B$30,Design!$B$31)*1000000/2+$C$2/(Constants!$C$27*1000000000)*IF(ISBLANK(Design!$B$31),Design!$B$30,Design!$B$31)*1000000/2)</f>
        <v>0.12232499999999999</v>
      </c>
      <c r="H7" s="165">
        <f t="shared" ca="1" si="17"/>
        <v>0.14708882768638376</v>
      </c>
      <c r="I7" s="165">
        <f>Constants!$D$25/1000000000*Constants!$C$24*IF(ISBLANK(Design!$B$31),Design!$B$30,Design!$B$31)*1000000</f>
        <v>5.2499999999999998E-2</v>
      </c>
      <c r="J7" s="165">
        <f t="shared" ca="1" si="0"/>
        <v>0.34741382768638374</v>
      </c>
      <c r="K7" s="165">
        <f t="shared" ca="1" si="1"/>
        <v>9.0617344355326188E-2</v>
      </c>
      <c r="L7" s="165">
        <f ca="1">B7^2*IF(ISBLANK(Design!$B$41),Constants!$C$6,Design!$B$41)/1000*(1+(O7-25)*(Constants!$C$32/100))</f>
        <v>6.4160484248748345E-2</v>
      </c>
      <c r="M7" s="165">
        <f>0.5*Snubber!$B$16/1000000000000*$C$2^2*Design!$B$31*1000000</f>
        <v>1.2473999999999999E-2</v>
      </c>
      <c r="N7" s="166">
        <f ca="1">$A7+K7*Design!$B$18</f>
        <v>30.165188628253592</v>
      </c>
      <c r="O7" s="166">
        <f ca="1">J7*Design!$C$11+A7</f>
        <v>37.854311624396196</v>
      </c>
      <c r="P7" s="166">
        <f ca="1">Constants!$D$22+Constants!$D$22*Constants!$C$23/100*(O7-25)</f>
        <v>135.28344929951695</v>
      </c>
      <c r="Q7" s="165">
        <f ca="1">(1-Constants!$C$20/1000000000*Design!$B$31*1000000) * ($C$2+C7-B7*P7/1000) - (C7+B7*Design!$B$41/1000)</f>
        <v>4.5466288944416373</v>
      </c>
      <c r="R7" s="165">
        <f ca="1">IF(Q7&gt;Design!$C$27,Design!$C$27,Q7)</f>
        <v>4.5466288944416373</v>
      </c>
      <c r="S7" s="165">
        <f t="shared" ca="1" si="2"/>
        <v>0.51466565629045824</v>
      </c>
      <c r="T7" s="165">
        <f t="shared" ca="1" si="3"/>
        <v>5.2968226620245069</v>
      </c>
      <c r="U7" s="322">
        <f t="shared" ca="1" si="4"/>
        <v>91.143995684057657</v>
      </c>
      <c r="V7" s="328">
        <f t="shared" si="19"/>
        <v>1.1649999999999998</v>
      </c>
      <c r="W7" s="329">
        <f ca="1">FORECAST(V7, OFFSET(Design!$C$14:$C$16,MATCH(V7,Design!$B$14:$B$16,1)-1,0,2), OFFSET(Design!$B$14:$B$16,MATCH(V7,Design!$B$14:$B$16,1)-1,0,2))+(AH7-25)*Design!$B$17/1000</f>
        <v>0.3810119056869275</v>
      </c>
      <c r="X7" s="184">
        <f ca="1">IF(100*(Design!$C$27+W7+V7*IF(ISBLANK(Design!$B$41),Constants!$C$6,Design!$B$41)/1000*(1+Constants!$C$32/100*(AI7-25)))/($W$2+W7-V7*AJ7/1000)&gt;Design!$C$34,Design!$C$34,100*(Design!$C$27+W7+V7*IF(ISBLANK(Design!$B$41),Constants!$C$6,Design!$B$41)/1000*(1+Constants!$C$32/100*(AI7-25)))/($W$2+W7-V7*AJ7/1000))</f>
        <v>44.493906144462507</v>
      </c>
      <c r="Y7" s="183">
        <f ca="1">($W$2-V7*IF(ISBLANK(Design!$B$41),Constants!$C$6,Design!$B$41)/1000*(1+Constants!$C$32/100*(AI7-25))-Design!$C$27) / (IF(ISBLANK(Design!$B$40),Design!$B$38,Design!$B$40)/1000000) * X7/100/(IF(ISBLANK(Design!$B$31),Design!$B$30,Design!$B$31)*1000000)</f>
        <v>0.44611322210217497</v>
      </c>
      <c r="Z7" s="183">
        <f>$W$2*Constants!$C$21/1000+IF(ISBLANK(Design!$B$31),Design!$B$30,Design!$B$31)*1000000*Constants!$D$25/1000000000*($W$2-Constants!$C$24)</f>
        <v>0.10350000000000001</v>
      </c>
      <c r="AA7" s="183">
        <f>$W$2*V7*($W$2/(Constants!$C$26*1000000000)*IF(ISBLANK(Design!$B$31),Design!$B$30,Design!$B$31)*1000000/2+$W$2/(Constants!$C$27*1000000000)*IF(ISBLANK(Design!$B$31),Design!$B$30,Design!$B$31)*1000000/2)</f>
        <v>0.48929999999999996</v>
      </c>
      <c r="AB7" s="183">
        <f t="shared" ca="1" si="5"/>
        <v>8.9706426736383502E-2</v>
      </c>
      <c r="AC7" s="183">
        <f>Constants!$D$25/1000000000*Constants!$C$24*IF(ISBLANK(Design!$B$31),Design!$B$30,Design!$B$31)*1000000</f>
        <v>5.2499999999999998E-2</v>
      </c>
      <c r="AD7" s="183">
        <f t="shared" ca="1" si="6"/>
        <v>0.7350064267363835</v>
      </c>
      <c r="AE7" s="183">
        <f t="shared" ca="1" si="7"/>
        <v>0.24637982225663196</v>
      </c>
      <c r="AF7" s="183">
        <f ca="1">V7^2*IF(ISBLANK(Design!$B$41),Constants!$C$6,Design!$B$41)/1000*(1+(AI7-25)*(Constants!$C$32/100))</f>
        <v>6.7602668511214922E-2</v>
      </c>
      <c r="AG7" s="183">
        <f>0.5*Snubber!$B$16/1000000000000*$W$2^2*Design!$B$31*1000000</f>
        <v>4.9895999999999996E-2</v>
      </c>
      <c r="AH7" s="184">
        <f ca="1">$A7+AE7*Design!$B$18</f>
        <v>39.043649868628023</v>
      </c>
      <c r="AI7" s="184">
        <f ca="1">AD7*Design!$C$11+$A7</f>
        <v>52.195237789246193</v>
      </c>
      <c r="AJ7" s="184">
        <f ca="1">Constants!$D$22+Constants!$D$22*Constants!$C$23/100*(AI7-25)</f>
        <v>146.75619023139694</v>
      </c>
      <c r="AK7" s="183">
        <f ca="1">(1-Constants!$C$20/1000000000*Design!$B$31*1000000) * ($W$2+W7-V7*AJ7/1000) - (W7+V7*Design!$B$41/1000)</f>
        <v>9.3407008700389866</v>
      </c>
      <c r="AL7" s="183">
        <f ca="1">IF(AK7&gt;Design!$C$27,Design!$C$27,AK7)</f>
        <v>4.9936842105263155</v>
      </c>
      <c r="AM7" s="183">
        <f t="shared" ca="1" si="8"/>
        <v>1.0988849175042303</v>
      </c>
      <c r="AN7" s="183">
        <f t="shared" ca="1" si="9"/>
        <v>5.8176421052631566</v>
      </c>
      <c r="AO7" s="330">
        <f t="shared" ca="1" si="10"/>
        <v>84.112186450121712</v>
      </c>
      <c r="AP7" s="336">
        <f t="shared" si="20"/>
        <v>1.1649999999999998</v>
      </c>
      <c r="AQ7" s="337">
        <f ca="1">FORECAST(AP7, OFFSET(Design!$C$14:$C$16,MATCH(AP7,Design!$B$14:$B$16,1)-1,0,2), OFFSET(Design!$B$14:$B$16,MATCH(AP7,Design!$B$14:$B$16,1)-1,0,2))+(BB7-25)*Design!$B$17/1000</f>
        <v>0.37748035179214534</v>
      </c>
      <c r="AR7" s="196">
        <f ca="1">IF(100*(Design!$C$27+AQ7+AP7*IF(ISBLANK(Design!$B$41),Constants!$C$6,Design!$B$41)/1000*(1+Constants!$C$32/100*(BC7-25)))/($AQ$2+AQ7-AP7*BD7/1000)&gt;Design!$C$34,Design!$C$34,100*(Design!$C$27+AQ7+AP7*IF(ISBLANK(Design!$B$41),Constants!$C$6,Design!$B$41)/1000*(1+Constants!$C$32/100*(BC7-25)))/($AQ$2+AQ7-AP7*BD7/1000))</f>
        <v>29.88592050558735</v>
      </c>
      <c r="AS7" s="195">
        <f ca="1">($AQ$2-AP7*IF(ISBLANK(Design!$B$41),Constants!$C$6,Design!$B$41)/1000*(1+Constants!$C$32/100*(BC7-25))-Design!$C$27) / (IF(ISBLANK(Design!$B$40),Design!$B$38,Design!$B$40)/1000000) * AR7/100/(IF(ISBLANK(Design!$B$31),Design!$B$30,Design!$B$31)*1000000)</f>
        <v>0.55818057297339441</v>
      </c>
      <c r="AT7" s="195">
        <f>$AQ$2*Constants!$C$21/1000+IF(ISBLANK(Design!$B$31),Design!$B$30,Design!$B$31)*1000000*Constants!$D$25/1000000000*($AQ$2-Constants!$C$24)</f>
        <v>0.18149999999999999</v>
      </c>
      <c r="AU7" s="195">
        <f>$AQ$2*AP7*($AQ$2/(Constants!$C$26*1000000000)*IF(ISBLANK(Design!$B$31),Design!$B$30,Design!$B$31)*1000000/2+$AQ$2/(Constants!$C$27*1000000000)*IF(ISBLANK(Design!$B$31),Design!$B$30,Design!$B$31)*1000000/2)</f>
        <v>1.1009249999999997</v>
      </c>
      <c r="AV7" s="195">
        <f t="shared" ca="1" si="11"/>
        <v>6.8848929332085029E-2</v>
      </c>
      <c r="AW7" s="195">
        <f>Constants!$D$25/1000000000*Constants!$C$24*IF(ISBLANK(Design!$B$31),Design!$B$30,Design!$B$31)*1000000</f>
        <v>5.2499999999999998E-2</v>
      </c>
      <c r="AX7" s="195">
        <f t="shared" ca="1" si="12"/>
        <v>1.4037739293320848</v>
      </c>
      <c r="AY7" s="195">
        <f t="shared" ca="1" si="13"/>
        <v>0.30833690813000325</v>
      </c>
      <c r="AZ7" s="195">
        <f ca="1">AP7^2*IF(ISBLANK(Design!$B$41),Constants!$C$6,Design!$B$41)/1000*(1+(BC7-25)*(Constants!$C$32/100))</f>
        <v>7.3541948513790562E-2</v>
      </c>
      <c r="BA7" s="195">
        <f>0.5*Snubber!$B$16/1000000000000*$AQ$2^2*Design!$B$31*1000000</f>
        <v>0.11226599999999999</v>
      </c>
      <c r="BB7" s="196">
        <f ca="1">$A7+AY7*Design!$B$18</f>
        <v>42.575203763410187</v>
      </c>
      <c r="BC7" s="196">
        <f ca="1">AX7*Design!$C$11+$A7</f>
        <v>76.939635385287147</v>
      </c>
      <c r="BD7" s="196">
        <f ca="1">Constants!$D$22+Constants!$D$22*Constants!$C$23/100*(BC7-25)</f>
        <v>166.55170830822971</v>
      </c>
      <c r="BE7" s="195">
        <f ca="1">(1-Constants!$C$20/1000000000*Design!$B$31*1000000) * ($AQ$2+AQ7-AP7*BD7/1000) - (AQ7+AP7*Design!$B$41/1000)</f>
        <v>14.125944461304108</v>
      </c>
      <c r="BF7" s="195">
        <f ca="1">IF(BE7&gt;Design!$C$27,Design!$C$27,BE7)</f>
        <v>4.9936842105263155</v>
      </c>
      <c r="BG7" s="195">
        <f t="shared" ca="1" si="14"/>
        <v>1.8979187859758786</v>
      </c>
      <c r="BH7" s="195">
        <f t="shared" ca="1" si="15"/>
        <v>5.8176421052631566</v>
      </c>
      <c r="BI7" s="338">
        <f t="shared" ca="1" si="16"/>
        <v>75.401415234361608</v>
      </c>
    </row>
    <row r="8" spans="1:61" s="120" customFormat="1" ht="13.2" x14ac:dyDescent="0.25">
      <c r="A8" s="112">
        <v>25</v>
      </c>
      <c r="B8" s="320">
        <f t="shared" si="18"/>
        <v>1.4699999999999998</v>
      </c>
      <c r="C8" s="321">
        <f ca="1">FORECAST(B8, OFFSET(Design!$C$14:$C$16,MATCH(B8,Design!$B$14:$B$16,1)-1,0,2), OFFSET(Design!$B$14:$B$16,MATCH(B8,Design!$B$14:$B$16,1)-1,0,2))+(N8-25)*Design!$B$17/1000</f>
        <v>0.41189253884965049</v>
      </c>
      <c r="D8" s="166">
        <f ca="1">IF(100*(Design!$C$27+C8+B8*IF(ISBLANK(Design!$B$41),Constants!$C$6,Design!$B$41)/1000*(1+Constants!$C$32/100*(O8-25)))/($C$2+C8-B8*P8/1000)&gt;Design!$C$34,Design!$C$34,100*(Design!$C$27+C8+B8*IF(ISBLANK(Design!$B$41),Constants!$C$6,Design!$B$41)/1000*(1+Constants!$C$32/100*(O8-25)))/($C$2+C8-B8*P8/1000))</f>
        <v>80.05</v>
      </c>
      <c r="E8" s="165">
        <f ca="1">IF(($C$2-B8*IF(ISBLANK(Design!$B$41),Constants!$C$6,Design!$B$41)/1000*(1+Constants!$C$32/100*(O8-25))-Design!$C$27) / (IF(ISBLANK(Design!$B$40),Design!$B$38,Design!$B$40)/1000000) * D8/100/(IF(ISBLANK(Design!$B$31),Design!$B$30,Design!$B$31)*1000000)&lt;0,0,($C$2-B8*IF(ISBLANK(Design!$B$41),Constants!$C$6,Design!$B$41)/1000*(1+Constants!$C$32/100*(O8-25))-Design!$C$27) / (IF(ISBLANK(Design!$B$40),Design!$B$38,Design!$B$40)/1000000) * D8/100/(IF(ISBLANK(Design!$B$31),Design!$B$30,Design!$B$31)*1000000))</f>
        <v>0.10807524593919084</v>
      </c>
      <c r="F8" s="165">
        <f>$C$2*Constants!$C$21/1000+IF(ISBLANK(Design!$B$31),Design!$B$30,Design!$B$31)*1000000*Constants!$D$25/1000000000*($C$2-Constants!$C$24)</f>
        <v>2.5500000000000002E-2</v>
      </c>
      <c r="G8" s="165">
        <f>$C$2*B8*($C$2/(Constants!$C$26*1000000000)*IF(ISBLANK(Design!$B$31),Design!$B$30,Design!$B$31)*1000000/2+$C$2/(Constants!$C$27*1000000000)*IF(ISBLANK(Design!$B$31),Design!$B$30,Design!$B$31)*1000000/2)</f>
        <v>0.15434999999999999</v>
      </c>
      <c r="H8" s="165">
        <f t="shared" ca="1" si="17"/>
        <v>0.24054665801733929</v>
      </c>
      <c r="I8" s="165">
        <f>Constants!$D$25/1000000000*Constants!$C$24*IF(ISBLANK(Design!$B$31),Design!$B$30,Design!$B$31)*1000000</f>
        <v>5.2499999999999998E-2</v>
      </c>
      <c r="J8" s="165">
        <f t="shared" ca="1" si="0"/>
        <v>0.47289665801733927</v>
      </c>
      <c r="K8" s="165">
        <f t="shared" ca="1" si="1"/>
        <v>0.12079366540574274</v>
      </c>
      <c r="L8" s="165">
        <f ca="1">B8^2*IF(ISBLANK(Design!$B$41),Constants!$C$6,Design!$B$41)/1000*(1+(O8-25)*(Constants!$C$32/100))</f>
        <v>0.10392713631378508</v>
      </c>
      <c r="M8" s="165">
        <f>0.5*Snubber!$B$16/1000000000000*$C$2^2*Design!$B$31*1000000</f>
        <v>1.2473999999999999E-2</v>
      </c>
      <c r="N8" s="166">
        <f ca="1">$A8+K8*Design!$B$18</f>
        <v>31.885238928127336</v>
      </c>
      <c r="O8" s="166">
        <f ca="1">J8*Design!$C$11+A8</f>
        <v>42.497176346641552</v>
      </c>
      <c r="P8" s="166">
        <f ca="1">Constants!$D$22+Constants!$D$22*Constants!$C$23/100*(O8-25)</f>
        <v>138.99774107731324</v>
      </c>
      <c r="Q8" s="165">
        <f ca="1">(1-Constants!$C$20/1000000000*Design!$B$31*1000000) * ($C$2+C8-B8*P8/1000) - (C8+B8*Design!$B$41/1000)</f>
        <v>4.4911139316528823</v>
      </c>
      <c r="R8" s="165">
        <f ca="1">IF(Q8&gt;Design!$C$27,Design!$C$27,Q8)</f>
        <v>4.4911139316528823</v>
      </c>
      <c r="S8" s="165">
        <f t="shared" ca="1" si="2"/>
        <v>0.71009145973686716</v>
      </c>
      <c r="T8" s="165">
        <f t="shared" ca="1" si="3"/>
        <v>6.6019374795297363</v>
      </c>
      <c r="U8" s="322">
        <f t="shared" ca="1" si="4"/>
        <v>90.288721972589869</v>
      </c>
      <c r="V8" s="328">
        <f t="shared" si="19"/>
        <v>1.4699999999999998</v>
      </c>
      <c r="W8" s="329">
        <f ca="1">FORECAST(V8, OFFSET(Design!$C$14:$C$16,MATCH(V8,Design!$B$14:$B$16,1)-1,0,2), OFFSET(Design!$B$14:$B$16,MATCH(V8,Design!$B$14:$B$16,1)-1,0,2))+(AH8-25)*Design!$B$17/1000</f>
        <v>0.40030149098974793</v>
      </c>
      <c r="X8" s="184">
        <f ca="1">IF(100*(Design!$C$27+W8+V8*IF(ISBLANK(Design!$B$41),Constants!$C$6,Design!$B$41)/1000*(1+Constants!$C$32/100*(AI8-25)))/($W$2+W8-V8*AJ8/1000)&gt;Design!$C$34,Design!$C$34,100*(Design!$C$27+W8+V8*IF(ISBLANK(Design!$B$41),Constants!$C$6,Design!$B$41)/1000*(1+Constants!$C$32/100*(AI8-25)))/($W$2+W8-V8*AJ8/1000))</f>
        <v>44.914753575543841</v>
      </c>
      <c r="Y8" s="183">
        <f ca="1">($W$2-V8*IF(ISBLANK(Design!$B$41),Constants!$C$6,Design!$B$41)/1000*(1+Constants!$C$32/100*(AI8-25))-Design!$C$27) / (IF(ISBLANK(Design!$B$40),Design!$B$38,Design!$B$40)/1000000) * X8/100/(IF(ISBLANK(Design!$B$31),Design!$B$30,Design!$B$31)*1000000)</f>
        <v>0.44923137912806588</v>
      </c>
      <c r="Z8" s="183">
        <f>$W$2*Constants!$C$21/1000+IF(ISBLANK(Design!$B$31),Design!$B$30,Design!$B$31)*1000000*Constants!$D$25/1000000000*($W$2-Constants!$C$24)</f>
        <v>0.10350000000000001</v>
      </c>
      <c r="AA8" s="183">
        <f>$W$2*V8*($W$2/(Constants!$C$26*1000000000)*IF(ISBLANK(Design!$B$31),Design!$B$30,Design!$B$31)*1000000/2+$W$2/(Constants!$C$27*1000000000)*IF(ISBLANK(Design!$B$31),Design!$B$30,Design!$B$31)*1000000/2)</f>
        <v>0.61739999999999995</v>
      </c>
      <c r="AB8" s="183">
        <f t="shared" ca="1" si="5"/>
        <v>0.14896921052784648</v>
      </c>
      <c r="AC8" s="183">
        <f>Constants!$D$25/1000000000*Constants!$C$24*IF(ISBLANK(Design!$B$31),Design!$B$30,Design!$B$31)*1000000</f>
        <v>5.2499999999999998E-2</v>
      </c>
      <c r="AD8" s="183">
        <f t="shared" ca="1" si="6"/>
        <v>0.92236921052784648</v>
      </c>
      <c r="AE8" s="183">
        <f t="shared" ca="1" si="7"/>
        <v>0.32414538224613787</v>
      </c>
      <c r="AF8" s="183">
        <f ca="1">V8^2*IF(ISBLANK(Design!$B$41),Constants!$C$6,Design!$B$41)/1000*(1+(AI8-25)*(Constants!$C$32/100))</f>
        <v>0.11028256184008696</v>
      </c>
      <c r="AG8" s="183">
        <f>0.5*Snubber!$B$16/1000000000000*$W$2^2*Design!$B$31*1000000</f>
        <v>4.9895999999999996E-2</v>
      </c>
      <c r="AH8" s="184">
        <f ca="1">$A8+AE8*Design!$B$18</f>
        <v>43.47628678802986</v>
      </c>
      <c r="AI8" s="184">
        <f ca="1">AD8*Design!$C$11+$A8</f>
        <v>59.127660789530317</v>
      </c>
      <c r="AJ8" s="184">
        <f ca="1">Constants!$D$22+Constants!$D$22*Constants!$C$23/100*(AI8-25)</f>
        <v>152.30212863162427</v>
      </c>
      <c r="AK8" s="183">
        <f ca="1">(1-Constants!$C$20/1000000000*Design!$B$31*1000000) * ($W$2+W8-V8*AJ8/1000) - (W8+V8*Design!$B$41/1000)</f>
        <v>9.2807706072122116</v>
      </c>
      <c r="AL8" s="183">
        <f ca="1">IF(AK8&gt;Design!$C$27,Design!$C$27,AK8)</f>
        <v>4.9936842105263155</v>
      </c>
      <c r="AM8" s="183">
        <f t="shared" ca="1" si="8"/>
        <v>1.4066931546140713</v>
      </c>
      <c r="AN8" s="183">
        <f t="shared" ca="1" si="9"/>
        <v>7.3407157894736823</v>
      </c>
      <c r="AO8" s="330">
        <f t="shared" ca="1" si="10"/>
        <v>83.918744812258552</v>
      </c>
      <c r="AP8" s="336">
        <f t="shared" si="20"/>
        <v>1.4699999999999998</v>
      </c>
      <c r="AQ8" s="337">
        <f ca="1">FORECAST(AP8, OFFSET(Design!$C$14:$C$16,MATCH(AP8,Design!$B$14:$B$16,1)-1,0,2), OFFSET(Design!$B$14:$B$16,MATCH(AP8,Design!$B$14:$B$16,1)-1,0,2))+(BB8-25)*Design!$B$17/1000</f>
        <v>0.39563016932649347</v>
      </c>
      <c r="AR8" s="196">
        <f ca="1">IF(100*(Design!$C$27+AQ8+AP8*IF(ISBLANK(Design!$B$41),Constants!$C$6,Design!$B$41)/1000*(1+Constants!$C$32/100*(BC8-25)))/($AQ$2+AQ8-AP8*BD8/1000)&gt;Design!$C$34,Design!$C$34,100*(Design!$C$27+AQ8+AP8*IF(ISBLANK(Design!$B$41),Constants!$C$6,Design!$B$41)/1000*(1+Constants!$C$32/100*(BC8-25)))/($AQ$2+AQ8-AP8*BD8/1000))</f>
        <v>30.172814860278368</v>
      </c>
      <c r="AS8" s="195">
        <f ca="1">($AQ$2-AP8*IF(ISBLANK(Design!$B$41),Constants!$C$6,Design!$B$41)/1000*(1+Constants!$C$32/100*(BC8-25))-Design!$C$27) / (IF(ISBLANK(Design!$B$40),Design!$B$38,Design!$B$40)/1000000) * AR8/100/(IF(ISBLANK(Design!$B$31),Design!$B$30,Design!$B$31)*1000000)</f>
        <v>0.5626786966303875</v>
      </c>
      <c r="AT8" s="195">
        <f>$AQ$2*Constants!$C$21/1000+IF(ISBLANK(Design!$B$31),Design!$B$30,Design!$B$31)*1000000*Constants!$D$25/1000000000*($AQ$2-Constants!$C$24)</f>
        <v>0.18149999999999999</v>
      </c>
      <c r="AU8" s="195">
        <f>$AQ$2*AP8*($AQ$2/(Constants!$C$26*1000000000)*IF(ISBLANK(Design!$B$31),Design!$B$30,Design!$B$31)*1000000/2+$AQ$2/(Constants!$C$27*1000000000)*IF(ISBLANK(Design!$B$31),Design!$B$30,Design!$B$31)*1000000/2)</f>
        <v>1.3891499999999997</v>
      </c>
      <c r="AV8" s="195">
        <f t="shared" ca="1" si="11"/>
        <v>0.11647924339568572</v>
      </c>
      <c r="AW8" s="195">
        <f>Constants!$D$25/1000000000*Constants!$C$24*IF(ISBLANK(Design!$B$31),Design!$B$30,Design!$B$31)*1000000</f>
        <v>5.2499999999999998E-2</v>
      </c>
      <c r="AX8" s="195">
        <f t="shared" ca="1" si="12"/>
        <v>1.7396292433956855</v>
      </c>
      <c r="AY8" s="195">
        <f t="shared" ca="1" si="13"/>
        <v>0.40609839388218105</v>
      </c>
      <c r="AZ8" s="195">
        <f ca="1">AP8^2*IF(ISBLANK(Design!$B$41),Constants!$C$6,Design!$B$41)/1000*(1+(BC8-25)*(Constants!$C$32/100))</f>
        <v>0.12183840712030199</v>
      </c>
      <c r="BA8" s="195">
        <f>0.5*Snubber!$B$16/1000000000000*$AQ$2^2*Design!$B$31*1000000</f>
        <v>0.11226599999999999</v>
      </c>
      <c r="BB8" s="196">
        <f ca="1">$A8+AY8*Design!$B$18</f>
        <v>48.14760845128432</v>
      </c>
      <c r="BC8" s="196">
        <f ca="1">AX8*Design!$C$11+$A8</f>
        <v>89.366282005640358</v>
      </c>
      <c r="BD8" s="196">
        <f ca="1">Constants!$D$22+Constants!$D$22*Constants!$C$23/100*(BC8-25)</f>
        <v>176.4930256045123</v>
      </c>
      <c r="BE8" s="195">
        <f ca="1">(1-Constants!$C$20/1000000000*Design!$B$31*1000000) * ($AQ$2+AQ8-AP8*BD8/1000) - (AQ8+AP8*Design!$B$41/1000)</f>
        <v>14.056236260734641</v>
      </c>
      <c r="BF8" s="195">
        <f ca="1">IF(BE8&gt;Design!$C$27,Design!$C$27,BE8)</f>
        <v>4.9936842105263155</v>
      </c>
      <c r="BG8" s="195">
        <f t="shared" ca="1" si="14"/>
        <v>2.3798320443981682</v>
      </c>
      <c r="BH8" s="195">
        <f t="shared" ca="1" si="15"/>
        <v>7.3407157894736823</v>
      </c>
      <c r="BI8" s="338">
        <f t="shared" ca="1" si="16"/>
        <v>75.517511100500982</v>
      </c>
    </row>
    <row r="9" spans="1:61" s="120" customFormat="1" ht="13.2" x14ac:dyDescent="0.25">
      <c r="A9" s="112">
        <v>25</v>
      </c>
      <c r="B9" s="320">
        <f t="shared" si="18"/>
        <v>1.7749999999999997</v>
      </c>
      <c r="C9" s="321">
        <f ca="1">FORECAST(B9, OFFSET(Design!$C$14:$C$16,MATCH(B9,Design!$B$14:$B$16,1)-1,0,2), OFFSET(Design!$B$14:$B$16,MATCH(B9,Design!$B$14:$B$16,1)-1,0,2))+(N9-25)*Design!$B$17/1000</f>
        <v>0.43374510978425679</v>
      </c>
      <c r="D9" s="166">
        <f ca="1">IF(100*(Design!$C$27+C9+B9*IF(ISBLANK(Design!$B$41),Constants!$C$6,Design!$B$41)/1000*(1+Constants!$C$32/100*(O9-25)))/($C$2+C9-B9*P9/1000)&gt;Design!$C$34,Design!$C$34,100*(Design!$C$27+C9+B9*IF(ISBLANK(Design!$B$41),Constants!$C$6,Design!$B$41)/1000*(1+Constants!$C$32/100*(O9-25)))/($C$2+C9-B9*P9/1000))</f>
        <v>80.05</v>
      </c>
      <c r="E9" s="165">
        <f ca="1">IF(($C$2-B9*IF(ISBLANK(Design!$B$41),Constants!$C$6,Design!$B$41)/1000*(1+Constants!$C$32/100*(O9-25))-Design!$C$27) / (IF(ISBLANK(Design!$B$40),Design!$B$38,Design!$B$40)/1000000) * D9/100/(IF(ISBLANK(Design!$B$31),Design!$B$30,Design!$B$31)*1000000)&lt;0,0,($C$2-B9*IF(ISBLANK(Design!$B$41),Constants!$C$6,Design!$B$41)/1000*(1+Constants!$C$32/100*(O9-25))-Design!$C$27) / (IF(ISBLANK(Design!$B$40),Design!$B$38,Design!$B$40)/1000000) * D9/100/(IF(ISBLANK(Design!$B$31),Design!$B$30,Design!$B$31)*1000000))</f>
        <v>0.10617472385571865</v>
      </c>
      <c r="F9" s="165">
        <f>$C$2*Constants!$C$21/1000+IF(ISBLANK(Design!$B$31),Design!$B$30,Design!$B$31)*1000000*Constants!$D$25/1000000000*($C$2-Constants!$C$24)</f>
        <v>2.5500000000000002E-2</v>
      </c>
      <c r="G9" s="165">
        <f>$C$2*B9*($C$2/(Constants!$C$26*1000000000)*IF(ISBLANK(Design!$B$31),Design!$B$30,Design!$B$31)*1000000/2+$C$2/(Constants!$C$27*1000000000)*IF(ISBLANK(Design!$B$31),Design!$B$30,Design!$B$31)*1000000/2)</f>
        <v>0.18637499999999999</v>
      </c>
      <c r="H9" s="165">
        <f t="shared" ca="1" si="17"/>
        <v>0.36213876166413472</v>
      </c>
      <c r="I9" s="165">
        <f>Constants!$D$25/1000000000*Constants!$C$24*IF(ISBLANK(Design!$B$31),Design!$B$30,Design!$B$31)*1000000</f>
        <v>5.2499999999999998E-2</v>
      </c>
      <c r="J9" s="165">
        <f t="shared" ca="1" si="0"/>
        <v>0.62651376166413475</v>
      </c>
      <c r="K9" s="165">
        <f t="shared" ca="1" si="1"/>
        <v>0.15359456518847761</v>
      </c>
      <c r="L9" s="165">
        <f ca="1">B9^2*IF(ISBLANK(Design!$B$41),Constants!$C$6,Design!$B$41)/1000*(1+(O9-25)*(Constants!$C$32/100))</f>
        <v>0.15469430586828006</v>
      </c>
      <c r="M9" s="165">
        <f>0.5*Snubber!$B$16/1000000000000*$C$2^2*Design!$B$31*1000000</f>
        <v>1.2473999999999999E-2</v>
      </c>
      <c r="N9" s="166">
        <f ca="1">$A9+K9*Design!$B$18</f>
        <v>33.754890215743224</v>
      </c>
      <c r="O9" s="166">
        <f ca="1">J9*Design!$C$11+A9</f>
        <v>48.181009181572989</v>
      </c>
      <c r="P9" s="166">
        <f ca="1">Constants!$D$22+Constants!$D$22*Constants!$C$23/100*(O9-25)</f>
        <v>143.54480734525839</v>
      </c>
      <c r="Q9" s="165">
        <f ca="1">(1-Constants!$C$20/1000000000*Design!$B$31*1000000) * ($C$2+C9-B9*P9/1000) - (C9+B9*Design!$B$41/1000)</f>
        <v>4.432631828151254</v>
      </c>
      <c r="R9" s="165">
        <f ca="1">IF(Q9&gt;Design!$C$27,Design!$C$27,Q9)</f>
        <v>4.432631828151254</v>
      </c>
      <c r="S9" s="165">
        <f t="shared" ca="1" si="2"/>
        <v>0.94727663272089235</v>
      </c>
      <c r="T9" s="165">
        <f t="shared" ca="1" si="3"/>
        <v>7.8679214949684741</v>
      </c>
      <c r="U9" s="322">
        <f t="shared" ca="1" si="4"/>
        <v>89.254051707069323</v>
      </c>
      <c r="V9" s="328">
        <f t="shared" si="19"/>
        <v>1.7749999999999997</v>
      </c>
      <c r="W9" s="329">
        <f ca="1">FORECAST(V9, OFFSET(Design!$C$14:$C$16,MATCH(V9,Design!$B$14:$B$16,1)-1,0,2), OFFSET(Design!$B$14:$B$16,MATCH(V9,Design!$B$14:$B$16,1)-1,0,2))+(AH9-25)*Design!$B$17/1000</f>
        <v>0.41931965937059057</v>
      </c>
      <c r="X9" s="184">
        <f ca="1">IF(100*(Design!$C$27+W9+V9*IF(ISBLANK(Design!$B$41),Constants!$C$6,Design!$B$41)/1000*(1+Constants!$C$32/100*(AI9-25)))/($W$2+W9-V9*AJ9/1000)&gt;Design!$C$34,Design!$C$34,100*(Design!$C$27+W9+V9*IF(ISBLANK(Design!$B$41),Constants!$C$6,Design!$B$41)/1000*(1+Constants!$C$32/100*(AI9-25)))/($W$2+W9-V9*AJ9/1000))</f>
        <v>45.361171880298294</v>
      </c>
      <c r="Y9" s="183">
        <f ca="1">($W$2-V9*IF(ISBLANK(Design!$B$41),Constants!$C$6,Design!$B$41)/1000*(1+Constants!$C$32/100*(AI9-25))-Design!$C$27) / (IF(ISBLANK(Design!$B$40),Design!$B$38,Design!$B$40)/1000000) * X9/100/(IF(ISBLANK(Design!$B$31),Design!$B$30,Design!$B$31)*1000000)</f>
        <v>0.45252032005292819</v>
      </c>
      <c r="Z9" s="183">
        <f>$W$2*Constants!$C$21/1000+IF(ISBLANK(Design!$B$31),Design!$B$30,Design!$B$31)*1000000*Constants!$D$25/1000000000*($W$2-Constants!$C$24)</f>
        <v>0.10350000000000001</v>
      </c>
      <c r="AA9" s="183">
        <f>$W$2*V9*($W$2/(Constants!$C$26*1000000000)*IF(ISBLANK(Design!$B$31),Design!$B$30,Design!$B$31)*1000000/2+$W$2/(Constants!$C$27*1000000000)*IF(ISBLANK(Design!$B$31),Design!$B$30,Design!$B$31)*1000000/2)</f>
        <v>0.74549999999999994</v>
      </c>
      <c r="AB9" s="183">
        <f t="shared" ca="1" si="5"/>
        <v>0.22763741840033869</v>
      </c>
      <c r="AC9" s="183">
        <f>Constants!$D$25/1000000000*Constants!$C$24*IF(ISBLANK(Design!$B$31),Design!$B$30,Design!$B$31)*1000000</f>
        <v>5.2499999999999998E-2</v>
      </c>
      <c r="AD9" s="183">
        <f t="shared" ca="1" si="6"/>
        <v>1.1291374184003387</v>
      </c>
      <c r="AE9" s="183">
        <f t="shared" ca="1" si="7"/>
        <v>0.40667264262121772</v>
      </c>
      <c r="AF9" s="183">
        <f ca="1">V9^2*IF(ISBLANK(Design!$B$41),Constants!$C$6,Design!$B$41)/1000*(1+(AI9-25)*(Constants!$C$32/100))</f>
        <v>0.16505637364126005</v>
      </c>
      <c r="AG9" s="183">
        <f>0.5*Snubber!$B$16/1000000000000*$W$2^2*Design!$B$31*1000000</f>
        <v>4.9895999999999996E-2</v>
      </c>
      <c r="AH9" s="184">
        <f ca="1">$A9+AE9*Design!$B$18</f>
        <v>48.180340629409415</v>
      </c>
      <c r="AI9" s="184">
        <f ca="1">AD9*Design!$C$11+$A9</f>
        <v>66.778084480812538</v>
      </c>
      <c r="AJ9" s="184">
        <f ca="1">Constants!$D$22+Constants!$D$22*Constants!$C$23/100*(AI9-25)</f>
        <v>158.42246758465004</v>
      </c>
      <c r="AK9" s="183">
        <f ca="1">(1-Constants!$C$20/1000000000*Design!$B$31*1000000) * ($W$2+W9-V9*AJ9/1000) - (W9+V9*Design!$B$41/1000)</f>
        <v>9.2173702240453821</v>
      </c>
      <c r="AL9" s="183">
        <f ca="1">IF(AK9&gt;Design!$C$27,Design!$C$27,AK9)</f>
        <v>4.9936842105263155</v>
      </c>
      <c r="AM9" s="183">
        <f t="shared" ca="1" si="8"/>
        <v>1.7507624346628163</v>
      </c>
      <c r="AN9" s="183">
        <f t="shared" ca="1" si="9"/>
        <v>8.8637894736842089</v>
      </c>
      <c r="AO9" s="330">
        <f t="shared" ca="1" si="10"/>
        <v>83.506016553689292</v>
      </c>
      <c r="AP9" s="336">
        <f t="shared" si="20"/>
        <v>1.7749999999999997</v>
      </c>
      <c r="AQ9" s="337">
        <f ca="1">FORECAST(AP9, OFFSET(Design!$C$14:$C$16,MATCH(AP9,Design!$B$14:$B$16,1)-1,0,2), OFFSET(Design!$B$14:$B$16,MATCH(AP9,Design!$B$14:$B$16,1)-1,0,2))+(BB9-25)*Design!$B$17/1000</f>
        <v>0.41342126547500202</v>
      </c>
      <c r="AR9" s="196">
        <f ca="1">IF(100*(Design!$C$27+AQ9+AP9*IF(ISBLANK(Design!$B$41),Constants!$C$6,Design!$B$41)/1000*(1+Constants!$C$32/100*(BC9-25)))/($AQ$2+AQ9-AP9*BD9/1000)&gt;Design!$C$34,Design!$C$34,100*(Design!$C$27+AQ9+AP9*IF(ISBLANK(Design!$B$41),Constants!$C$6,Design!$B$41)/1000*(1+Constants!$C$32/100*(BC9-25)))/($AQ$2+AQ9-AP9*BD9/1000))</f>
        <v>30.480045772658151</v>
      </c>
      <c r="AS9" s="195">
        <f ca="1">($AQ$2-AP9*IF(ISBLANK(Design!$B$41),Constants!$C$6,Design!$B$41)/1000*(1+Constants!$C$32/100*(BC9-25))-Design!$C$27) / (IF(ISBLANK(Design!$B$40),Design!$B$38,Design!$B$40)/1000000) * AR9/100/(IF(ISBLANK(Design!$B$31),Design!$B$30,Design!$B$31)*1000000)</f>
        <v>0.56747151546441421</v>
      </c>
      <c r="AT9" s="195">
        <f>$AQ$2*Constants!$C$21/1000+IF(ISBLANK(Design!$B$31),Design!$B$30,Design!$B$31)*1000000*Constants!$D$25/1000000000*($AQ$2-Constants!$C$24)</f>
        <v>0.18149999999999999</v>
      </c>
      <c r="AU9" s="195">
        <f>$AQ$2*AP9*($AQ$2/(Constants!$C$26*1000000000)*IF(ISBLANK(Design!$B$31),Design!$B$30,Design!$B$31)*1000000/2+$AQ$2/(Constants!$C$27*1000000000)*IF(ISBLANK(Design!$B$31),Design!$B$30,Design!$B$31)*1000000/2)</f>
        <v>1.6773749999999996</v>
      </c>
      <c r="AV9" s="195">
        <f t="shared" ca="1" si="11"/>
        <v>0.18104556092177171</v>
      </c>
      <c r="AW9" s="195">
        <f>Constants!$D$25/1000000000*Constants!$C$24*IF(ISBLANK(Design!$B$31),Design!$B$30,Design!$B$31)*1000000</f>
        <v>5.2499999999999998E-2</v>
      </c>
      <c r="AX9" s="195">
        <f t="shared" ca="1" si="12"/>
        <v>2.0924205609217714</v>
      </c>
      <c r="AY9" s="195">
        <f t="shared" ca="1" si="13"/>
        <v>0.51015323728066586</v>
      </c>
      <c r="AZ9" s="195">
        <f ca="1">AP9^2*IF(ISBLANK(Design!$B$41),Constants!$C$6,Design!$B$41)/1000*(1+(BC9-25)*(Constants!$C$32/100))</f>
        <v>0.18491537763681976</v>
      </c>
      <c r="BA9" s="195">
        <f>0.5*Snubber!$B$16/1000000000000*$AQ$2^2*Design!$B$31*1000000</f>
        <v>0.11226599999999999</v>
      </c>
      <c r="BB9" s="196">
        <f ca="1">$A9+AY9*Design!$B$18</f>
        <v>54.078734524997955</v>
      </c>
      <c r="BC9" s="196">
        <f ca="1">AX9*Design!$C$11+$A9</f>
        <v>102.41956075410555</v>
      </c>
      <c r="BD9" s="196">
        <f ca="1">Constants!$D$22+Constants!$D$22*Constants!$C$23/100*(BC9-25)</f>
        <v>186.93564860328445</v>
      </c>
      <c r="BE9" s="195">
        <f ca="1">(1-Constants!$C$20/1000000000*Design!$B$31*1000000) * ($AQ$2+AQ9-AP9*BD9/1000) - (AQ9+AP9*Design!$B$41/1000)</f>
        <v>13.981032931132935</v>
      </c>
      <c r="BF9" s="195">
        <f ca="1">IF(BE9&gt;Design!$C$27,Design!$C$27,BE9)</f>
        <v>4.9936842105263155</v>
      </c>
      <c r="BG9" s="195">
        <f t="shared" ca="1" si="14"/>
        <v>2.8997551758392568</v>
      </c>
      <c r="BH9" s="195">
        <f t="shared" ca="1" si="15"/>
        <v>8.8637894736842089</v>
      </c>
      <c r="BI9" s="338">
        <f t="shared" ca="1" si="16"/>
        <v>75.349647897526154</v>
      </c>
    </row>
    <row r="10" spans="1:61" s="120" customFormat="1" ht="13.2" x14ac:dyDescent="0.25">
      <c r="A10" s="112">
        <v>25</v>
      </c>
      <c r="B10" s="320">
        <f t="shared" si="18"/>
        <v>2.0799999999999996</v>
      </c>
      <c r="C10" s="321">
        <f ca="1">FORECAST(B10, OFFSET(Design!$C$14:$C$16,MATCH(B10,Design!$B$14:$B$16,1)-1,0,2), OFFSET(Design!$B$14:$B$16,MATCH(B10,Design!$B$14:$B$16,1)-1,0,2))+(N10-25)*Design!$B$17/1000</f>
        <v>0.45132493762142306</v>
      </c>
      <c r="D10" s="166">
        <f ca="1">IF(100*(Design!$C$27+C10+B10*IF(ISBLANK(Design!$B$41),Constants!$C$6,Design!$B$41)/1000*(1+Constants!$C$32/100*(O10-25)))/($C$2+C10-B10*P10/1000)&gt;Design!$C$34,Design!$C$34,100*(Design!$C$27+C10+B10*IF(ISBLANK(Design!$B$41),Constants!$C$6,Design!$B$41)/1000*(1+Constants!$C$32/100*(O10-25)))/($C$2+C10-B10*P10/1000))</f>
        <v>80.05</v>
      </c>
      <c r="E10" s="165">
        <f ca="1">IF(($C$2-B10*IF(ISBLANK(Design!$B$41),Constants!$C$6,Design!$B$41)/1000*(1+Constants!$C$32/100*(O10-25))-Design!$C$27) / (IF(ISBLANK(Design!$B$40),Design!$B$38,Design!$B$40)/1000000) * D10/100/(IF(ISBLANK(Design!$B$31),Design!$B$30,Design!$B$31)*1000000)&lt;0,0,($C$2-B10*IF(ISBLANK(Design!$B$41),Constants!$C$6,Design!$B$41)/1000*(1+Constants!$C$32/100*(O10-25))-Design!$C$27) / (IF(ISBLANK(Design!$B$40),Design!$B$38,Design!$B$40)/1000000) * D10/100/(IF(ISBLANK(Design!$B$31),Design!$B$30,Design!$B$31)*1000000))</f>
        <v>0.10415211599444622</v>
      </c>
      <c r="F10" s="165">
        <f>$C$2*Constants!$C$21/1000+IF(ISBLANK(Design!$B$31),Design!$B$30,Design!$B$31)*1000000*Constants!$D$25/1000000000*($C$2-Constants!$C$24)</f>
        <v>2.5500000000000002E-2</v>
      </c>
      <c r="G10" s="165">
        <f>$C$2*B10*($C$2/(Constants!$C$26*1000000000)*IF(ISBLANK(Design!$B$31),Design!$B$30,Design!$B$31)*1000000/2+$C$2/(Constants!$C$27*1000000000)*IF(ISBLANK(Design!$B$31),Design!$B$30,Design!$B$31)*1000000/2)</f>
        <v>0.21839999999999996</v>
      </c>
      <c r="H10" s="165">
        <f t="shared" ref="H10:H13" ca="1" si="21">IF($D$78,1,D10/100*(B10^2+E10^2/12)*P10/1000)</f>
        <v>0.51633423515169896</v>
      </c>
      <c r="I10" s="165">
        <f>Constants!$D$25/1000000000*Constants!$C$24*IF(ISBLANK(Design!$B$31),Design!$B$30,Design!$B$31)*1000000</f>
        <v>5.2499999999999998E-2</v>
      </c>
      <c r="J10" s="165">
        <f t="shared" ref="J10:J13" ca="1" si="22">SUM(F10:I10)</f>
        <v>0.81273423515169885</v>
      </c>
      <c r="K10" s="165">
        <f t="shared" ref="K10:K13" ca="1" si="23">B10*C10*(1-D10/100)</f>
        <v>0.1872817961153857</v>
      </c>
      <c r="L10" s="165">
        <f ca="1">B10^2*IF(ISBLANK(Design!$B$41),Constants!$C$6,Design!$B$41)/1000*(1+(O10-25)*(Constants!$C$32/100))</f>
        <v>0.2176961665395602</v>
      </c>
      <c r="M10" s="165">
        <f>0.5*Snubber!$B$16/1000000000000*$C$2^2*Design!$B$31*1000000</f>
        <v>1.2473999999999999E-2</v>
      </c>
      <c r="N10" s="166">
        <f ca="1">$A10+K10*Design!$B$18</f>
        <v>35.675062378576982</v>
      </c>
      <c r="O10" s="166">
        <f ca="1">J10*Design!$C$11+A10</f>
        <v>55.071166700612856</v>
      </c>
      <c r="P10" s="166">
        <f ca="1">Constants!$D$22+Constants!$D$22*Constants!$C$23/100*(O10-25)</f>
        <v>149.05693336049029</v>
      </c>
      <c r="Q10" s="165">
        <f ca="1">(1-Constants!$C$20/1000000000*Design!$B$31*1000000) * ($C$2+C10-B10*P10/1000) - (C10+B10*Design!$B$41/1000)</f>
        <v>4.3711749186219748</v>
      </c>
      <c r="R10" s="165">
        <f ca="1">IF(Q10&gt;Design!$C$27,Design!$C$27,Q10)</f>
        <v>4.3711749186219748</v>
      </c>
      <c r="S10" s="165">
        <f t="shared" ref="S10:S13" ca="1" si="24">SUM(J10:M10)</f>
        <v>1.2301861978066448</v>
      </c>
      <c r="T10" s="165">
        <f t="shared" ref="T10:T13" ca="1" si="25">R10*B10</f>
        <v>9.0920438307337061</v>
      </c>
      <c r="U10" s="322">
        <f t="shared" ref="U10:U13" ca="1" si="26">100*T10/(T10+S10)</f>
        <v>88.082166407789273</v>
      </c>
      <c r="V10" s="328">
        <f t="shared" si="19"/>
        <v>2.0799999999999996</v>
      </c>
      <c r="W10" s="329">
        <f ca="1">FORECAST(V10, OFFSET(Design!$C$14:$C$16,MATCH(V10,Design!$B$14:$B$16,1)-1,0,2), OFFSET(Design!$B$14:$B$16,MATCH(V10,Design!$B$14:$B$16,1)-1,0,2))+(AH10-25)*Design!$B$17/1000</f>
        <v>0.43411443411916578</v>
      </c>
      <c r="X10" s="184">
        <f ca="1">IF(100*(Design!$C$27+W10+V10*IF(ISBLANK(Design!$B$41),Constants!$C$6,Design!$B$41)/1000*(1+Constants!$C$32/100*(AI10-25)))/($W$2+W10-V10*AJ10/1000)&gt;Design!$C$34,Design!$C$34,100*(Design!$C$27+W10+V10*IF(ISBLANK(Design!$B$41),Constants!$C$6,Design!$B$41)/1000*(1+Constants!$C$32/100*(AI10-25)))/($W$2+W10-V10*AJ10/1000))</f>
        <v>45.820243953119572</v>
      </c>
      <c r="Y10" s="183">
        <f ca="1">($W$2-V10*IF(ISBLANK(Design!$B$41),Constants!$C$6,Design!$B$41)/1000*(1+Constants!$C$32/100*(AI10-25))-Design!$C$27) / (IF(ISBLANK(Design!$B$40),Design!$B$38,Design!$B$40)/1000000) * X10/100/(IF(ISBLANK(Design!$B$31),Design!$B$30,Design!$B$31)*1000000)</f>
        <v>0.45583719183935772</v>
      </c>
      <c r="Z10" s="183">
        <f>$W$2*Constants!$C$21/1000+IF(ISBLANK(Design!$B$31),Design!$B$30,Design!$B$31)*1000000*Constants!$D$25/1000000000*($W$2-Constants!$C$24)</f>
        <v>0.10350000000000001</v>
      </c>
      <c r="AA10" s="183">
        <f>$W$2*V10*($W$2/(Constants!$C$26*1000000000)*IF(ISBLANK(Design!$B$31),Design!$B$30,Design!$B$31)*1000000/2+$W$2/(Constants!$C$27*1000000000)*IF(ISBLANK(Design!$B$31),Design!$B$30,Design!$B$31)*1000000/2)</f>
        <v>0.87359999999999982</v>
      </c>
      <c r="AB10" s="183">
        <f t="shared" ref="AB10:AB13" ca="1" si="27">IF($D$78,1,X10/100*(V10^2+Y10^2/12)*AJ10/1000)</f>
        <v>0.32881587265244022</v>
      </c>
      <c r="AC10" s="183">
        <f>Constants!$D$25/1000000000*Constants!$C$24*IF(ISBLANK(Design!$B$31),Design!$B$30,Design!$B$31)*1000000</f>
        <v>5.2499999999999998E-2</v>
      </c>
      <c r="AD10" s="183">
        <f t="shared" ref="AD10:AD13" ca="1" si="28">SUM(Z10:AC10)</f>
        <v>1.35841587265244</v>
      </c>
      <c r="AE10" s="183">
        <f t="shared" ref="AE10:AE13" ca="1" si="29">V10*W10*(1-X10/100)</f>
        <v>0.48922045404972364</v>
      </c>
      <c r="AF10" s="183">
        <f ca="1">V10^2*IF(ISBLANK(Design!$B$41),Constants!$C$6,Design!$B$41)/1000*(1+(AI10-25)*(Constants!$C$32/100))</f>
        <v>0.23314418564562903</v>
      </c>
      <c r="AG10" s="183">
        <f>0.5*Snubber!$B$16/1000000000000*$W$2^2*Design!$B$31*1000000</f>
        <v>4.9895999999999996E-2</v>
      </c>
      <c r="AH10" s="184">
        <f ca="1">$A10+AE10*Design!$B$18</f>
        <v>52.88556588083425</v>
      </c>
      <c r="AI10" s="184">
        <f ca="1">AD10*Design!$C$11+$A10</f>
        <v>75.261387288140284</v>
      </c>
      <c r="AJ10" s="184">
        <f ca="1">Constants!$D$22+Constants!$D$22*Constants!$C$23/100*(AI10-25)</f>
        <v>165.20910983051223</v>
      </c>
      <c r="AK10" s="183">
        <f ca="1">(1-Constants!$C$20/1000000000*Design!$B$31*1000000) * ($W$2+W10-V10*AJ10/1000) - (W10+V10*Design!$B$41/1000)</f>
        <v>9.1507143941610316</v>
      </c>
      <c r="AL10" s="183">
        <f ca="1">IF(AK10&gt;Design!$C$27,Design!$C$27,AK10)</f>
        <v>4.9936842105263155</v>
      </c>
      <c r="AM10" s="183">
        <f t="shared" ref="AM10:AM13" ca="1" si="30">SUM(AD10:AG10)</f>
        <v>2.1306765123477924</v>
      </c>
      <c r="AN10" s="183">
        <f t="shared" ref="AN10:AN13" ca="1" si="31">AL10*V10</f>
        <v>10.386863157894734</v>
      </c>
      <c r="AO10" s="330">
        <f t="shared" ref="AO10:AO13" ca="1" si="32">100*AN10/(AN10+AM10)</f>
        <v>82.978472060184728</v>
      </c>
      <c r="AP10" s="336">
        <f t="shared" si="20"/>
        <v>2.0799999999999996</v>
      </c>
      <c r="AQ10" s="337">
        <f ca="1">FORECAST(AP10, OFFSET(Design!$C$14:$C$16,MATCH(AP10,Design!$B$14:$B$16,1)-1,0,2), OFFSET(Design!$B$14:$B$16,MATCH(AP10,Design!$B$14:$B$16,1)-1,0,2))+(BB10-25)*Design!$B$17/1000</f>
        <v>0.42696760107538223</v>
      </c>
      <c r="AR10" s="196">
        <f ca="1">IF(100*(Design!$C$27+AQ10+AP10*IF(ISBLANK(Design!$B$41),Constants!$C$6,Design!$B$41)/1000*(1+Constants!$C$32/100*(BC10-25)))/($AQ$2+AQ10-AP10*BD10/1000)&gt;Design!$C$34,Design!$C$34,100*(Design!$C$27+AQ10+AP10*IF(ISBLANK(Design!$B$41),Constants!$C$6,Design!$B$41)/1000*(1+Constants!$C$32/100*(BC10-25)))/($AQ$2+AQ10-AP10*BD10/1000))</f>
        <v>30.795112714460959</v>
      </c>
      <c r="AS10" s="195">
        <f ca="1">($AQ$2-AP10*IF(ISBLANK(Design!$B$41),Constants!$C$6,Design!$B$41)/1000*(1+Constants!$C$32/100*(BC10-25))-Design!$C$27) / (IF(ISBLANK(Design!$B$40),Design!$B$38,Design!$B$40)/1000000) * AR10/100/(IF(ISBLANK(Design!$B$31),Design!$B$30,Design!$B$31)*1000000)</f>
        <v>0.5723165490294172</v>
      </c>
      <c r="AT10" s="195">
        <f>$AQ$2*Constants!$C$21/1000+IF(ISBLANK(Design!$B$31),Design!$B$30,Design!$B$31)*1000000*Constants!$D$25/1000000000*($AQ$2-Constants!$C$24)</f>
        <v>0.18149999999999999</v>
      </c>
      <c r="AU10" s="195">
        <f>$AQ$2*AP10*($AQ$2/(Constants!$C$26*1000000000)*IF(ISBLANK(Design!$B$31),Design!$B$30,Design!$B$31)*1000000/2+$AQ$2/(Constants!$C$27*1000000000)*IF(ISBLANK(Design!$B$31),Design!$B$30,Design!$B$31)*1000000/2)</f>
        <v>1.9655999999999993</v>
      </c>
      <c r="AV10" s="195">
        <f t="shared" ref="AV10:AV13" ca="1" si="33">IF($D$78,1,AR10/100*(AP10^2+AS10^2/12)*BD10/1000)</f>
        <v>0.26541600671958115</v>
      </c>
      <c r="AW10" s="195">
        <f>Constants!$D$25/1000000000*Constants!$C$24*IF(ISBLANK(Design!$B$31),Design!$B$30,Design!$B$31)*1000000</f>
        <v>5.2499999999999998E-2</v>
      </c>
      <c r="AX10" s="195">
        <f t="shared" ref="AX10:AX13" ca="1" si="34">SUM(AT10:AW10)</f>
        <v>2.4650160067195803</v>
      </c>
      <c r="AY10" s="195">
        <f t="shared" ref="AY10:AY13" ca="1" si="35">AP10*AQ10*(1-AR10/100)</f>
        <v>0.61460348990557545</v>
      </c>
      <c r="AZ10" s="195">
        <f ca="1">AP10^2*IF(ISBLANK(Design!$B$41),Constants!$C$6,Design!$B$41)/1000*(1+(BC10-25)*(Constants!$C$32/100))</f>
        <v>0.26447157297074175</v>
      </c>
      <c r="BA10" s="195">
        <f>0.5*Snubber!$B$16/1000000000000*$AQ$2^2*Design!$B$31*1000000</f>
        <v>0.11226599999999999</v>
      </c>
      <c r="BB10" s="196">
        <f ca="1">$A10+AY10*Design!$B$18</f>
        <v>60.032398924617802</v>
      </c>
      <c r="BC10" s="196">
        <f ca="1">AX10*Design!$C$11+$A10</f>
        <v>116.20559224862447</v>
      </c>
      <c r="BD10" s="196">
        <f ca="1">Constants!$D$22+Constants!$D$22*Constants!$C$23/100*(BC10-25)</f>
        <v>197.96447379889958</v>
      </c>
      <c r="BE10" s="195">
        <f ca="1">(1-Constants!$C$20/1000000000*Design!$B$31*1000000) * ($AQ$2+AQ10-AP10*BD10/1000) - (AQ10+AP10*Design!$B$41/1000)</f>
        <v>13.90060119613134</v>
      </c>
      <c r="BF10" s="195">
        <f ca="1">IF(BE10&gt;Design!$C$27,Design!$C$27,BE10)</f>
        <v>4.9936842105263155</v>
      </c>
      <c r="BG10" s="195">
        <f t="shared" ref="BG10:BG13" ca="1" si="36">SUM(AX10:BA10)</f>
        <v>3.4563570695958976</v>
      </c>
      <c r="BH10" s="195">
        <f t="shared" ref="BH10:BH13" ca="1" si="37">BF10*AP10</f>
        <v>10.386863157894734</v>
      </c>
      <c r="BI10" s="338">
        <f t="shared" ref="BI10:BI13" ca="1" si="38">100*BH10/(BH10+BG10)</f>
        <v>75.03213116026231</v>
      </c>
    </row>
    <row r="11" spans="1:61" s="120" customFormat="1" ht="13.2" x14ac:dyDescent="0.25">
      <c r="A11" s="112">
        <v>25</v>
      </c>
      <c r="B11" s="320">
        <f t="shared" si="18"/>
        <v>2.3849999999999998</v>
      </c>
      <c r="C11" s="321">
        <f ca="1">FORECAST(B11, OFFSET(Design!$C$14:$C$16,MATCH(B11,Design!$B$14:$B$16,1)-1,0,2), OFFSET(Design!$B$14:$B$16,MATCH(B11,Design!$B$14:$B$16,1)-1,0,2))+(N11-25)*Design!$B$17/1000</f>
        <v>0.45722459907481544</v>
      </c>
      <c r="D11" s="166">
        <f ca="1">IF(100*(Design!$C$27+C11+B11*IF(ISBLANK(Design!$B$41),Constants!$C$6,Design!$B$41)/1000*(1+Constants!$C$32/100*(O11-25)))/($C$2+C11-B11*P11/1000)&gt;Design!$C$34,Design!$C$34,100*(Design!$C$27+C11+B11*IF(ISBLANK(Design!$B$41),Constants!$C$6,Design!$B$41)/1000*(1+Constants!$C$32/100*(O11-25)))/($C$2+C11-B11*P11/1000))</f>
        <v>80.05</v>
      </c>
      <c r="E11" s="165">
        <f ca="1">IF(($C$2-B11*IF(ISBLANK(Design!$B$41),Constants!$C$6,Design!$B$41)/1000*(1+Constants!$C$32/100*(O11-25))-Design!$C$27) / (IF(ISBLANK(Design!$B$40),Design!$B$38,Design!$B$40)/1000000) * D11/100/(IF(ISBLANK(Design!$B$31),Design!$B$30,Design!$B$31)*1000000)&lt;0,0,($C$2-B11*IF(ISBLANK(Design!$B$41),Constants!$C$6,Design!$B$41)/1000*(1+Constants!$C$32/100*(O11-25))-Design!$C$27) / (IF(ISBLANK(Design!$B$40),Design!$B$38,Design!$B$40)/1000000) * D11/100/(IF(ISBLANK(Design!$B$31),Design!$B$30,Design!$B$31)*1000000))</f>
        <v>0.10197406505108651</v>
      </c>
      <c r="F11" s="165">
        <f>$C$2*Constants!$C$21/1000+IF(ISBLANK(Design!$B$31),Design!$B$30,Design!$B$31)*1000000*Constants!$D$25/1000000000*($C$2-Constants!$C$24)</f>
        <v>2.5500000000000002E-2</v>
      </c>
      <c r="G11" s="165">
        <f>$C$2*B11*($C$2/(Constants!$C$26*1000000000)*IF(ISBLANK(Design!$B$31),Design!$B$30,Design!$B$31)*1000000/2+$C$2/(Constants!$C$27*1000000000)*IF(ISBLANK(Design!$B$31),Design!$B$30,Design!$B$31)*1000000/2)</f>
        <v>0.25042500000000001</v>
      </c>
      <c r="H11" s="165">
        <f t="shared" ca="1" si="21"/>
        <v>0.7091289547920876</v>
      </c>
      <c r="I11" s="165">
        <f>Constants!$D$25/1000000000*Constants!$C$24*IF(ISBLANK(Design!$B$31),Design!$B$30,Design!$B$31)*1000000</f>
        <v>5.2499999999999998E-2</v>
      </c>
      <c r="J11" s="165">
        <f t="shared" ca="1" si="22"/>
        <v>1.0375539547920876</v>
      </c>
      <c r="K11" s="165">
        <f t="shared" ca="1" si="23"/>
        <v>0.21755089342429024</v>
      </c>
      <c r="L11" s="165">
        <f ca="1">B11^2*IF(ISBLANK(Design!$B$41),Constants!$C$6,Design!$B$41)/1000*(1+(O11-25)*(Constants!$C$32/100))</f>
        <v>0.29458852220752885</v>
      </c>
      <c r="M11" s="165">
        <f>0.5*Snubber!$B$16/1000000000000*$C$2^2*Design!$B$31*1000000</f>
        <v>1.2473999999999999E-2</v>
      </c>
      <c r="N11" s="166">
        <f ca="1">$A11+K11*Design!$B$18</f>
        <v>37.400400925184542</v>
      </c>
      <c r="O11" s="166">
        <f ca="1">J11*Design!$C$11+A11</f>
        <v>63.389496327307242</v>
      </c>
      <c r="P11" s="166">
        <f ca="1">Constants!$D$22+Constants!$D$22*Constants!$C$23/100*(O11-25)</f>
        <v>155.71159706184579</v>
      </c>
      <c r="Q11" s="165">
        <f ca="1">(1-Constants!$C$20/1000000000*Design!$B$31*1000000) * ($C$2+C11-B11*P11/1000) - (C11+B11*Design!$B$41/1000)</f>
        <v>4.3071752792110773</v>
      </c>
      <c r="R11" s="165">
        <f ca="1">IF(Q11&gt;Design!$C$27,Design!$C$27,Q11)</f>
        <v>4.3071752792110773</v>
      </c>
      <c r="S11" s="165">
        <f t="shared" ca="1" si="24"/>
        <v>1.5621673704239067</v>
      </c>
      <c r="T11" s="165">
        <f t="shared" ca="1" si="25"/>
        <v>10.272613040918419</v>
      </c>
      <c r="U11" s="322">
        <f t="shared" ca="1" si="26"/>
        <v>86.80019978294871</v>
      </c>
      <c r="V11" s="328">
        <f t="shared" si="19"/>
        <v>2.3849999999999998</v>
      </c>
      <c r="W11" s="329">
        <f ca="1">FORECAST(V11, OFFSET(Design!$C$14:$C$16,MATCH(V11,Design!$B$14:$B$16,1)-1,0,2), OFFSET(Design!$B$14:$B$16,MATCH(V11,Design!$B$14:$B$16,1)-1,0,2))+(AH11-25)*Design!$B$17/1000</f>
        <v>0.43765527166683837</v>
      </c>
      <c r="X11" s="184">
        <f ca="1">IF(100*(Design!$C$27+W11+V11*IF(ISBLANK(Design!$B$41),Constants!$C$6,Design!$B$41)/1000*(1+Constants!$C$32/100*(AI11-25)))/($W$2+W11-V11*AJ11/1000)&gt;Design!$C$34,Design!$C$34,100*(Design!$C$27+W11+V11*IF(ISBLANK(Design!$B$41),Constants!$C$6,Design!$B$41)/1000*(1+Constants!$C$32/100*(AI11-25)))/($W$2+W11-V11*AJ11/1000))</f>
        <v>46.266696361246481</v>
      </c>
      <c r="Y11" s="183">
        <f ca="1">($W$2-V11*IF(ISBLANK(Design!$B$41),Constants!$C$6,Design!$B$41)/1000*(1+Constants!$C$32/100*(AI11-25))-Design!$C$27) / (IF(ISBLANK(Design!$B$40),Design!$B$38,Design!$B$40)/1000000) * X11/100/(IF(ISBLANK(Design!$B$31),Design!$B$30,Design!$B$31)*1000000)</f>
        <v>0.45891527800710608</v>
      </c>
      <c r="Z11" s="183">
        <f>$W$2*Constants!$C$21/1000+IF(ISBLANK(Design!$B$31),Design!$B$30,Design!$B$31)*1000000*Constants!$D$25/1000000000*($W$2-Constants!$C$24)</f>
        <v>0.10350000000000001</v>
      </c>
      <c r="AA11" s="183">
        <f>$W$2*V11*($W$2/(Constants!$C$26*1000000000)*IF(ISBLANK(Design!$B$31),Design!$B$30,Design!$B$31)*1000000/2+$W$2/(Constants!$C$27*1000000000)*IF(ISBLANK(Design!$B$31),Design!$B$30,Design!$B$31)*1000000/2)</f>
        <v>1.0017</v>
      </c>
      <c r="AB11" s="183">
        <f t="shared" ca="1" si="27"/>
        <v>0.45608586532468504</v>
      </c>
      <c r="AC11" s="183">
        <f>Constants!$D$25/1000000000*Constants!$C$24*IF(ISBLANK(Design!$B$31),Design!$B$30,Design!$B$31)*1000000</f>
        <v>5.2499999999999998E-2</v>
      </c>
      <c r="AD11" s="183">
        <f t="shared" ca="1" si="28"/>
        <v>1.613785865324685</v>
      </c>
      <c r="AE11" s="183">
        <f t="shared" ca="1" si="29"/>
        <v>0.560872426897573</v>
      </c>
      <c r="AF11" s="183">
        <f ca="1">V11^2*IF(ISBLANK(Design!$B$41),Constants!$C$6,Design!$B$41)/1000*(1+(AI11-25)*(Constants!$C$32/100))</f>
        <v>0.31603622879977183</v>
      </c>
      <c r="AG11" s="183">
        <f>0.5*Snubber!$B$16/1000000000000*$W$2^2*Design!$B$31*1000000</f>
        <v>4.9895999999999996E-2</v>
      </c>
      <c r="AH11" s="184">
        <f ca="1">$A11+AE11*Design!$B$18</f>
        <v>56.969728333161662</v>
      </c>
      <c r="AI11" s="184">
        <f ca="1">AD11*Design!$C$11+$A11</f>
        <v>84.710077017013347</v>
      </c>
      <c r="AJ11" s="184">
        <f ca="1">Constants!$D$22+Constants!$D$22*Constants!$C$23/100*(AI11-25)</f>
        <v>172.76806161361068</v>
      </c>
      <c r="AK11" s="183">
        <f ca="1">(1-Constants!$C$20/1000000000*Design!$B$31*1000000) * ($W$2+W11-V11*AJ11/1000) - (W11+V11*Design!$B$41/1000)</f>
        <v>9.0815152858302213</v>
      </c>
      <c r="AL11" s="183">
        <f ca="1">IF(AK11&gt;Design!$C$27,Design!$C$27,AK11)</f>
        <v>4.9936842105263155</v>
      </c>
      <c r="AM11" s="183">
        <f t="shared" ca="1" si="30"/>
        <v>2.5405905210220299</v>
      </c>
      <c r="AN11" s="183">
        <f t="shared" ca="1" si="31"/>
        <v>11.909936842105262</v>
      </c>
      <c r="AO11" s="330">
        <f t="shared" ca="1" si="32"/>
        <v>82.418700320206085</v>
      </c>
      <c r="AP11" s="336">
        <f t="shared" si="20"/>
        <v>2.3849999999999998</v>
      </c>
      <c r="AQ11" s="337">
        <f ca="1">FORECAST(AP11, OFFSET(Design!$C$14:$C$16,MATCH(AP11,Design!$B$14:$B$16,1)-1,0,2), OFFSET(Design!$B$14:$B$16,MATCH(AP11,Design!$B$14:$B$16,1)-1,0,2))+(BB11-25)*Design!$B$17/1000</f>
        <v>0.42940147096104109</v>
      </c>
      <c r="AR11" s="196">
        <f ca="1">IF(100*(Design!$C$27+AQ11+AP11*IF(ISBLANK(Design!$B$41),Constants!$C$6,Design!$B$41)/1000*(1+Constants!$C$32/100*(BC11-25)))/($AQ$2+AQ11-AP11*BD11/1000)&gt;Design!$C$34,Design!$C$34,100*(Design!$C$27+AQ11+AP11*IF(ISBLANK(Design!$B$41),Constants!$C$6,Design!$B$41)/1000*(1+Constants!$C$32/100*(BC11-25)))/($AQ$2+AQ11-AP11*BD11/1000))</f>
        <v>31.094576833077262</v>
      </c>
      <c r="AS11" s="195">
        <f ca="1">($AQ$2-AP11*IF(ISBLANK(Design!$B$41),Constants!$C$6,Design!$B$41)/1000*(1+Constants!$C$32/100*(BC11-25))-Design!$C$27) / (IF(ISBLANK(Design!$B$40),Design!$B$38,Design!$B$40)/1000000) * AR11/100/(IF(ISBLANK(Design!$B$31),Design!$B$30,Design!$B$31)*1000000)</f>
        <v>0.57676849274453579</v>
      </c>
      <c r="AT11" s="195">
        <f>$AQ$2*Constants!$C$21/1000+IF(ISBLANK(Design!$B$31),Design!$B$30,Design!$B$31)*1000000*Constants!$D$25/1000000000*($AQ$2-Constants!$C$24)</f>
        <v>0.18149999999999999</v>
      </c>
      <c r="AU11" s="195">
        <f>$AQ$2*AP11*($AQ$2/(Constants!$C$26*1000000000)*IF(ISBLANK(Design!$B$31),Design!$B$30,Design!$B$31)*1000000/2+$AQ$2/(Constants!$C$27*1000000000)*IF(ISBLANK(Design!$B$31),Design!$B$30,Design!$B$31)*1000000/2)</f>
        <v>2.2538249999999995</v>
      </c>
      <c r="AV11" s="195">
        <f t="shared" ca="1" si="33"/>
        <v>0.37265735863647365</v>
      </c>
      <c r="AW11" s="195">
        <f>Constants!$D$25/1000000000*Constants!$C$24*IF(ISBLANK(Design!$B$31),Design!$B$30,Design!$B$31)*1000000</f>
        <v>5.2499999999999998E-2</v>
      </c>
      <c r="AX11" s="195">
        <f t="shared" ca="1" si="34"/>
        <v>2.8604823586364736</v>
      </c>
      <c r="AY11" s="195">
        <f t="shared" ca="1" si="35"/>
        <v>0.70567594805191036</v>
      </c>
      <c r="AZ11" s="195">
        <f ca="1">AP11^2*IF(ISBLANK(Design!$B$41),Constants!$C$6,Design!$B$41)/1000*(1+(BC11-25)*(Constants!$C$32/100))</f>
        <v>0.36243904009159778</v>
      </c>
      <c r="BA11" s="195">
        <f>0.5*Snubber!$B$16/1000000000000*$AQ$2^2*Design!$B$31*1000000</f>
        <v>0.11226599999999999</v>
      </c>
      <c r="BB11" s="196">
        <f ca="1">$A11+AY11*Design!$B$18</f>
        <v>65.223529038958901</v>
      </c>
      <c r="BC11" s="196">
        <f ca="1">AX11*Design!$C$11+$A11</f>
        <v>130.83784726954951</v>
      </c>
      <c r="BD11" s="196">
        <f ca="1">Constants!$D$22+Constants!$D$22*Constants!$C$23/100*(BC11-25)</f>
        <v>209.67027781563962</v>
      </c>
      <c r="BE11" s="195">
        <f ca="1">(1-Constants!$C$20/1000000000*Design!$B$31*1000000) * ($AQ$2+AQ11-AP11*BD11/1000) - (AQ11+AP11*Design!$B$41/1000)</f>
        <v>13.815708484664736</v>
      </c>
      <c r="BF11" s="195">
        <f ca="1">IF(BE11&gt;Design!$C$27,Design!$C$27,BE11)</f>
        <v>4.9936842105263155</v>
      </c>
      <c r="BG11" s="195">
        <f t="shared" ca="1" si="36"/>
        <v>4.0408633467799815</v>
      </c>
      <c r="BH11" s="195">
        <f t="shared" ca="1" si="37"/>
        <v>11.909936842105262</v>
      </c>
      <c r="BI11" s="338">
        <f t="shared" ca="1" si="38"/>
        <v>74.666704498024401</v>
      </c>
    </row>
    <row r="12" spans="1:61" s="120" customFormat="1" ht="13.2" x14ac:dyDescent="0.25">
      <c r="A12" s="112">
        <v>25</v>
      </c>
      <c r="B12" s="320">
        <f t="shared" si="18"/>
        <v>2.69</v>
      </c>
      <c r="C12" s="321">
        <f ca="1">FORECAST(B12, OFFSET(Design!$C$14:$C$16,MATCH(B12,Design!$B$14:$B$16,1)-1,0,2), OFFSET(Design!$B$14:$B$16,MATCH(B12,Design!$B$14:$B$16,1)-1,0,2))+(N12-25)*Design!$B$17/1000</f>
        <v>0.46308455152022315</v>
      </c>
      <c r="D12" s="166">
        <f ca="1">IF(100*(Design!$C$27+C12+B12*IF(ISBLANK(Design!$B$41),Constants!$C$6,Design!$B$41)/1000*(1+Constants!$C$32/100*(O12-25)))/($C$2+C12-B12*P12/1000)&gt;Design!$C$34,Design!$C$34,100*(Design!$C$27+C12+B12*IF(ISBLANK(Design!$B$41),Constants!$C$6,Design!$B$41)/1000*(1+Constants!$C$32/100*(O12-25)))/($C$2+C12-B12*P12/1000))</f>
        <v>80.05</v>
      </c>
      <c r="E12" s="165">
        <f ca="1">IF(($C$2-B12*IF(ISBLANK(Design!$B$41),Constants!$C$6,Design!$B$41)/1000*(1+Constants!$C$32/100*(O12-25))-Design!$C$27) / (IF(ISBLANK(Design!$B$40),Design!$B$38,Design!$B$40)/1000000) * D12/100/(IF(ISBLANK(Design!$B$31),Design!$B$30,Design!$B$31)*1000000)&lt;0,0,($C$2-B12*IF(ISBLANK(Design!$B$41),Constants!$C$6,Design!$B$41)/1000*(1+Constants!$C$32/100*(O12-25))-Design!$C$27) / (IF(ISBLANK(Design!$B$40),Design!$B$38,Design!$B$40)/1000000) * D12/100/(IF(ISBLANK(Design!$B$31),Design!$B$30,Design!$B$31)*1000000))</f>
        <v>9.9597409869645812E-2</v>
      </c>
      <c r="F12" s="165">
        <f>$C$2*Constants!$C$21/1000+IF(ISBLANK(Design!$B$31),Design!$B$30,Design!$B$31)*1000000*Constants!$D$25/1000000000*($C$2-Constants!$C$24)</f>
        <v>2.5500000000000002E-2</v>
      </c>
      <c r="G12" s="165">
        <f>$C$2*B12*($C$2/(Constants!$C$26*1000000000)*IF(ISBLANK(Design!$B$31),Design!$B$30,Design!$B$31)*1000000/2+$C$2/(Constants!$C$27*1000000000)*IF(ISBLANK(Design!$B$31),Design!$B$30,Design!$B$31)*1000000/2)</f>
        <v>0.28245000000000003</v>
      </c>
      <c r="H12" s="165">
        <f t="shared" ca="1" si="21"/>
        <v>0.94862128072037255</v>
      </c>
      <c r="I12" s="165">
        <f>Constants!$D$25/1000000000*Constants!$C$24*IF(ISBLANK(Design!$B$31),Design!$B$30,Design!$B$31)*1000000</f>
        <v>5.2499999999999998E-2</v>
      </c>
      <c r="J12" s="165">
        <f t="shared" ca="1" si="22"/>
        <v>1.3090712807203726</v>
      </c>
      <c r="K12" s="165">
        <f t="shared" ca="1" si="23"/>
        <v>0.24851663999608534</v>
      </c>
      <c r="L12" s="165">
        <f ca="1">B12^2*IF(ISBLANK(Design!$B$41),Constants!$C$6,Design!$B$41)/1000*(1+(O12-25)*(Constants!$C$32/100))</f>
        <v>0.38760779277605817</v>
      </c>
      <c r="M12" s="165">
        <f>0.5*Snubber!$B$16/1000000000000*$C$2^2*Design!$B$31*1000000</f>
        <v>1.2473999999999999E-2</v>
      </c>
      <c r="N12" s="166">
        <f ca="1">$A12+K12*Design!$B$18</f>
        <v>39.165448479776863</v>
      </c>
      <c r="O12" s="166">
        <f ca="1">J12*Design!$C$11+A12</f>
        <v>73.435637386653781</v>
      </c>
      <c r="P12" s="166">
        <f ca="1">Constants!$D$22+Constants!$D$22*Constants!$C$23/100*(O12-25)</f>
        <v>163.74850990932302</v>
      </c>
      <c r="Q12" s="165">
        <f ca="1">(1-Constants!$C$20/1000000000*Design!$B$31*1000000) * ($C$2+C12-B12*P12/1000) - (C12+B12*Design!$B$41/1000)</f>
        <v>4.2369575969010249</v>
      </c>
      <c r="R12" s="165">
        <f ca="1">IF(Q12&gt;Design!$C$27,Design!$C$27,Q12)</f>
        <v>4.2369575969010249</v>
      </c>
      <c r="S12" s="165">
        <f t="shared" ca="1" si="24"/>
        <v>1.9576697134925163</v>
      </c>
      <c r="T12" s="165">
        <f t="shared" ca="1" si="25"/>
        <v>11.397415935663757</v>
      </c>
      <c r="U12" s="322">
        <f t="shared" ca="1" si="26"/>
        <v>85.34139154984608</v>
      </c>
      <c r="V12" s="328">
        <f t="shared" si="19"/>
        <v>2.69</v>
      </c>
      <c r="W12" s="329">
        <f ca="1">FORECAST(V12, OFFSET(Design!$C$14:$C$16,MATCH(V12,Design!$B$14:$B$16,1)-1,0,2), OFFSET(Design!$B$14:$B$16,MATCH(V12,Design!$B$14:$B$16,1)-1,0,2))+(AH12-25)*Design!$B$17/1000</f>
        <v>0.4412304775601823</v>
      </c>
      <c r="X12" s="184">
        <f ca="1">IF(100*(Design!$C$27+W12+V12*IF(ISBLANK(Design!$B$41),Constants!$C$6,Design!$B$41)/1000*(1+Constants!$C$32/100*(AI12-25)))/($W$2+W12-V12*AJ12/1000)&gt;Design!$C$34,Design!$C$34,100*(Design!$C$27+W12+V12*IF(ISBLANK(Design!$B$41),Constants!$C$6,Design!$B$41)/1000*(1+Constants!$C$32/100*(AI12-25)))/($W$2+W12-V12*AJ12/1000))</f>
        <v>46.759109410819057</v>
      </c>
      <c r="Y12" s="183">
        <f ca="1">($W$2-V12*IF(ISBLANK(Design!$B$41),Constants!$C$6,Design!$B$41)/1000*(1+Constants!$C$32/100*(AI12-25))-Design!$C$27) / (IF(ISBLANK(Design!$B$40),Design!$B$38,Design!$B$40)/1000000) * X12/100/(IF(ISBLANK(Design!$B$31),Design!$B$30,Design!$B$31)*1000000)</f>
        <v>0.46231545349946435</v>
      </c>
      <c r="Z12" s="183">
        <f>$W$2*Constants!$C$21/1000+IF(ISBLANK(Design!$B$31),Design!$B$30,Design!$B$31)*1000000*Constants!$D$25/1000000000*($W$2-Constants!$C$24)</f>
        <v>0.10350000000000001</v>
      </c>
      <c r="AA12" s="183">
        <f>$W$2*V12*($W$2/(Constants!$C$26*1000000000)*IF(ISBLANK(Design!$B$31),Design!$B$30,Design!$B$31)*1000000/2+$W$2/(Constants!$C$27*1000000000)*IF(ISBLANK(Design!$B$31),Design!$B$30,Design!$B$31)*1000000/2)</f>
        <v>1.1298000000000001</v>
      </c>
      <c r="AB12" s="183">
        <f t="shared" ca="1" si="27"/>
        <v>0.61480192191554939</v>
      </c>
      <c r="AC12" s="183">
        <f>Constants!$D$25/1000000000*Constants!$C$24*IF(ISBLANK(Design!$B$31),Design!$B$30,Design!$B$31)*1000000</f>
        <v>5.2499999999999998E-2</v>
      </c>
      <c r="AD12" s="183">
        <f t="shared" ca="1" si="28"/>
        <v>1.9006019219155494</v>
      </c>
      <c r="AE12" s="183">
        <f t="shared" ca="1" si="29"/>
        <v>0.63192144631259117</v>
      </c>
      <c r="AF12" s="183">
        <f ca="1">V12^2*IF(ISBLANK(Design!$B$41),Constants!$C$6,Design!$B$41)/1000*(1+(AI12-25)*(Constants!$C$32/100))</f>
        <v>0.4156162116715188</v>
      </c>
      <c r="AG12" s="183">
        <f>0.5*Snubber!$B$16/1000000000000*$W$2^2*Design!$B$31*1000000</f>
        <v>4.9895999999999996E-2</v>
      </c>
      <c r="AH12" s="184">
        <f ca="1">$A12+AE12*Design!$B$18</f>
        <v>61.019522439817699</v>
      </c>
      <c r="AI12" s="184">
        <f ca="1">AD12*Design!$C$11+$A12</f>
        <v>95.322271110875334</v>
      </c>
      <c r="AJ12" s="184">
        <f ca="1">Constants!$D$22+Constants!$D$22*Constants!$C$23/100*(AI12-25)</f>
        <v>181.25781688870026</v>
      </c>
      <c r="AK12" s="183">
        <f ca="1">(1-Constants!$C$20/1000000000*Design!$B$31*1000000) * ($W$2+W12-V12*AJ12/1000) - (W12+V12*Design!$B$41/1000)</f>
        <v>9.0066139060185453</v>
      </c>
      <c r="AL12" s="183">
        <f ca="1">IF(AK12&gt;Design!$C$27,Design!$C$27,AK12)</f>
        <v>4.9936842105263155</v>
      </c>
      <c r="AM12" s="183">
        <f t="shared" ca="1" si="30"/>
        <v>2.9980355798996596</v>
      </c>
      <c r="AN12" s="183">
        <f t="shared" ca="1" si="31"/>
        <v>13.433010526315789</v>
      </c>
      <c r="AO12" s="330">
        <f t="shared" ca="1" si="32"/>
        <v>81.753836240739545</v>
      </c>
      <c r="AP12" s="336">
        <f t="shared" si="20"/>
        <v>2.69</v>
      </c>
      <c r="AQ12" s="337">
        <f ca="1">FORECAST(AP12, OFFSET(Design!$C$14:$C$16,MATCH(AP12,Design!$B$14:$B$16,1)-1,0,2), OFFSET(Design!$B$14:$B$16,MATCH(AP12,Design!$B$14:$B$16,1)-1,0,2))+(BB12-25)*Design!$B$17/1000</f>
        <v>0.4318433145169428</v>
      </c>
      <c r="AR12" s="196">
        <f ca="1">IF(100*(Design!$C$27+AQ12+AP12*IF(ISBLANK(Design!$B$41),Constants!$C$6,Design!$B$41)/1000*(1+Constants!$C$32/100*(BC12-25)))/($AQ$2+AQ12-AP12*BD12/1000)&gt;Design!$C$34,Design!$C$34,100*(Design!$C$27+AQ12+AP12*IF(ISBLANK(Design!$B$41),Constants!$C$6,Design!$B$41)/1000*(1+Constants!$C$32/100*(BC12-25)))/($AQ$2+AQ12-AP12*BD12/1000))</f>
        <v>31.42489757188374</v>
      </c>
      <c r="AS12" s="195">
        <f ca="1">($AQ$2-AP12*IF(ISBLANK(Design!$B$41),Constants!$C$6,Design!$B$41)/1000*(1+Constants!$C$32/100*(BC12-25))-Design!$C$27) / (IF(ISBLANK(Design!$B$40),Design!$B$38,Design!$B$40)/1000000) * AR12/100/(IF(ISBLANK(Design!$B$31),Design!$B$30,Design!$B$31)*1000000)</f>
        <v>0.58167686681065278</v>
      </c>
      <c r="AT12" s="195">
        <f>$AQ$2*Constants!$C$21/1000+IF(ISBLANK(Design!$B$31),Design!$B$30,Design!$B$31)*1000000*Constants!$D$25/1000000000*($AQ$2-Constants!$C$24)</f>
        <v>0.18149999999999999</v>
      </c>
      <c r="AU12" s="195">
        <f>$AQ$2*AP12*($AQ$2/(Constants!$C$26*1000000000)*IF(ISBLANK(Design!$B$31),Design!$B$30,Design!$B$31)*1000000/2+$AQ$2/(Constants!$C$27*1000000000)*IF(ISBLANK(Design!$B$31),Design!$B$30,Design!$B$31)*1000000/2)</f>
        <v>2.5420500000000001</v>
      </c>
      <c r="AV12" s="195">
        <f t="shared" ca="1" si="33"/>
        <v>0.50720164095368259</v>
      </c>
      <c r="AW12" s="195">
        <f>Constants!$D$25/1000000000*Constants!$C$24*IF(ISBLANK(Design!$B$31),Design!$B$30,Design!$B$31)*1000000</f>
        <v>5.2499999999999998E-2</v>
      </c>
      <c r="AX12" s="195">
        <f t="shared" ca="1" si="34"/>
        <v>3.2832516409536829</v>
      </c>
      <c r="AY12" s="195">
        <f t="shared" ca="1" si="35"/>
        <v>0.79660851724661796</v>
      </c>
      <c r="AZ12" s="195">
        <f ca="1">AP12^2*IF(ISBLANK(Design!$B$41),Constants!$C$6,Design!$B$41)/1000*(1+(BC12-25)*(Constants!$C$32/100))</f>
        <v>0.48108337416548314</v>
      </c>
      <c r="BA12" s="195">
        <f>0.5*Snubber!$B$16/1000000000000*$AQ$2^2*Design!$B$31*1000000</f>
        <v>0.11226599999999999</v>
      </c>
      <c r="BB12" s="196">
        <f ca="1">$A12+AY12*Design!$B$18</f>
        <v>70.406685483057231</v>
      </c>
      <c r="BC12" s="196">
        <f ca="1">AX12*Design!$C$11+$A12</f>
        <v>146.48031071528627</v>
      </c>
      <c r="BD12" s="196">
        <f ca="1">Constants!$D$22+Constants!$D$22*Constants!$C$23/100*(BC12-25)</f>
        <v>222.18424857222902</v>
      </c>
      <c r="BE12" s="195">
        <f ca="1">(1-Constants!$C$20/1000000000*Design!$B$31*1000000) * ($AQ$2+AQ12-AP12*BD12/1000) - (AQ12+AP12*Design!$B$41/1000)</f>
        <v>13.723357918012104</v>
      </c>
      <c r="BF12" s="195">
        <f ca="1">IF(BE12&gt;Design!$C$27,Design!$C$27,BE12)</f>
        <v>4.9936842105263155</v>
      </c>
      <c r="BG12" s="195">
        <f t="shared" ca="1" si="36"/>
        <v>4.6732095323657843</v>
      </c>
      <c r="BH12" s="195">
        <f t="shared" ca="1" si="37"/>
        <v>13.433010526315789</v>
      </c>
      <c r="BI12" s="338">
        <f t="shared" ca="1" si="38"/>
        <v>74.190032390967914</v>
      </c>
    </row>
    <row r="13" spans="1:61" s="120" customFormat="1" ht="13.8" thickBot="1" x14ac:dyDescent="0.3">
      <c r="A13" s="112">
        <v>25</v>
      </c>
      <c r="B13" s="320">
        <f t="shared" si="18"/>
        <v>2.9950000000000001</v>
      </c>
      <c r="C13" s="321">
        <f ca="1">FORECAST(B13, OFFSET(Design!$C$14:$C$16,MATCH(B13,Design!$B$14:$B$16,1)-1,0,2), OFFSET(Design!$B$14:$B$16,MATCH(B13,Design!$B$14:$B$16,1)-1,0,2))+(N13-25)*Design!$B$17/1000</f>
        <v>0.46890519451868951</v>
      </c>
      <c r="D13" s="166">
        <f ca="1">IF(100*(Design!$C$27+C13+B13*IF(ISBLANK(Design!$B$41),Constants!$C$6,Design!$B$41)/1000*(1+Constants!$C$32/100*(O13-25)))/($C$2+C13-B13*P13/1000)&gt;Design!$C$34,Design!$C$34,100*(Design!$C$27+C13+B13*IF(ISBLANK(Design!$B$41),Constants!$C$6,Design!$B$41)/1000*(1+Constants!$C$32/100*(O13-25)))/($C$2+C13-B13*P13/1000))</f>
        <v>80.05</v>
      </c>
      <c r="E13" s="165">
        <f ca="1">IF(($C$2-B13*IF(ISBLANK(Design!$B$41),Constants!$C$6,Design!$B$41)/1000*(1+Constants!$C$32/100*(O13-25))-Design!$C$27) / (IF(ISBLANK(Design!$B$40),Design!$B$38,Design!$B$40)/1000000) * D13/100/(IF(ISBLANK(Design!$B$31),Design!$B$30,Design!$B$31)*1000000)&lt;0,0,($C$2-B13*IF(ISBLANK(Design!$B$41),Constants!$C$6,Design!$B$41)/1000*(1+Constants!$C$32/100*(O13-25))-Design!$C$27) / (IF(ISBLANK(Design!$B$40),Design!$B$38,Design!$B$40)/1000000) * D13/100/(IF(ISBLANK(Design!$B$31),Design!$B$30,Design!$B$31)*1000000))</f>
        <v>9.6964760492995461E-2</v>
      </c>
      <c r="F13" s="165">
        <f>$C$2*Constants!$C$21/1000+IF(ISBLANK(Design!$B$31),Design!$B$30,Design!$B$31)*1000000*Constants!$D$25/1000000000*($C$2-Constants!$C$24)</f>
        <v>2.5500000000000002E-2</v>
      </c>
      <c r="G13" s="165">
        <f>$C$2*B13*($C$2/(Constants!$C$26*1000000000)*IF(ISBLANK(Design!$B$31),Design!$B$30,Design!$B$31)*1000000/2+$C$2/(Constants!$C$27*1000000000)*IF(ISBLANK(Design!$B$31),Design!$B$30,Design!$B$31)*1000000/2)</f>
        <v>0.314475</v>
      </c>
      <c r="H13" s="165">
        <f t="shared" ca="1" si="21"/>
        <v>1.2458961888339997</v>
      </c>
      <c r="I13" s="165">
        <f>Constants!$D$25/1000000000*Constants!$C$24*IF(ISBLANK(Design!$B$31),Design!$B$30,Design!$B$31)*1000000</f>
        <v>5.2499999999999998E-2</v>
      </c>
      <c r="J13" s="165">
        <f t="shared" ca="1" si="22"/>
        <v>1.6383711888339996</v>
      </c>
      <c r="K13" s="165">
        <f t="shared" ca="1" si="23"/>
        <v>0.28017202598790331</v>
      </c>
      <c r="L13" s="167">
        <f ca="1">B13^2*IF(ISBLANK(Design!$B$41),Constants!$C$6,Design!$B$41)/1000*(1+(O13-25)*(Constants!$C$32/100))</f>
        <v>0.49981517523471819</v>
      </c>
      <c r="M13" s="165">
        <f>0.5*Snubber!$B$16/1000000000000*$C$2^2*Design!$B$31*1000000</f>
        <v>1.2473999999999999E-2</v>
      </c>
      <c r="N13" s="166">
        <f ca="1">$A13+K13*Design!$B$18</f>
        <v>40.969805481310487</v>
      </c>
      <c r="O13" s="166">
        <f ca="1">J13*Design!$C$11+A13</f>
        <v>85.619733986857995</v>
      </c>
      <c r="P13" s="166">
        <f ca="1">Constants!$D$22+Constants!$D$22*Constants!$C$23/100*(O13-25)</f>
        <v>173.49578718948641</v>
      </c>
      <c r="Q13" s="165">
        <f ca="1">(1-Constants!$C$20/1000000000*Design!$B$31*1000000) * ($C$2+C13-B13*P13/1000) - (C13+B13*Design!$B$41/1000)</f>
        <v>4.158722697646196</v>
      </c>
      <c r="R13" s="165">
        <f ca="1">IF(Q13&gt;Design!$C$27,Design!$C$27,Q13)</f>
        <v>4.158722697646196</v>
      </c>
      <c r="S13" s="167">
        <f t="shared" ca="1" si="24"/>
        <v>2.4308323900566213</v>
      </c>
      <c r="T13" s="165">
        <f t="shared" ca="1" si="25"/>
        <v>12.455374479450358</v>
      </c>
      <c r="U13" s="322">
        <f t="shared" ca="1" si="26"/>
        <v>83.670572286376355</v>
      </c>
      <c r="V13" s="328">
        <f t="shared" si="19"/>
        <v>2.9950000000000001</v>
      </c>
      <c r="W13" s="329">
        <f ca="1">FORECAST(V13, OFFSET(Design!$C$14:$C$16,MATCH(V13,Design!$B$14:$B$16,1)-1,0,2), OFFSET(Design!$B$14:$B$16,MATCH(V13,Design!$B$14:$B$16,1)-1,0,2))+(AH13-25)*Design!$B$17/1000</f>
        <v>0.44485836693757219</v>
      </c>
      <c r="X13" s="184">
        <f ca="1">IF(100*(Design!$C$27+W13+V13*IF(ISBLANK(Design!$B$41),Constants!$C$6,Design!$B$41)/1000*(1+Constants!$C$32/100*(AI13-25)))/($W$2+W13-V13*AJ13/1000)&gt;Design!$C$34,Design!$C$34,100*(Design!$C$27+W13+V13*IF(ISBLANK(Design!$B$41),Constants!$C$6,Design!$B$41)/1000*(1+Constants!$C$32/100*(AI13-25)))/($W$2+W13-V13*AJ13/1000))</f>
        <v>47.307706848155057</v>
      </c>
      <c r="Y13" s="183">
        <f ca="1">($W$2-V13*IF(ISBLANK(Design!$B$41),Constants!$C$6,Design!$B$41)/1000*(1+Constants!$C$32/100*(AI13-25))-Design!$C$27) / (IF(ISBLANK(Design!$B$40),Design!$B$38,Design!$B$40)/1000000) * X13/100/(IF(ISBLANK(Design!$B$31),Design!$B$30,Design!$B$31)*1000000)</f>
        <v>0.4661089730821158</v>
      </c>
      <c r="Z13" s="183">
        <f>$W$2*Constants!$C$21/1000+IF(ISBLANK(Design!$B$31),Design!$B$30,Design!$B$31)*1000000*Constants!$D$25/1000000000*($W$2-Constants!$C$24)</f>
        <v>0.10350000000000001</v>
      </c>
      <c r="AA13" s="183">
        <f>$W$2*V13*($W$2/(Constants!$C$26*1000000000)*IF(ISBLANK(Design!$B$31),Design!$B$30,Design!$B$31)*1000000/2+$W$2/(Constants!$C$27*1000000000)*IF(ISBLANK(Design!$B$31),Design!$B$30,Design!$B$31)*1000000/2)</f>
        <v>1.2579</v>
      </c>
      <c r="AB13" s="183">
        <f t="shared" ca="1" si="27"/>
        <v>0.81161665198779454</v>
      </c>
      <c r="AC13" s="183">
        <f>Constants!$D$25/1000000000*Constants!$C$24*IF(ISBLANK(Design!$B$31),Design!$B$30,Design!$B$31)*1000000</f>
        <v>5.2499999999999998E-2</v>
      </c>
      <c r="AD13" s="183">
        <f t="shared" ca="1" si="28"/>
        <v>2.2255166519877947</v>
      </c>
      <c r="AE13" s="183">
        <f t="shared" ca="1" si="29"/>
        <v>0.70204619407768043</v>
      </c>
      <c r="AF13" s="187">
        <f ca="1">V13^2*IF(ISBLANK(Design!$B$41),Constants!$C$6,Design!$B$41)/1000*(1+(AI13-25)*(Constants!$C$32/100))</f>
        <v>0.53427762478387586</v>
      </c>
      <c r="AG13" s="183">
        <f>0.5*Snubber!$B$16/1000000000000*$W$2^2*Design!$B$31*1000000</f>
        <v>4.9895999999999996E-2</v>
      </c>
      <c r="AH13" s="184">
        <f ca="1">$A13+AE13*Design!$B$18</f>
        <v>65.016633062427786</v>
      </c>
      <c r="AI13" s="184">
        <f ca="1">AD13*Design!$C$11+$A13</f>
        <v>107.3441161235484</v>
      </c>
      <c r="AJ13" s="184">
        <f ca="1">Constants!$D$22+Constants!$D$22*Constants!$C$23/100*(AI13-25)</f>
        <v>190.87529289883872</v>
      </c>
      <c r="AK13" s="183">
        <f ca="1">(1-Constants!$C$20/1000000000*Design!$B$31*1000000) * ($W$2+W13-V13*AJ13/1000) - (W13+V13*Design!$B$41/1000)</f>
        <v>8.9248527182592206</v>
      </c>
      <c r="AL13" s="183">
        <f ca="1">IF(AK13&gt;Design!$C$27,Design!$C$27,AK13)</f>
        <v>4.9936842105263155</v>
      </c>
      <c r="AM13" s="183">
        <f t="shared" ca="1" si="30"/>
        <v>3.511736470849351</v>
      </c>
      <c r="AN13" s="183">
        <f t="shared" ca="1" si="31"/>
        <v>14.956084210526315</v>
      </c>
      <c r="AO13" s="330">
        <f t="shared" ca="1" si="32"/>
        <v>80.984564819871522</v>
      </c>
      <c r="AP13" s="336">
        <f t="shared" si="20"/>
        <v>2.9950000000000001</v>
      </c>
      <c r="AQ13" s="337">
        <f ca="1">FORECAST(AP13, OFFSET(Design!$C$14:$C$16,MATCH(AP13,Design!$B$14:$B$16,1)-1,0,2), OFFSET(Design!$B$14:$B$16,MATCH(AP13,Design!$B$14:$B$16,1)-1,0,2))+(BB13-25)*Design!$B$17/1000</f>
        <v>0.43430324909619922</v>
      </c>
      <c r="AR13" s="196">
        <f ca="1">IF(100*(Design!$C$27+AQ13+AP13*IF(ISBLANK(Design!$B$41),Constants!$C$6,Design!$B$41)/1000*(1+Constants!$C$32/100*(BC13-25)))/($AQ$2+AQ13-AP13*BD13/1000)&gt;Design!$C$34,Design!$C$34,100*(Design!$C$27+AQ13+AP13*IF(ISBLANK(Design!$B$41),Constants!$C$6,Design!$B$41)/1000*(1+Constants!$C$32/100*(BC13-25)))/($AQ$2+AQ13-AP13*BD13/1000))</f>
        <v>31.790757056846243</v>
      </c>
      <c r="AS13" s="195">
        <f ca="1">($AQ$2-AP13*IF(ISBLANK(Design!$B$41),Constants!$C$6,Design!$B$41)/1000*(1+Constants!$C$32/100*(BC13-25))-Design!$C$27) / (IF(ISBLANK(Design!$B$40),Design!$B$38,Design!$B$40)/1000000) * AR13/100/(IF(ISBLANK(Design!$B$31),Design!$B$30,Design!$B$31)*1000000)</f>
        <v>0.58710951121449761</v>
      </c>
      <c r="AT13" s="195">
        <f>$AQ$2*Constants!$C$21/1000+IF(ISBLANK(Design!$B$31),Design!$B$30,Design!$B$31)*1000000*Constants!$D$25/1000000000*($AQ$2-Constants!$C$24)</f>
        <v>0.18149999999999999</v>
      </c>
      <c r="AU13" s="195">
        <f>$AQ$2*AP13*($AQ$2/(Constants!$C$26*1000000000)*IF(ISBLANK(Design!$B$31),Design!$B$30,Design!$B$31)*1000000/2+$AQ$2/(Constants!$C$27*1000000000)*IF(ISBLANK(Design!$B$31),Design!$B$30,Design!$B$31)*1000000/2)</f>
        <v>2.8302749999999999</v>
      </c>
      <c r="AV13" s="195">
        <f t="shared" ca="1" si="33"/>
        <v>0.67416280944858931</v>
      </c>
      <c r="AW13" s="195">
        <f>Constants!$D$25/1000000000*Constants!$C$24*IF(ISBLANK(Design!$B$31),Design!$B$30,Design!$B$31)*1000000</f>
        <v>5.2499999999999998E-2</v>
      </c>
      <c r="AX13" s="195">
        <f t="shared" ca="1" si="34"/>
        <v>3.7384378094485897</v>
      </c>
      <c r="AY13" s="195">
        <f t="shared" ca="1" si="35"/>
        <v>0.88722370006668017</v>
      </c>
      <c r="AZ13" s="198">
        <f ca="1">AP13^2*IF(ISBLANK(Design!$B$41),Constants!$C$6,Design!$B$41)/1000*(1+(BC13-25)*(Constants!$C$32/100))</f>
        <v>0.62307839608862259</v>
      </c>
      <c r="BA13" s="195">
        <f>0.5*Snubber!$B$16/1000000000000*$AQ$2^2*Design!$B$31*1000000</f>
        <v>0.11226599999999999</v>
      </c>
      <c r="BB13" s="196">
        <f ca="1">$A13+AY13*Design!$B$18</f>
        <v>75.571750903800762</v>
      </c>
      <c r="BC13" s="196">
        <f ca="1">AX13*Design!$C$11+$A13</f>
        <v>163.32219894959783</v>
      </c>
      <c r="BD13" s="196">
        <f ca="1">Constants!$D$22+Constants!$D$22*Constants!$C$23/100*(BC13-25)</f>
        <v>235.65775915967828</v>
      </c>
      <c r="BE13" s="195">
        <f ca="1">(1-Constants!$C$20/1000000000*Design!$B$31*1000000) * ($AQ$2+AQ13-AP13*BD13/1000) - (AQ13+AP13*Design!$B$41/1000)</f>
        <v>13.622592613364377</v>
      </c>
      <c r="BF13" s="195">
        <f ca="1">IF(BE13&gt;Design!$C$27,Design!$C$27,BE13)</f>
        <v>4.9936842105263155</v>
      </c>
      <c r="BG13" s="195">
        <f t="shared" ca="1" si="36"/>
        <v>5.3610059056038928</v>
      </c>
      <c r="BH13" s="195">
        <f t="shared" ca="1" si="37"/>
        <v>14.956084210526315</v>
      </c>
      <c r="BI13" s="338">
        <f t="shared" ca="1" si="38"/>
        <v>73.613318270672693</v>
      </c>
    </row>
    <row r="14" spans="1:61" ht="16.2" thickBot="1" x14ac:dyDescent="0.35">
      <c r="A14" s="156" t="s">
        <v>194</v>
      </c>
      <c r="B14" s="156" t="s">
        <v>92</v>
      </c>
      <c r="C14" s="157" t="s">
        <v>219</v>
      </c>
      <c r="D14" s="169" t="s">
        <v>217</v>
      </c>
      <c r="E14" s="169" t="s">
        <v>218</v>
      </c>
      <c r="F14" s="169" t="s">
        <v>93</v>
      </c>
      <c r="G14" s="169" t="s">
        <v>94</v>
      </c>
      <c r="H14" s="169" t="s">
        <v>95</v>
      </c>
      <c r="I14" s="169" t="s">
        <v>182</v>
      </c>
      <c r="J14" s="169" t="s">
        <v>235</v>
      </c>
      <c r="K14" s="169" t="s">
        <v>237</v>
      </c>
      <c r="L14" s="169" t="s">
        <v>238</v>
      </c>
      <c r="M14" s="169" t="s">
        <v>249</v>
      </c>
      <c r="N14" s="169" t="s">
        <v>264</v>
      </c>
      <c r="O14" s="169" t="s">
        <v>265</v>
      </c>
      <c r="P14" s="169" t="s">
        <v>111</v>
      </c>
      <c r="Q14" s="169" t="s">
        <v>231</v>
      </c>
      <c r="R14" s="169" t="s">
        <v>236</v>
      </c>
      <c r="S14" s="200" t="s">
        <v>239</v>
      </c>
      <c r="T14" s="169" t="s">
        <v>240</v>
      </c>
      <c r="U14" s="212" t="s">
        <v>226</v>
      </c>
      <c r="V14" s="157" t="s">
        <v>92</v>
      </c>
      <c r="W14" s="157" t="s">
        <v>219</v>
      </c>
      <c r="X14" s="169" t="s">
        <v>217</v>
      </c>
      <c r="Y14" s="169" t="s">
        <v>218</v>
      </c>
      <c r="Z14" s="169" t="s">
        <v>93</v>
      </c>
      <c r="AA14" s="169" t="s">
        <v>94</v>
      </c>
      <c r="AB14" s="169" t="s">
        <v>95</v>
      </c>
      <c r="AC14" s="169" t="s">
        <v>182</v>
      </c>
      <c r="AD14" s="169" t="s">
        <v>235</v>
      </c>
      <c r="AE14" s="169" t="s">
        <v>237</v>
      </c>
      <c r="AF14" s="169" t="s">
        <v>238</v>
      </c>
      <c r="AG14" s="169" t="s">
        <v>249</v>
      </c>
      <c r="AH14" s="169" t="s">
        <v>264</v>
      </c>
      <c r="AI14" s="169" t="s">
        <v>265</v>
      </c>
      <c r="AJ14" s="169" t="s">
        <v>111</v>
      </c>
      <c r="AK14" s="169" t="s">
        <v>231</v>
      </c>
      <c r="AL14" s="169" t="s">
        <v>236</v>
      </c>
      <c r="AM14" s="169" t="s">
        <v>239</v>
      </c>
      <c r="AN14" s="169" t="s">
        <v>240</v>
      </c>
      <c r="AO14" s="212" t="s">
        <v>226</v>
      </c>
      <c r="AP14" s="157" t="s">
        <v>92</v>
      </c>
      <c r="AQ14" s="157" t="s">
        <v>219</v>
      </c>
      <c r="AR14" s="169" t="s">
        <v>217</v>
      </c>
      <c r="AS14" s="169" t="s">
        <v>218</v>
      </c>
      <c r="AT14" s="169" t="s">
        <v>93</v>
      </c>
      <c r="AU14" s="169" t="s">
        <v>94</v>
      </c>
      <c r="AV14" s="169" t="s">
        <v>95</v>
      </c>
      <c r="AW14" s="169" t="s">
        <v>182</v>
      </c>
      <c r="AX14" s="169" t="s">
        <v>235</v>
      </c>
      <c r="AY14" s="169" t="s">
        <v>237</v>
      </c>
      <c r="AZ14" s="169" t="s">
        <v>238</v>
      </c>
      <c r="BA14" s="169" t="s">
        <v>249</v>
      </c>
      <c r="BB14" s="169" t="s">
        <v>264</v>
      </c>
      <c r="BC14" s="169" t="s">
        <v>265</v>
      </c>
      <c r="BD14" s="169" t="s">
        <v>111</v>
      </c>
      <c r="BE14" s="169" t="s">
        <v>231</v>
      </c>
      <c r="BF14" s="169" t="s">
        <v>236</v>
      </c>
      <c r="BG14" s="169" t="s">
        <v>239</v>
      </c>
      <c r="BH14" s="169" t="s">
        <v>240</v>
      </c>
      <c r="BI14" s="212" t="s">
        <v>226</v>
      </c>
    </row>
    <row r="15" spans="1:61" ht="12.75" customHeight="1" x14ac:dyDescent="0.3">
      <c r="A15" s="159">
        <f>Design!$D$12</f>
        <v>85</v>
      </c>
      <c r="B15" s="317">
        <v>0.25</v>
      </c>
      <c r="C15" s="318">
        <f ca="1">FORECAST(B15, OFFSET(Design!$C$14:$C$16,MATCH(B15,Design!$B$14:$B$16,1)-1,0,2), OFFSET(Design!$B$14:$B$16,MATCH(B15,Design!$B$14:$B$16,1)-1,0,2))+(N15-25)*Design!$B$17/1000</f>
        <v>0.2631408124516903</v>
      </c>
      <c r="D15" s="164">
        <f ca="1">IF(100*(Design!$C$27+C15+B15*IF(ISBLANK(Design!$B$41),Constants!$C$6,Design!$B$41)/1000*(1+Constants!$C$32/100*(O15-25)))/($C$2+C15-B15*P15/1000)&gt;Design!$C$34,Design!$C$34,100*(Design!$C$27+C15+B15*IF(ISBLANK(Design!$B$41),Constants!$C$6,Design!$B$41)/1000*(1+Constants!$C$32/100*(O15-25)))/($C$2+C15-B15*P15/1000))</f>
        <v>80.05</v>
      </c>
      <c r="E15" s="163">
        <f ca="1">IF(($C$2-B15*IF(ISBLANK(Design!$B$41),Constants!$C$6,Design!$B$41)/1000*(1+Constants!$C$32/100*(O15-25))-Design!$C$27) / (IF(ISBLANK(Design!$B$40),Design!$B$38,Design!$B$40)/1000000) * D15/100/(IF(ISBLANK(Design!$B$31),Design!$B$30,Design!$B$31)*1000000)&lt;0,0,($C$2-B15*IF(ISBLANK(Design!$B$41),Constants!$C$6,Design!$B$41)/1000*(1+Constants!$C$32/100*(O15-25))-Design!$C$27) / (IF(ISBLANK(Design!$B$40),Design!$B$38,Design!$B$40)/1000000) * D15/100/(IF(ISBLANK(Design!$B$31),Design!$B$30,Design!$B$31)*1000000))</f>
        <v>0.11461448277390257</v>
      </c>
      <c r="F15" s="163">
        <f>$C$2*Constants!$C$21/1000+IF(ISBLANK(Design!$B$31),Design!$B$30,Design!$B$31)*1000000*Constants!$D$25/1000000000*($C$2-Constants!$C$24)</f>
        <v>2.5500000000000002E-2</v>
      </c>
      <c r="G15" s="163">
        <f>$C$2*B15*($C$2/(Constants!$C$26*1000000000)*IF(ISBLANK(Design!$B$31),Design!$B$30,Design!$B$31)*1000000/2+$C$2/(Constants!$C$27*1000000000)*IF(ISBLANK(Design!$B$31),Design!$B$30,Design!$B$31)*1000000/2)</f>
        <v>2.6250000000000002E-2</v>
      </c>
      <c r="H15" s="163">
        <f t="shared" ref="H15:H18" ca="1" si="39">IF($D$78,1,D15/100*(B15^2+E15^2/12)*P15/1000)</f>
        <v>8.9776269593234339E-3</v>
      </c>
      <c r="I15" s="163">
        <f>Constants!$D$25/1000000000*Constants!$C$24*IF(ISBLANK(Design!$B$31),Design!$B$30,Design!$B$31)*1000000</f>
        <v>5.2499999999999998E-2</v>
      </c>
      <c r="J15" s="163">
        <f t="shared" ref="J15:J18" ca="1" si="40">SUM(F15:I15)</f>
        <v>0.11322762695932344</v>
      </c>
      <c r="K15" s="163">
        <f t="shared" ref="K15:K18" ca="1" si="41">B15*C15*(1-D15/100)</f>
        <v>1.3124148021028055E-2</v>
      </c>
      <c r="L15" s="163">
        <f ca="1">B15^2*IF(ISBLANK(Design!$B$41),Constants!$C$6,Design!$B$41)/1000*(1+(O15-25)*(Constants!$C$32/100))</f>
        <v>3.5219937072266867E-3</v>
      </c>
      <c r="M15" s="163">
        <f>0.5*Snubber!$B$16/1000000000000*$C$2^2*Design!$B$31*1000000</f>
        <v>1.2473999999999999E-2</v>
      </c>
      <c r="N15" s="164">
        <f ca="1">$A15+K15*Design!$B$18</f>
        <v>85.748076437198606</v>
      </c>
      <c r="O15" s="164">
        <f ca="1">J15*Design!$C$11+A15</f>
        <v>89.189422197494963</v>
      </c>
      <c r="P15" s="164">
        <f ca="1">Constants!$D$22+Constants!$D$22*Constants!$C$23/100*(O15-25)</f>
        <v>176.35153775799597</v>
      </c>
      <c r="Q15" s="163">
        <f ca="1">(1-Constants!$C$20/1000000000*Design!$B$31*1000000) * ($C$2+C15-B15*P15/1000) - (C15+B15*Design!$B$41/1000)</f>
        <v>4.7039610564220684</v>
      </c>
      <c r="R15" s="163">
        <f ca="1">IF(Q15&gt;Design!$C$27,Design!$C$27,Q15)</f>
        <v>4.7039610564220684</v>
      </c>
      <c r="S15" s="163">
        <f t="shared" ref="S15:S18" ca="1" si="42">SUM(J15:M15)</f>
        <v>0.1423477686875782</v>
      </c>
      <c r="T15" s="163">
        <f t="shared" ref="T15:T18" ca="1" si="43">R15*B15</f>
        <v>1.1759902641055171</v>
      </c>
      <c r="U15" s="319">
        <f t="shared" ref="U15:U18" ca="1" si="44">100*T15/(T15+S15)</f>
        <v>89.202483342910668</v>
      </c>
      <c r="V15" s="325">
        <v>0.25</v>
      </c>
      <c r="W15" s="326">
        <f ca="1">FORECAST(V15, OFFSET(Design!$C$14:$C$16,MATCH(V15,Design!$B$14:$B$16,1)-1,0,2), OFFSET(Design!$B$14:$B$16,MATCH(V15,Design!$B$14:$B$16,1)-1,0,2))+(AH15-25)*Design!$B$17/1000</f>
        <v>0.26176777290425368</v>
      </c>
      <c r="X15" s="180">
        <f ca="1">IF(100*(Design!$C$27+W15+V15*IF(ISBLANK(Design!$B$41),Constants!$C$6,Design!$B$41)/1000*(1+Constants!$C$32/100*(AI15-25)))/($W$2+W15-V15*AJ15/1000)&gt;Design!$C$34,Design!$C$34,100*(Design!$C$27+W15+V15*IF(ISBLANK(Design!$B$41),Constants!$C$6,Design!$B$41)/1000*(1+Constants!$C$32/100*(AI15-25)))/($W$2+W15-V15*AJ15/1000))</f>
        <v>43.136527890982585</v>
      </c>
      <c r="Y15" s="179">
        <f ca="1">($W$2-V15*IF(ISBLANK(Design!$B$41),Constants!$C$6,Design!$B$41)/1000*(1+Constants!$C$32/100*(AI15-25))-Design!$C$27) / (IF(ISBLANK(Design!$B$40),Design!$B$38,Design!$B$40)/1000000) * X15/100/(IF(ISBLANK(Design!$B$31),Design!$B$30,Design!$B$31)*1000000)</f>
        <v>0.43522304680284984</v>
      </c>
      <c r="Z15" s="179">
        <f>$W$2*Constants!$C$21/1000+IF(ISBLANK(Design!$B$31),Design!$B$30,Design!$B$31)*1000000*Constants!$D$25/1000000000*($W$2-Constants!$C$24)</f>
        <v>0.10350000000000001</v>
      </c>
      <c r="AA15" s="179">
        <f>$W$2*V15*($W$2/(Constants!$C$26*1000000000)*IF(ISBLANK(Design!$B$31),Design!$B$30,Design!$B$31)*1000000/2+$W$2/(Constants!$C$27*1000000000)*IF(ISBLANK(Design!$B$31),Design!$B$30,Design!$B$31)*1000000/2)</f>
        <v>0.10500000000000001</v>
      </c>
      <c r="AB15" s="179">
        <f t="shared" ref="AB15:AB18" ca="1" si="45">IF($D$78,1,X15/100*(V15^2+Y15^2/12)*AJ15/1000)</f>
        <v>6.1091013099021938E-3</v>
      </c>
      <c r="AC15" s="179">
        <f>Constants!$D$25/1000000000*Constants!$C$24*IF(ISBLANK(Design!$B$31),Design!$B$30,Design!$B$31)*1000000</f>
        <v>5.2499999999999998E-2</v>
      </c>
      <c r="AD15" s="179">
        <f t="shared" ref="AD15:AD18" ca="1" si="46">SUM(Z15:AC15)</f>
        <v>0.26710910130990223</v>
      </c>
      <c r="AE15" s="179">
        <f t="shared" ref="AE15:AE18" ca="1" si="47">V15*W15*(1-X15/100)</f>
        <v>3.7212561133951584E-2</v>
      </c>
      <c r="AF15" s="179">
        <f ca="1">V15^2*IF(ISBLANK(Design!$B$41),Constants!$C$6,Design!$B$41)/1000*(1+(AI15-25)*(Constants!$C$32/100))</f>
        <v>3.5849259405603927E-3</v>
      </c>
      <c r="AG15" s="179">
        <f>0.5*Snubber!$B$16/1000000000000*$W$2^2*Design!$B$31*1000000</f>
        <v>4.9895999999999996E-2</v>
      </c>
      <c r="AH15" s="180">
        <f ca="1">$A15+AE15*Design!$B$18</f>
        <v>87.121115984635239</v>
      </c>
      <c r="AI15" s="180">
        <f ca="1">AD15*Design!$C$11+$A15</f>
        <v>94.883036748466381</v>
      </c>
      <c r="AJ15" s="180">
        <f ca="1">Constants!$D$22+Constants!$D$22*Constants!$C$23/100*(AI15-25)</f>
        <v>180.9064293987731</v>
      </c>
      <c r="AK15" s="179">
        <f ca="1">(1-Constants!$C$20/1000000000*Design!$B$31*1000000) * ($W$2+W15-V15*AJ15/1000) - (W15+V15*Design!$B$41/1000)</f>
        <v>9.5063234301221708</v>
      </c>
      <c r="AL15" s="179">
        <f ca="1">IF(AK15&gt;Design!$C$27,Design!$C$27,AK15)</f>
        <v>4.9936842105263155</v>
      </c>
      <c r="AM15" s="179">
        <f t="shared" ref="AM15:AM18" ca="1" si="48">SUM(AD15:AG15)</f>
        <v>0.3578025883844142</v>
      </c>
      <c r="AN15" s="179">
        <f t="shared" ref="AN15:AN18" ca="1" si="49">AL15*V15</f>
        <v>1.2484210526315789</v>
      </c>
      <c r="AO15" s="327">
        <f t="shared" ref="AO15:AO18" ca="1" si="50">100*AN15/(AN15+AM15)</f>
        <v>77.723986918901815</v>
      </c>
      <c r="AP15" s="333">
        <v>0.25</v>
      </c>
      <c r="AQ15" s="334">
        <f ca="1">FORECAST(AP15, OFFSET(Design!$C$14:$C$16,MATCH(AP15,Design!$B$14:$B$16,1)-1,0,2), OFFSET(Design!$B$14:$B$16,MATCH(AP15,Design!$B$14:$B$16,1)-1,0,2))+(BB15-25)*Design!$B$17/1000</f>
        <v>0.26124318743139552</v>
      </c>
      <c r="AR15" s="193">
        <f ca="1">IF(100*(Design!$C$27+AQ15+AP15*IF(ISBLANK(Design!$B$41),Constants!$C$6,Design!$B$41)/1000*(1+Constants!$C$32/100*(BC15-25)))/($AQ$2+AQ15-AP15*BD15/1000)&gt;Design!$C$34,Design!$C$34,100*(Design!$C$27+AQ15+AP15*IF(ISBLANK(Design!$B$41),Constants!$C$6,Design!$B$41)/1000*(1+Constants!$C$32/100*(BC15-25)))/($AQ$2+AQ15-AP15*BD15/1000))</f>
        <v>28.930870121261176</v>
      </c>
      <c r="AS15" s="192">
        <f ca="1">($AQ$2-AP15*IF(ISBLANK(Design!$B$41),Constants!$C$6,Design!$B$41)/1000*(1+Constants!$C$32/100*(BC15-25))-Design!$C$27) / (IF(ISBLANK(Design!$B$40),Design!$B$38,Design!$B$40)/1000000) * AR15/100/(IF(ISBLANK(Design!$B$31),Design!$B$30,Design!$B$31)*1000000)</f>
        <v>0.54236556401034564</v>
      </c>
      <c r="AT15" s="192">
        <f>$AQ$2*Constants!$C$21/1000+IF(ISBLANK(Design!$B$31),Design!$B$30,Design!$B$31)*1000000*Constants!$D$25/1000000000*($AQ$2-Constants!$C$24)</f>
        <v>0.18149999999999999</v>
      </c>
      <c r="AU15" s="192">
        <f>$AQ$2*AP15*($AQ$2/(Constants!$C$26*1000000000)*IF(ISBLANK(Design!$B$31),Design!$B$30,Design!$B$31)*1000000/2+$AQ$2/(Constants!$C$27*1000000000)*IF(ISBLANK(Design!$B$31),Design!$B$30,Design!$B$31)*1000000/2)</f>
        <v>0.23624999999999999</v>
      </c>
      <c r="AV15" s="192">
        <f t="shared" ref="AV15:AV18" ca="1" si="51">IF($D$78,1,AR15/100*(AP15^2+AS15^2/12)*BD15/1000)</f>
        <v>4.7089662765579555E-3</v>
      </c>
      <c r="AW15" s="192">
        <f>Constants!$D$25/1000000000*Constants!$C$24*IF(ISBLANK(Design!$B$31),Design!$B$30,Design!$B$31)*1000000</f>
        <v>5.2499999999999998E-2</v>
      </c>
      <c r="AX15" s="192">
        <f t="shared" ref="AX15:AX18" ca="1" si="52">SUM(AT15:AW15)</f>
        <v>0.47495896627655793</v>
      </c>
      <c r="AY15" s="192">
        <f t="shared" ref="AY15:AY18" ca="1" si="53">AP15*AQ15*(1-AR15/100)</f>
        <v>4.6415815043743897E-2</v>
      </c>
      <c r="AZ15" s="192">
        <f ca="1">AP15^2*IF(ISBLANK(Design!$B$41),Constants!$C$6,Design!$B$41)/1000*(1+(BC15-25)*(Constants!$C$32/100))</f>
        <v>3.6699293904926458E-3</v>
      </c>
      <c r="BA15" s="192">
        <f>0.5*Snubber!$B$16/1000000000000*$AQ$2^2*Design!$B$31*1000000</f>
        <v>0.11226599999999999</v>
      </c>
      <c r="BB15" s="193">
        <f ca="1">$A15+AY15*Design!$B$18</f>
        <v>87.645701457493402</v>
      </c>
      <c r="BC15" s="193">
        <f ca="1">AX15*Design!$C$11+$A15</f>
        <v>102.57348175223264</v>
      </c>
      <c r="BD15" s="193">
        <f ca="1">Constants!$D$22+Constants!$D$22*Constants!$C$23/100*(BC15-25)</f>
        <v>187.05878540178611</v>
      </c>
      <c r="BE15" s="192">
        <f ca="1">(1-Constants!$C$20/1000000000*Design!$B$31*1000000) * ($AQ$2+AQ15-AP15*BD15/1000) - (AQ15+AP15*Design!$B$41/1000)</f>
        <v>14.308196844678905</v>
      </c>
      <c r="BF15" s="192">
        <f ca="1">IF(BE15&gt;Design!$C$27,Design!$C$27,BE15)</f>
        <v>4.9936842105263155</v>
      </c>
      <c r="BG15" s="192">
        <f t="shared" ref="BG15:BG18" ca="1" si="54">SUM(AX15:BA15)</f>
        <v>0.63731071071079437</v>
      </c>
      <c r="BH15" s="192">
        <f t="shared" ref="BH15:BH18" ca="1" si="55">BF15*AP15</f>
        <v>1.2484210526315789</v>
      </c>
      <c r="BI15" s="335">
        <f t="shared" ref="BI15:BI18" ca="1" si="56">100*BH15/(BH15+BG15)</f>
        <v>66.203533127045063</v>
      </c>
    </row>
    <row r="16" spans="1:61" ht="12.75" customHeight="1" x14ac:dyDescent="0.3">
      <c r="A16" s="112">
        <f>Design!$D$12</f>
        <v>85</v>
      </c>
      <c r="B16" s="320">
        <f>B15+0.305</f>
        <v>0.55499999999999994</v>
      </c>
      <c r="C16" s="321">
        <f ca="1">FORECAST(B16, OFFSET(Design!$C$14:$C$16,MATCH(B16,Design!$B$14:$B$16,1)-1,0,2), OFFSET(Design!$B$14:$B$16,MATCH(B16,Design!$B$14:$B$16,1)-1,0,2))+(N16-25)*Design!$B$17/1000</f>
        <v>0.28580732889859461</v>
      </c>
      <c r="D16" s="166">
        <f ca="1">IF(100*(Design!$C$27+C16+B16*IF(ISBLANK(Design!$B$41),Constants!$C$6,Design!$B$41)/1000*(1+Constants!$C$32/100*(O16-25)))/($C$2+C16-B16*P16/1000)&gt;Design!$C$34,Design!$C$34,100*(Design!$C$27+C16+B16*IF(ISBLANK(Design!$B$41),Constants!$C$6,Design!$B$41)/1000*(1+Constants!$C$32/100*(O16-25)))/($C$2+C16-B16*P16/1000))</f>
        <v>80.05</v>
      </c>
      <c r="E16" s="165">
        <f ca="1">IF(($C$2-B16*IF(ISBLANK(Design!$B$41),Constants!$C$6,Design!$B$41)/1000*(1+Constants!$C$32/100*(O16-25))-Design!$C$27) / (IF(ISBLANK(Design!$B$40),Design!$B$38,Design!$B$40)/1000000) * D16/100/(IF(ISBLANK(Design!$B$31),Design!$B$30,Design!$B$31)*1000000)&lt;0,0,($C$2-B16*IF(ISBLANK(Design!$B$41),Constants!$C$6,Design!$B$41)/1000*(1+Constants!$C$32/100*(O16-25))-Design!$C$27) / (IF(ISBLANK(Design!$B$40),Design!$B$38,Design!$B$40)/1000000) * D16/100/(IF(ISBLANK(Design!$B$31),Design!$B$30,Design!$B$31)*1000000))</f>
        <v>0.11260095696527954</v>
      </c>
      <c r="F16" s="165">
        <f>$C$2*Constants!$C$21/1000+IF(ISBLANK(Design!$B$31),Design!$B$30,Design!$B$31)*1000000*Constants!$D$25/1000000000*($C$2-Constants!$C$24)</f>
        <v>2.5500000000000002E-2</v>
      </c>
      <c r="G16" s="165">
        <f>$C$2*B16*($C$2/(Constants!$C$26*1000000000)*IF(ISBLANK(Design!$B$31),Design!$B$30,Design!$B$31)*1000000/2+$C$2/(Constants!$C$27*1000000000)*IF(ISBLANK(Design!$B$31),Design!$B$30,Design!$B$31)*1000000/2)</f>
        <v>5.8275E-2</v>
      </c>
      <c r="H16" s="165">
        <f t="shared" ca="1" si="39"/>
        <v>4.4124807171387802E-2</v>
      </c>
      <c r="I16" s="165">
        <f>Constants!$D$25/1000000000*Constants!$C$24*IF(ISBLANK(Design!$B$31),Design!$B$30,Design!$B$31)*1000000</f>
        <v>5.2499999999999998E-2</v>
      </c>
      <c r="J16" s="165">
        <f t="shared" ca="1" si="40"/>
        <v>0.18039980717138779</v>
      </c>
      <c r="K16" s="165">
        <f t="shared" ca="1" si="41"/>
        <v>3.1645301973974638E-2</v>
      </c>
      <c r="L16" s="165">
        <f ca="1">B16^2*IF(ISBLANK(Design!$B$41),Constants!$C$6,Design!$B$41)/1000*(1+(O16-25)*(Constants!$C$32/100))</f>
        <v>1.7493182418344522E-2</v>
      </c>
      <c r="M16" s="165">
        <f>0.5*Snubber!$B$16/1000000000000*$C$2^2*Design!$B$31*1000000</f>
        <v>1.2473999999999999E-2</v>
      </c>
      <c r="N16" s="166">
        <f ca="1">$A16+K16*Design!$B$18</f>
        <v>86.803782212516552</v>
      </c>
      <c r="O16" s="166">
        <f ca="1">J16*Design!$C$11+A16</f>
        <v>91.674792865341345</v>
      </c>
      <c r="P16" s="166">
        <f ca="1">Constants!$D$22+Constants!$D$22*Constants!$C$23/100*(O16-25)</f>
        <v>178.33983429227308</v>
      </c>
      <c r="Q16" s="165">
        <f ca="1">(1-Constants!$C$20/1000000000*Design!$B$31*1000000) * ($C$2+C16-B16*P16/1000) - (C16+B16*Design!$B$41/1000)</f>
        <v>4.641774062154945</v>
      </c>
      <c r="R16" s="165">
        <f ca="1">IF(Q16&gt;Design!$C$27,Design!$C$27,Q16)</f>
        <v>4.641774062154945</v>
      </c>
      <c r="S16" s="165">
        <f t="shared" ca="1" si="42"/>
        <v>0.24201229156370696</v>
      </c>
      <c r="T16" s="165">
        <f t="shared" ca="1" si="43"/>
        <v>2.5761846044959942</v>
      </c>
      <c r="U16" s="322">
        <f t="shared" ca="1" si="44"/>
        <v>91.412513018445253</v>
      </c>
      <c r="V16" s="328">
        <f>V15+0.305</f>
        <v>0.55499999999999994</v>
      </c>
      <c r="W16" s="329">
        <f ca="1">FORECAST(V16, OFFSET(Design!$C$14:$C$16,MATCH(V16,Design!$B$14:$B$16,1)-1,0,2), OFFSET(Design!$B$14:$B$16,MATCH(V16,Design!$B$14:$B$16,1)-1,0,2))+(AH16-25)*Design!$B$17/1000</f>
        <v>0.28256821380936781</v>
      </c>
      <c r="X16" s="184">
        <f ca="1">IF(100*(Design!$C$27+W16+V16*IF(ISBLANK(Design!$B$41),Constants!$C$6,Design!$B$41)/1000*(1+Constants!$C$32/100*(AI16-25)))/($W$2+W16-V16*AJ16/1000)&gt;Design!$C$34,Design!$C$34,100*(Design!$C$27+W16+V16*IF(ISBLANK(Design!$B$41),Constants!$C$6,Design!$B$41)/1000*(1+Constants!$C$32/100*(AI16-25)))/($W$2+W16-V16*AJ16/1000))</f>
        <v>43.585729221149101</v>
      </c>
      <c r="Y16" s="183">
        <f ca="1">($W$2-V16*IF(ISBLANK(Design!$B$41),Constants!$C$6,Design!$B$41)/1000*(1+Constants!$C$32/100*(AI16-25))-Design!$C$27) / (IF(ISBLANK(Design!$B$40),Design!$B$38,Design!$B$40)/1000000) * X16/100/(IF(ISBLANK(Design!$B$31),Design!$B$30,Design!$B$31)*1000000)</f>
        <v>0.43862109157918078</v>
      </c>
      <c r="Z16" s="183">
        <f>$W$2*Constants!$C$21/1000+IF(ISBLANK(Design!$B$31),Design!$B$30,Design!$B$31)*1000000*Constants!$D$25/1000000000*($W$2-Constants!$C$24)</f>
        <v>0.10350000000000001</v>
      </c>
      <c r="AA16" s="183">
        <f>$W$2*V16*($W$2/(Constants!$C$26*1000000000)*IF(ISBLANK(Design!$B$31),Design!$B$30,Design!$B$31)*1000000/2+$W$2/(Constants!$C$27*1000000000)*IF(ISBLANK(Design!$B$31),Design!$B$30,Design!$B$31)*1000000/2)</f>
        <v>0.2331</v>
      </c>
      <c r="AB16" s="183">
        <f t="shared" ca="1" si="45"/>
        <v>2.6171158795583561E-2</v>
      </c>
      <c r="AC16" s="183">
        <f>Constants!$D$25/1000000000*Constants!$C$24*IF(ISBLANK(Design!$B$31),Design!$B$30,Design!$B$31)*1000000</f>
        <v>5.2499999999999998E-2</v>
      </c>
      <c r="AD16" s="183">
        <f t="shared" ca="1" si="46"/>
        <v>0.41527115879558357</v>
      </c>
      <c r="AE16" s="183">
        <f t="shared" ca="1" si="47"/>
        <v>8.8471882486725412E-2</v>
      </c>
      <c r="AF16" s="183">
        <f ca="1">V16^2*IF(ISBLANK(Design!$B$41),Constants!$C$6,Design!$B$41)/1000*(1+(AI16-25)*(Constants!$C$32/100))</f>
        <v>1.7966576475370054E-2</v>
      </c>
      <c r="AG16" s="183">
        <f>0.5*Snubber!$B$16/1000000000000*$W$2^2*Design!$B$31*1000000</f>
        <v>4.9895999999999996E-2</v>
      </c>
      <c r="AH16" s="184">
        <f ca="1">$A16+AE16*Design!$B$18</f>
        <v>90.042897301743352</v>
      </c>
      <c r="AI16" s="184">
        <f ca="1">AD16*Design!$C$11+$A16</f>
        <v>100.3650328754366</v>
      </c>
      <c r="AJ16" s="184">
        <f ca="1">Constants!$D$22+Constants!$D$22*Constants!$C$23/100*(AI16-25)</f>
        <v>185.29202630034928</v>
      </c>
      <c r="AK16" s="183">
        <f ca="1">(1-Constants!$C$20/1000000000*Design!$B$31*1000000) * ($W$2+W16-V16*AJ16/1000) - (W16+V16*Design!$B$41/1000)</f>
        <v>9.4423315631303772</v>
      </c>
      <c r="AL16" s="183">
        <f ca="1">IF(AK16&gt;Design!$C$27,Design!$C$27,AK16)</f>
        <v>4.9936842105263155</v>
      </c>
      <c r="AM16" s="183">
        <f t="shared" ca="1" si="48"/>
        <v>0.57160561775767893</v>
      </c>
      <c r="AN16" s="183">
        <f t="shared" ca="1" si="49"/>
        <v>2.7714947368421048</v>
      </c>
      <c r="AO16" s="330">
        <f t="shared" ca="1" si="50"/>
        <v>82.901930629416938</v>
      </c>
      <c r="AP16" s="336">
        <f>AP5</f>
        <v>0.55499999999999994</v>
      </c>
      <c r="AQ16" s="337">
        <f ca="1">FORECAST(AP16, OFFSET(Design!$C$14:$C$16,MATCH(AP16,Design!$B$14:$B$16,1)-1,0,2), OFFSET(Design!$B$14:$B$16,MATCH(AP16,Design!$B$14:$B$16,1)-1,0,2))+(BB16-25)*Design!$B$17/1000</f>
        <v>0.28131154300423322</v>
      </c>
      <c r="AR16" s="196">
        <f ca="1">IF(100*(Design!$C$27+AQ16+AP16*IF(ISBLANK(Design!$B$41),Constants!$C$6,Design!$B$41)/1000*(1+Constants!$C$32/100*(BC16-25)))/($AQ$2+AQ16-AP16*BD16/1000)&gt;Design!$C$34,Design!$C$34,100*(Design!$C$27+AQ16+AP16*IF(ISBLANK(Design!$B$41),Constants!$C$6,Design!$B$41)/1000*(1+Constants!$C$32/100*(BC16-25)))/($AQ$2+AQ16-AP16*BD16/1000))</f>
        <v>29.212694073332237</v>
      </c>
      <c r="AS16" s="195">
        <f ca="1">($AQ$2-AP16*IF(ISBLANK(Design!$B$41),Constants!$C$6,Design!$B$41)/1000*(1+Constants!$C$32/100*(BC16-25))-Design!$C$27) / (IF(ISBLANK(Design!$B$40),Design!$B$38,Design!$B$40)/1000000) * AR16/100/(IF(ISBLANK(Design!$B$31),Design!$B$30,Design!$B$31)*1000000)</f>
        <v>0.54684763621734733</v>
      </c>
      <c r="AT16" s="195">
        <f>$AQ$2*Constants!$C$21/1000+IF(ISBLANK(Design!$B$31),Design!$B$30,Design!$B$31)*1000000*Constants!$D$25/1000000000*($AQ$2-Constants!$C$24)</f>
        <v>0.18149999999999999</v>
      </c>
      <c r="AU16" s="195">
        <f>$AQ$2*AP16*($AQ$2/(Constants!$C$26*1000000000)*IF(ISBLANK(Design!$B$31),Design!$B$30,Design!$B$31)*1000000/2+$AQ$2/(Constants!$C$27*1000000000)*IF(ISBLANK(Design!$B$31),Design!$B$30,Design!$B$31)*1000000/2)</f>
        <v>0.52447499999999991</v>
      </c>
      <c r="AV16" s="195">
        <f t="shared" ca="1" si="51"/>
        <v>1.9064879675029893E-2</v>
      </c>
      <c r="AW16" s="195">
        <f>Constants!$D$25/1000000000*Constants!$C$24*IF(ISBLANK(Design!$B$31),Design!$B$30,Design!$B$31)*1000000</f>
        <v>5.2499999999999998E-2</v>
      </c>
      <c r="AX16" s="195">
        <f t="shared" ca="1" si="52"/>
        <v>0.7775398796750298</v>
      </c>
      <c r="AY16" s="195">
        <f t="shared" ca="1" si="53"/>
        <v>0.11051873871715703</v>
      </c>
      <c r="AZ16" s="195">
        <f ca="1">AP16^2*IF(ISBLANK(Design!$B$41),Constants!$C$6,Design!$B$41)/1000*(1+(BC16-25)*(Constants!$C$32/100))</f>
        <v>1.8696745814136287E-2</v>
      </c>
      <c r="BA16" s="195">
        <f>0.5*Snubber!$B$16/1000000000000*$AQ$2^2*Design!$B$31*1000000</f>
        <v>0.11226599999999999</v>
      </c>
      <c r="BB16" s="196">
        <f ca="1">$A16+AY16*Design!$B$18</f>
        <v>91.299568106877956</v>
      </c>
      <c r="BC16" s="196">
        <f ca="1">AX16*Design!$C$11+$A16</f>
        <v>113.7689755479761</v>
      </c>
      <c r="BD16" s="196">
        <f ca="1">Constants!$D$22+Constants!$D$22*Constants!$C$23/100*(BC16-25)</f>
        <v>196.01518043838087</v>
      </c>
      <c r="BE16" s="195">
        <f ca="1">(1-Constants!$C$20/1000000000*Design!$B$31*1000000) * ($AQ$2+AQ16-AP16*BD16/1000) - (AQ16+AP16*Design!$B$41/1000)</f>
        <v>14.24081821284344</v>
      </c>
      <c r="BF16" s="195">
        <f ca="1">IF(BE16&gt;Design!$C$27,Design!$C$27,BE16)</f>
        <v>4.9936842105263155</v>
      </c>
      <c r="BG16" s="195">
        <f t="shared" ca="1" si="54"/>
        <v>1.0190213642063231</v>
      </c>
      <c r="BH16" s="195">
        <f t="shared" ca="1" si="55"/>
        <v>2.7714947368421048</v>
      </c>
      <c r="BI16" s="338">
        <f t="shared" ca="1" si="56"/>
        <v>73.116553602701501</v>
      </c>
    </row>
    <row r="17" spans="1:61" ht="12.75" customHeight="1" x14ac:dyDescent="0.3">
      <c r="A17" s="112">
        <f>Design!$D$12</f>
        <v>85</v>
      </c>
      <c r="B17" s="320">
        <f t="shared" ref="B17:B24" si="57">B16+0.305</f>
        <v>0.85999999999999988</v>
      </c>
      <c r="C17" s="321">
        <f ca="1">FORECAST(B17, OFFSET(Design!$C$14:$C$16,MATCH(B17,Design!$B$14:$B$16,1)-1,0,2), OFFSET(Design!$B$14:$B$16,MATCH(B17,Design!$B$14:$B$16,1)-1,0,2))+(N17-25)*Design!$B$17/1000</f>
        <v>0.30831813917445816</v>
      </c>
      <c r="D17" s="166">
        <f ca="1">IF(100*(Design!$C$27+C17+B17*IF(ISBLANK(Design!$B$41),Constants!$C$6,Design!$B$41)/1000*(1+Constants!$C$32/100*(O17-25)))/($C$2+C17-B17*P17/1000)&gt;Design!$C$34,Design!$C$34,100*(Design!$C$27+C17+B17*IF(ISBLANK(Design!$B$41),Constants!$C$6,Design!$B$41)/1000*(1+Constants!$C$32/100*(O17-25)))/($C$2+C17-B17*P17/1000))</f>
        <v>80.05</v>
      </c>
      <c r="E17" s="165">
        <f ca="1">IF(($C$2-B17*IF(ISBLANK(Design!$B$41),Constants!$C$6,Design!$B$41)/1000*(1+Constants!$C$32/100*(O17-25))-Design!$C$27) / (IF(ISBLANK(Design!$B$40),Design!$B$38,Design!$B$40)/1000000) * D17/100/(IF(ISBLANK(Design!$B$31),Design!$B$30,Design!$B$31)*1000000)&lt;0,0,($C$2-B17*IF(ISBLANK(Design!$B$41),Constants!$C$6,Design!$B$41)/1000*(1+Constants!$C$32/100*(O17-25))-Design!$C$27) / (IF(ISBLANK(Design!$B$40),Design!$B$38,Design!$B$40)/1000000) * D17/100/(IF(ISBLANK(Design!$B$31),Design!$B$30,Design!$B$31)*1000000))</f>
        <v>0.11053817364852686</v>
      </c>
      <c r="F17" s="165">
        <f>$C$2*Constants!$C$21/1000+IF(ISBLANK(Design!$B$31),Design!$B$30,Design!$B$31)*1000000*Constants!$D$25/1000000000*($C$2-Constants!$C$24)</f>
        <v>2.5500000000000002E-2</v>
      </c>
      <c r="G17" s="165">
        <f>$C$2*B17*($C$2/(Constants!$C$26*1000000000)*IF(ISBLANK(Design!$B$31),Design!$B$30,Design!$B$31)*1000000/2+$C$2/(Constants!$C$27*1000000000)*IF(ISBLANK(Design!$B$31),Design!$B$30,Design!$B$31)*1000000/2)</f>
        <v>9.0299999999999991E-2</v>
      </c>
      <c r="H17" s="165">
        <f t="shared" ca="1" si="39"/>
        <v>0.10740389844026113</v>
      </c>
      <c r="I17" s="165">
        <f>Constants!$D$25/1000000000*Constants!$C$24*IF(ISBLANK(Design!$B$31),Design!$B$30,Design!$B$31)*1000000</f>
        <v>5.2499999999999998E-2</v>
      </c>
      <c r="J17" s="165">
        <f t="shared" ca="1" si="40"/>
        <v>0.27570389844026111</v>
      </c>
      <c r="K17" s="165">
        <f t="shared" ca="1" si="41"/>
        <v>5.2898143138161782E-2</v>
      </c>
      <c r="L17" s="165">
        <f ca="1">B17^2*IF(ISBLANK(Design!$B$41),Constants!$C$6,Design!$B$41)/1000*(1+(O17-25)*(Constants!$C$32/100))</f>
        <v>4.2464174437074495E-2</v>
      </c>
      <c r="M17" s="165">
        <f>0.5*Snubber!$B$16/1000000000000*$C$2^2*Design!$B$31*1000000</f>
        <v>1.2473999999999999E-2</v>
      </c>
      <c r="N17" s="166">
        <f ca="1">$A17+K17*Design!$B$18</f>
        <v>88.015194158875218</v>
      </c>
      <c r="O17" s="166">
        <f ca="1">J17*Design!$C$11+A17</f>
        <v>95.201044242289669</v>
      </c>
      <c r="P17" s="166">
        <f ca="1">Constants!$D$22+Constants!$D$22*Constants!$C$23/100*(O17-25)</f>
        <v>181.16083539383175</v>
      </c>
      <c r="Q17" s="165">
        <f ca="1">(1-Constants!$C$20/1000000000*Design!$B$31*1000000) * ($C$2+C17-B17*P17/1000) - (C17+B17*Design!$B$41/1000)</f>
        <v>4.5780739773245207</v>
      </c>
      <c r="R17" s="165">
        <f ca="1">IF(Q17&gt;Design!$C$27,Design!$C$27,Q17)</f>
        <v>4.5780739773245207</v>
      </c>
      <c r="S17" s="165">
        <f t="shared" ca="1" si="42"/>
        <v>0.38354021601549737</v>
      </c>
      <c r="T17" s="165">
        <f t="shared" ca="1" si="43"/>
        <v>3.9371436204990871</v>
      </c>
      <c r="U17" s="322">
        <f t="shared" ca="1" si="44"/>
        <v>91.123159422724797</v>
      </c>
      <c r="V17" s="328">
        <f t="shared" ref="V17:V24" si="58">V16+0.305</f>
        <v>0.85999999999999988</v>
      </c>
      <c r="W17" s="329">
        <f ca="1">FORECAST(V17, OFFSET(Design!$C$14:$C$16,MATCH(V17,Design!$B$14:$B$16,1)-1,0,2), OFFSET(Design!$B$14:$B$16,MATCH(V17,Design!$B$14:$B$16,1)-1,0,2))+(AH17-25)*Design!$B$17/1000</f>
        <v>0.30302286587561589</v>
      </c>
      <c r="X17" s="184">
        <f ca="1">IF(100*(Design!$C$27+W17+V17*IF(ISBLANK(Design!$B$41),Constants!$C$6,Design!$B$41)/1000*(1+Constants!$C$32/100*(AI17-25)))/($W$2+W17-V17*AJ17/1000)&gt;Design!$C$34,Design!$C$34,100*(Design!$C$27+W17+V17*IF(ISBLANK(Design!$B$41),Constants!$C$6,Design!$B$41)/1000*(1+Constants!$C$32/100*(AI17-25)))/($W$2+W17-V17*AJ17/1000))</f>
        <v>44.053007554358466</v>
      </c>
      <c r="Y17" s="183">
        <f ca="1">($W$2-V17*IF(ISBLANK(Design!$B$41),Constants!$C$6,Design!$B$41)/1000*(1+Constants!$C$32/100*(AI17-25))-Design!$C$27) / (IF(ISBLANK(Design!$B$40),Design!$B$38,Design!$B$40)/1000000) * X17/100/(IF(ISBLANK(Design!$B$31),Design!$B$30,Design!$B$31)*1000000)</f>
        <v>0.44213349540957408</v>
      </c>
      <c r="Z17" s="183">
        <f>$W$2*Constants!$C$21/1000+IF(ISBLANK(Design!$B$31),Design!$B$30,Design!$B$31)*1000000*Constants!$D$25/1000000000*($W$2-Constants!$C$24)</f>
        <v>0.10350000000000001</v>
      </c>
      <c r="AA17" s="183">
        <f>$W$2*V17*($W$2/(Constants!$C$26*1000000000)*IF(ISBLANK(Design!$B$31),Design!$B$30,Design!$B$31)*1000000/2+$W$2/(Constants!$C$27*1000000000)*IF(ISBLANK(Design!$B$31),Design!$B$30,Design!$B$31)*1000000/2)</f>
        <v>0.36119999999999997</v>
      </c>
      <c r="AB17" s="183">
        <f t="shared" ca="1" si="45"/>
        <v>6.3329710966775199E-2</v>
      </c>
      <c r="AC17" s="183">
        <f>Constants!$D$25/1000000000*Constants!$C$24*IF(ISBLANK(Design!$B$31),Design!$B$30,Design!$B$31)*1000000</f>
        <v>5.2499999999999998E-2</v>
      </c>
      <c r="AD17" s="183">
        <f t="shared" ca="1" si="46"/>
        <v>0.58052971096677519</v>
      </c>
      <c r="AE17" s="183">
        <f t="shared" ca="1" si="47"/>
        <v>0.14579767469679769</v>
      </c>
      <c r="AF17" s="183">
        <f ca="1">V17^2*IF(ISBLANK(Design!$B$41),Constants!$C$6,Design!$B$41)/1000*(1+(AI17-25)*(Constants!$C$32/100))</f>
        <v>4.3939389814692004E-2</v>
      </c>
      <c r="AG17" s="183">
        <f>0.5*Snubber!$B$16/1000000000000*$W$2^2*Design!$B$31*1000000</f>
        <v>4.9895999999999996E-2</v>
      </c>
      <c r="AH17" s="184">
        <f ca="1">$A17+AE17*Design!$B$18</f>
        <v>93.310467457717465</v>
      </c>
      <c r="AI17" s="184">
        <f ca="1">AD17*Design!$C$11+$A17</f>
        <v>106.47959930577068</v>
      </c>
      <c r="AJ17" s="184">
        <f ca="1">Constants!$D$22+Constants!$D$22*Constants!$C$23/100*(AI17-25)</f>
        <v>190.18367944461653</v>
      </c>
      <c r="AK17" s="183">
        <f ca="1">(1-Constants!$C$20/1000000000*Design!$B$31*1000000) * ($W$2+W17-V17*AJ17/1000) - (W17+V17*Design!$B$41/1000)</f>
        <v>9.3759187878177563</v>
      </c>
      <c r="AL17" s="183">
        <f ca="1">IF(AK17&gt;Design!$C$27,Design!$C$27,AK17)</f>
        <v>4.9936842105263155</v>
      </c>
      <c r="AM17" s="183">
        <f t="shared" ca="1" si="48"/>
        <v>0.82016277547826499</v>
      </c>
      <c r="AN17" s="183">
        <f t="shared" ca="1" si="49"/>
        <v>4.2945684210526309</v>
      </c>
      <c r="AO17" s="330">
        <f t="shared" ca="1" si="50"/>
        <v>83.964694448956649</v>
      </c>
      <c r="AP17" s="336">
        <f t="shared" ref="AP17:AP24" si="59">AP6</f>
        <v>0.85999999999999988</v>
      </c>
      <c r="AQ17" s="337">
        <f ca="1">FORECAST(AP17, OFFSET(Design!$C$14:$C$16,MATCH(AP17,Design!$B$14:$B$16,1)-1,0,2), OFFSET(Design!$B$14:$B$16,MATCH(AP17,Design!$B$14:$B$16,1)-1,0,2))+(BB17-25)*Design!$B$17/1000</f>
        <v>0.30093485680211568</v>
      </c>
      <c r="AR17" s="196">
        <f ca="1">IF(100*(Design!$C$27+AQ17+AP17*IF(ISBLANK(Design!$B$41),Constants!$C$6,Design!$B$41)/1000*(1+Constants!$C$32/100*(BC17-25)))/($AQ$2+AQ17-AP17*BD17/1000)&gt;Design!$C$34,Design!$C$34,100*(Design!$C$27+AQ17+AP17*IF(ISBLANK(Design!$B$41),Constants!$C$6,Design!$B$41)/1000*(1+Constants!$C$32/100*(BC17-25)))/($AQ$2+AQ17-AP17*BD17/1000))</f>
        <v>29.510583628225369</v>
      </c>
      <c r="AS17" s="195">
        <f ca="1">($AQ$2-AP17*IF(ISBLANK(Design!$B$41),Constants!$C$6,Design!$B$41)/1000*(1+Constants!$C$32/100*(BC17-25))-Design!$C$27) / (IF(ISBLANK(Design!$B$40),Design!$B$38,Design!$B$40)/1000000) * AR17/100/(IF(ISBLANK(Design!$B$31),Design!$B$30,Design!$B$31)*1000000)</f>
        <v>0.55156001729053361</v>
      </c>
      <c r="AT17" s="195">
        <f>$AQ$2*Constants!$C$21/1000+IF(ISBLANK(Design!$B$31),Design!$B$30,Design!$B$31)*1000000*Constants!$D$25/1000000000*($AQ$2-Constants!$C$24)</f>
        <v>0.18149999999999999</v>
      </c>
      <c r="AU17" s="195">
        <f>$AQ$2*AP17*($AQ$2/(Constants!$C$26*1000000000)*IF(ISBLANK(Design!$B$31),Design!$B$30,Design!$B$31)*1000000/2+$AQ$2/(Constants!$C$27*1000000000)*IF(ISBLANK(Design!$B$31),Design!$B$30,Design!$B$31)*1000000/2)</f>
        <v>0.81269999999999976</v>
      </c>
      <c r="AV17" s="195">
        <f t="shared" ca="1" si="51"/>
        <v>4.6357063924563208E-2</v>
      </c>
      <c r="AW17" s="195">
        <f>Constants!$D$25/1000000000*Constants!$C$24*IF(ISBLANK(Design!$B$31),Design!$B$30,Design!$B$31)*1000000</f>
        <v>5.2499999999999998E-2</v>
      </c>
      <c r="AX17" s="195">
        <f t="shared" ca="1" si="52"/>
        <v>1.0930570639245629</v>
      </c>
      <c r="AY17" s="195">
        <f t="shared" ca="1" si="53"/>
        <v>0.18242941282838046</v>
      </c>
      <c r="AZ17" s="195">
        <f ca="1">AP17^2*IF(ISBLANK(Design!$B$41),Constants!$C$6,Design!$B$41)/1000*(1+(BC17-25)*(Constants!$C$32/100))</f>
        <v>4.6419784195555529E-2</v>
      </c>
      <c r="BA17" s="195">
        <f>0.5*Snubber!$B$16/1000000000000*$AQ$2^2*Design!$B$31*1000000</f>
        <v>0.11226599999999999</v>
      </c>
      <c r="BB17" s="196">
        <f ca="1">$A17+AY17*Design!$B$18</f>
        <v>95.398476531217682</v>
      </c>
      <c r="BC17" s="196">
        <f ca="1">AX17*Design!$C$11+$A17</f>
        <v>125.44311136520884</v>
      </c>
      <c r="BD17" s="196">
        <f ca="1">Constants!$D$22+Constants!$D$22*Constants!$C$23/100*(BC17-25)</f>
        <v>205.35448909216706</v>
      </c>
      <c r="BE17" s="195">
        <f ca="1">(1-Constants!$C$20/1000000000*Design!$B$31*1000000) * ($AQ$2+AQ17-AP17*BD17/1000) - (AQ17+AP17*Design!$B$41/1000)</f>
        <v>14.168891305142257</v>
      </c>
      <c r="BF17" s="195">
        <f ca="1">IF(BE17&gt;Design!$C$27,Design!$C$27,BE17)</f>
        <v>4.9936842105263155</v>
      </c>
      <c r="BG17" s="195">
        <f t="shared" ca="1" si="54"/>
        <v>1.434172260948499</v>
      </c>
      <c r="BH17" s="195">
        <f t="shared" ca="1" si="55"/>
        <v>4.2945684210526309</v>
      </c>
      <c r="BI17" s="338">
        <f t="shared" ca="1" si="56"/>
        <v>74.96531366039207</v>
      </c>
    </row>
    <row r="18" spans="1:61" ht="12.75" customHeight="1" x14ac:dyDescent="0.3">
      <c r="A18" s="112">
        <f>Design!$D$12</f>
        <v>85</v>
      </c>
      <c r="B18" s="320">
        <f t="shared" si="57"/>
        <v>1.1649999999999998</v>
      </c>
      <c r="C18" s="321">
        <f ca="1">FORECAST(B18, OFFSET(Design!$C$14:$C$16,MATCH(B18,Design!$B$14:$B$16,1)-1,0,2), OFFSET(Design!$B$14:$B$16,MATCH(B18,Design!$B$14:$B$16,1)-1,0,2))+(N18-25)*Design!$B$17/1000</f>
        <v>0.3306748422076442</v>
      </c>
      <c r="D18" s="166">
        <f ca="1">IF(100*(Design!$C$27+C18+B18*IF(ISBLANK(Design!$B$41),Constants!$C$6,Design!$B$41)/1000*(1+Constants!$C$32/100*(O18-25)))/($C$2+C18-B18*P18/1000)&gt;Design!$C$34,Design!$C$34,100*(Design!$C$27+C18+B18*IF(ISBLANK(Design!$B$41),Constants!$C$6,Design!$B$41)/1000*(1+Constants!$C$32/100*(O18-25)))/($C$2+C18-B18*P18/1000))</f>
        <v>80.05</v>
      </c>
      <c r="E18" s="165">
        <f ca="1">IF(($C$2-B18*IF(ISBLANK(Design!$B$41),Constants!$C$6,Design!$B$41)/1000*(1+Constants!$C$32/100*(O18-25))-Design!$C$27) / (IF(ISBLANK(Design!$B$40),Design!$B$38,Design!$B$40)/1000000) * D18/100/(IF(ISBLANK(Design!$B$31),Design!$B$30,Design!$B$31)*1000000)&lt;0,0,($C$2-B18*IF(ISBLANK(Design!$B$41),Constants!$C$6,Design!$B$41)/1000*(1+Constants!$C$32/100*(O18-25))-Design!$C$27) / (IF(ISBLANK(Design!$B$40),Design!$B$38,Design!$B$40)/1000000) * D18/100/(IF(ISBLANK(Design!$B$31),Design!$B$30,Design!$B$31)*1000000))</f>
        <v>0.10840474484805265</v>
      </c>
      <c r="F18" s="165">
        <f>$C$2*Constants!$C$21/1000+IF(ISBLANK(Design!$B$31),Design!$B$30,Design!$B$31)*1000000*Constants!$D$25/1000000000*($C$2-Constants!$C$24)</f>
        <v>2.5500000000000002E-2</v>
      </c>
      <c r="G18" s="165">
        <f>$C$2*B18*($C$2/(Constants!$C$26*1000000000)*IF(ISBLANK(Design!$B$31),Design!$B$30,Design!$B$31)*1000000/2+$C$2/(Constants!$C$27*1000000000)*IF(ISBLANK(Design!$B$31),Design!$B$30,Design!$B$31)*1000000/2)</f>
        <v>0.12232499999999999</v>
      </c>
      <c r="H18" s="165">
        <f t="shared" ca="1" si="39"/>
        <v>0.20100883741319792</v>
      </c>
      <c r="I18" s="165">
        <f>Constants!$D$25/1000000000*Constants!$C$24*IF(ISBLANK(Design!$B$31),Design!$B$30,Design!$B$31)*1000000</f>
        <v>5.2499999999999998E-2</v>
      </c>
      <c r="J18" s="165">
        <f t="shared" ca="1" si="40"/>
        <v>0.40133383741319789</v>
      </c>
      <c r="K18" s="165">
        <f t="shared" ca="1" si="41"/>
        <v>7.6854620138795141E-2</v>
      </c>
      <c r="L18" s="165">
        <f ca="1">B18^2*IF(ISBLANK(Design!$B$41),Constants!$C$6,Design!$B$41)/1000*(1+(O18-25)*(Constants!$C$32/100))</f>
        <v>7.9040858767434954E-2</v>
      </c>
      <c r="M18" s="165">
        <f>0.5*Snubber!$B$16/1000000000000*$C$2^2*Design!$B$31*1000000</f>
        <v>1.2473999999999999E-2</v>
      </c>
      <c r="N18" s="166">
        <f ca="1">$A18+K18*Design!$B$18</f>
        <v>89.380713347911325</v>
      </c>
      <c r="O18" s="166">
        <f ca="1">J18*Design!$C$11+A18</f>
        <v>99.849351984288319</v>
      </c>
      <c r="P18" s="166">
        <f ca="1">Constants!$D$22+Constants!$D$22*Constants!$C$23/100*(O18-25)</f>
        <v>184.87948158743066</v>
      </c>
      <c r="Q18" s="165">
        <f ca="1">(1-Constants!$C$20/1000000000*Design!$B$31*1000000) * ($C$2+C18-B18*P18/1000) - (C18+B18*Design!$B$41/1000)</f>
        <v>4.5121899998420645</v>
      </c>
      <c r="R18" s="165">
        <f ca="1">IF(Q18&gt;Design!$C$27,Design!$C$27,Q18)</f>
        <v>4.5121899998420645</v>
      </c>
      <c r="S18" s="165">
        <f t="shared" ca="1" si="42"/>
        <v>0.56970331631942794</v>
      </c>
      <c r="T18" s="165">
        <f t="shared" ca="1" si="43"/>
        <v>5.2567013498160042</v>
      </c>
      <c r="U18" s="322">
        <f t="shared" ca="1" si="44"/>
        <v>90.222043456221115</v>
      </c>
      <c r="V18" s="328">
        <f t="shared" si="58"/>
        <v>1.1649999999999998</v>
      </c>
      <c r="W18" s="329">
        <f ca="1">FORECAST(V18, OFFSET(Design!$C$14:$C$16,MATCH(V18,Design!$B$14:$B$16,1)-1,0,2), OFFSET(Design!$B$14:$B$16,MATCH(V18,Design!$B$14:$B$16,1)-1,0,2))+(AH18-25)*Design!$B$17/1000</f>
        <v>0.32315477324559649</v>
      </c>
      <c r="X18" s="184">
        <f ca="1">IF(100*(Design!$C$27+W18+V18*IF(ISBLANK(Design!$B$41),Constants!$C$6,Design!$B$41)/1000*(1+Constants!$C$32/100*(AI18-25)))/($W$2+W18-V18*AJ18/1000)&gt;Design!$C$34,Design!$C$34,100*(Design!$C$27+W18+V18*IF(ISBLANK(Design!$B$41),Constants!$C$6,Design!$B$41)/1000*(1+Constants!$C$32/100*(AI18-25)))/($W$2+W18-V18*AJ18/1000))</f>
        <v>44.542006194307042</v>
      </c>
      <c r="Y18" s="183">
        <f ca="1">($W$2-V18*IF(ISBLANK(Design!$B$41),Constants!$C$6,Design!$B$41)/1000*(1+Constants!$C$32/100*(AI18-25))-Design!$C$27) / (IF(ISBLANK(Design!$B$40),Design!$B$38,Design!$B$40)/1000000) * X18/100/(IF(ISBLANK(Design!$B$31),Design!$B$30,Design!$B$31)*1000000)</f>
        <v>0.44578624206914658</v>
      </c>
      <c r="Z18" s="183">
        <f>$W$2*Constants!$C$21/1000+IF(ISBLANK(Design!$B$31),Design!$B$30,Design!$B$31)*1000000*Constants!$D$25/1000000000*($W$2-Constants!$C$24)</f>
        <v>0.10350000000000001</v>
      </c>
      <c r="AA18" s="183">
        <f>$W$2*V18*($W$2/(Constants!$C$26*1000000000)*IF(ISBLANK(Design!$B$31),Design!$B$30,Design!$B$31)*1000000/2+$W$2/(Constants!$C$27*1000000000)*IF(ISBLANK(Design!$B$31),Design!$B$30,Design!$B$31)*1000000/2)</f>
        <v>0.48929999999999996</v>
      </c>
      <c r="AB18" s="183">
        <f t="shared" ca="1" si="45"/>
        <v>0.11971714343681535</v>
      </c>
      <c r="AC18" s="183">
        <f>Constants!$D$25/1000000000*Constants!$C$24*IF(ISBLANK(Design!$B$31),Design!$B$30,Design!$B$31)*1000000</f>
        <v>5.2499999999999998E-2</v>
      </c>
      <c r="AD18" s="183">
        <f t="shared" ca="1" si="46"/>
        <v>0.76501714343681537</v>
      </c>
      <c r="AE18" s="183">
        <f t="shared" ca="1" si="47"/>
        <v>0.20878565456068576</v>
      </c>
      <c r="AF18" s="183">
        <f ca="1">V18^2*IF(ISBLANK(Design!$B$41),Constants!$C$6,Design!$B$41)/1000*(1+(AI18-25)*(Constants!$C$32/100))</f>
        <v>8.2270706178310851E-2</v>
      </c>
      <c r="AG18" s="183">
        <f>0.5*Snubber!$B$16/1000000000000*$W$2^2*Design!$B$31*1000000</f>
        <v>4.9895999999999996E-2</v>
      </c>
      <c r="AH18" s="184">
        <f ca="1">$A18+AE18*Design!$B$18</f>
        <v>96.900782309959084</v>
      </c>
      <c r="AI18" s="184">
        <f ca="1">AD18*Design!$C$11+$A18</f>
        <v>113.30563430716217</v>
      </c>
      <c r="AJ18" s="184">
        <f ca="1">Constants!$D$22+Constants!$D$22*Constants!$C$23/100*(AI18-25)</f>
        <v>195.64450744572974</v>
      </c>
      <c r="AK18" s="183">
        <f ca="1">(1-Constants!$C$20/1000000000*Design!$B$31*1000000) * ($W$2+W18-V18*AJ18/1000) - (W18+V18*Design!$B$41/1000)</f>
        <v>9.3066509788724971</v>
      </c>
      <c r="AL18" s="183">
        <f ca="1">IF(AK18&gt;Design!$C$27,Design!$C$27,AK18)</f>
        <v>4.9936842105263155</v>
      </c>
      <c r="AM18" s="183">
        <f t="shared" ca="1" si="48"/>
        <v>1.105969504175812</v>
      </c>
      <c r="AN18" s="183">
        <f t="shared" ca="1" si="49"/>
        <v>5.8176421052631566</v>
      </c>
      <c r="AO18" s="330">
        <f t="shared" ca="1" si="50"/>
        <v>84.026118642067644</v>
      </c>
      <c r="AP18" s="336">
        <f t="shared" si="59"/>
        <v>1.1649999999999998</v>
      </c>
      <c r="AQ18" s="337">
        <f ca="1">FORECAST(AP18, OFFSET(Design!$C$14:$C$16,MATCH(AP18,Design!$B$14:$B$16,1)-1,0,2), OFFSET(Design!$B$14:$B$16,MATCH(AP18,Design!$B$14:$B$16,1)-1,0,2))+(BB18-25)*Design!$B$17/1000</f>
        <v>0.3201375151905711</v>
      </c>
      <c r="AR18" s="196">
        <f ca="1">IF(100*(Design!$C$27+AQ18+AP18*IF(ISBLANK(Design!$B$41),Constants!$C$6,Design!$B$41)/1000*(1+Constants!$C$32/100*(BC18-25)))/($AQ$2+AQ18-AP18*BD18/1000)&gt;Design!$C$34,Design!$C$34,100*(Design!$C$27+AQ18+AP18*IF(ISBLANK(Design!$B$41),Constants!$C$6,Design!$B$41)/1000*(1+Constants!$C$32/100*(BC18-25)))/($AQ$2+AQ18-AP18*BD18/1000))</f>
        <v>29.826291717910635</v>
      </c>
      <c r="AS18" s="195">
        <f ca="1">($AQ$2-AP18*IF(ISBLANK(Design!$B$41),Constants!$C$6,Design!$B$41)/1000*(1+Constants!$C$32/100*(BC18-25))-Design!$C$27) / (IF(ISBLANK(Design!$B$40),Design!$B$38,Design!$B$40)/1000000) * AR18/100/(IF(ISBLANK(Design!$B$31),Design!$B$30,Design!$B$31)*1000000)</f>
        <v>0.5565283102226215</v>
      </c>
      <c r="AT18" s="195">
        <f>$AQ$2*Constants!$C$21/1000+IF(ISBLANK(Design!$B$31),Design!$B$30,Design!$B$31)*1000000*Constants!$D$25/1000000000*($AQ$2-Constants!$C$24)</f>
        <v>0.18149999999999999</v>
      </c>
      <c r="AU18" s="195">
        <f>$AQ$2*AP18*($AQ$2/(Constants!$C$26*1000000000)*IF(ISBLANK(Design!$B$31),Design!$B$30,Design!$B$31)*1000000/2+$AQ$2/(Constants!$C$27*1000000000)*IF(ISBLANK(Design!$B$31),Design!$B$30,Design!$B$31)*1000000/2)</f>
        <v>1.1009249999999997</v>
      </c>
      <c r="AV18" s="195">
        <f t="shared" ca="1" si="51"/>
        <v>8.8747291455444272E-2</v>
      </c>
      <c r="AW18" s="195">
        <f>Constants!$D$25/1000000000*Constants!$C$24*IF(ISBLANK(Design!$B$31),Design!$B$30,Design!$B$31)*1000000</f>
        <v>5.2499999999999998E-2</v>
      </c>
      <c r="AX18" s="195">
        <f t="shared" ca="1" si="52"/>
        <v>1.4236722914554441</v>
      </c>
      <c r="AY18" s="195">
        <f t="shared" ca="1" si="53"/>
        <v>0.26172000640323539</v>
      </c>
      <c r="AZ18" s="195">
        <f ca="1">AP18^2*IF(ISBLANK(Design!$B$41),Constants!$C$6,Design!$B$41)/1000*(1+(BC18-25)*(Constants!$C$32/100))</f>
        <v>8.8120179028048709E-2</v>
      </c>
      <c r="BA18" s="195">
        <f>0.5*Snubber!$B$16/1000000000000*$AQ$2^2*Design!$B$31*1000000</f>
        <v>0.11226599999999999</v>
      </c>
      <c r="BB18" s="196">
        <f ca="1">$A18+AY18*Design!$B$18</f>
        <v>99.918040364984421</v>
      </c>
      <c r="BC18" s="196">
        <f ca="1">AX18*Design!$C$11+$A18</f>
        <v>137.67587478385144</v>
      </c>
      <c r="BD18" s="196">
        <f ca="1">Constants!$D$22+Constants!$D$22*Constants!$C$23/100*(BC18-25)</f>
        <v>215.14069982708116</v>
      </c>
      <c r="BE18" s="195">
        <f ca="1">(1-Constants!$C$20/1000000000*Design!$B$31*1000000) * ($AQ$2+AQ18-AP18*BD18/1000) - (AQ18+AP18*Design!$B$41/1000)</f>
        <v>14.092071114022993</v>
      </c>
      <c r="BF18" s="195">
        <f ca="1">IF(BE18&gt;Design!$C$27,Design!$C$27,BE18)</f>
        <v>4.9936842105263155</v>
      </c>
      <c r="BG18" s="195">
        <f t="shared" ca="1" si="54"/>
        <v>1.8857784768867283</v>
      </c>
      <c r="BH18" s="195">
        <f t="shared" ca="1" si="55"/>
        <v>5.8176421052631566</v>
      </c>
      <c r="BI18" s="338">
        <f t="shared" ca="1" si="56"/>
        <v>75.52024510700619</v>
      </c>
    </row>
    <row r="19" spans="1:61" ht="12.75" customHeight="1" x14ac:dyDescent="0.3">
      <c r="A19" s="112">
        <f>Design!$D$12</f>
        <v>85</v>
      </c>
      <c r="B19" s="320">
        <f t="shared" si="57"/>
        <v>1.4699999999999998</v>
      </c>
      <c r="C19" s="321">
        <f ca="1">FORECAST(B19, OFFSET(Design!$C$14:$C$16,MATCH(B19,Design!$B$14:$B$16,1)-1,0,2), OFFSET(Design!$B$14:$B$16,MATCH(B19,Design!$B$14:$B$16,1)-1,0,2))+(N19-25)*Design!$B$17/1000</f>
        <v>0.3528790151089205</v>
      </c>
      <c r="D19" s="166">
        <f ca="1">IF(100*(Design!$C$27+C19+B19*IF(ISBLANK(Design!$B$41),Constants!$C$6,Design!$B$41)/1000*(1+Constants!$C$32/100*(O19-25)))/($C$2+C19-B19*P19/1000)&gt;Design!$C$34,Design!$C$34,100*(Design!$C$27+C19+B19*IF(ISBLANK(Design!$B$41),Constants!$C$6,Design!$B$41)/1000*(1+Constants!$C$32/100*(O19-25)))/($C$2+C19-B19*P19/1000))</f>
        <v>80.05</v>
      </c>
      <c r="E19" s="165">
        <f ca="1">IF(($C$2-B19*IF(ISBLANK(Design!$B$41),Constants!$C$6,Design!$B$41)/1000*(1+Constants!$C$32/100*(O19-25))-Design!$C$27) / (IF(ISBLANK(Design!$B$40),Design!$B$38,Design!$B$40)/1000000) * D19/100/(IF(ISBLANK(Design!$B$31),Design!$B$30,Design!$B$31)*1000000)&lt;0,0,($C$2-B19*IF(ISBLANK(Design!$B$41),Constants!$C$6,Design!$B$41)/1000*(1+Constants!$C$32/100*(O19-25))-Design!$C$27) / (IF(ISBLANK(Design!$B$40),Design!$B$38,Design!$B$40)/1000000) * D19/100/(IF(ISBLANK(Design!$B$31),Design!$B$30,Design!$B$31)*1000000))</f>
        <v>0.10617619238618611</v>
      </c>
      <c r="F19" s="165">
        <f>$C$2*Constants!$C$21/1000+IF(ISBLANK(Design!$B$31),Design!$B$30,Design!$B$31)*1000000*Constants!$D$25/1000000000*($C$2-Constants!$C$24)</f>
        <v>2.5500000000000002E-2</v>
      </c>
      <c r="G19" s="165">
        <f>$C$2*B19*($C$2/(Constants!$C$26*1000000000)*IF(ISBLANK(Design!$B$31),Design!$B$30,Design!$B$31)*1000000/2+$C$2/(Constants!$C$27*1000000000)*IF(ISBLANK(Design!$B$31),Design!$B$30,Design!$B$31)*1000000/2)</f>
        <v>0.15434999999999999</v>
      </c>
      <c r="H19" s="165">
        <f t="shared" ref="H19:H24" ca="1" si="60">IF($D$78,1,D19/100*(B19^2+E19^2/12)*P19/1000)</f>
        <v>0.32809395816160253</v>
      </c>
      <c r="I19" s="165">
        <f>Constants!$D$25/1000000000*Constants!$C$24*IF(ISBLANK(Design!$B$31),Design!$B$30,Design!$B$31)*1000000</f>
        <v>5.2499999999999998E-2</v>
      </c>
      <c r="J19" s="165">
        <f t="shared" ref="J19:J24" ca="1" si="61">SUM(F19:I19)</f>
        <v>0.56044395816160253</v>
      </c>
      <c r="K19" s="165">
        <f t="shared" ref="K19:K24" ca="1" si="62">B19*C19*(1-D19/100)</f>
        <v>0.10348706436591756</v>
      </c>
      <c r="L19" s="165">
        <f ca="1">B19^2*IF(ISBLANK(Design!$B$41),Constants!$C$6,Design!$B$41)/1000*(1+(O19-25)*(Constants!$C$32/100))</f>
        <v>0.12809434237226669</v>
      </c>
      <c r="M19" s="165">
        <f>0.5*Snubber!$B$16/1000000000000*$C$2^2*Design!$B$31*1000000</f>
        <v>1.2473999999999999E-2</v>
      </c>
      <c r="N19" s="166">
        <f ca="1">$A19+K19*Design!$B$18</f>
        <v>90.898762668857302</v>
      </c>
      <c r="O19" s="166">
        <f ca="1">J19*Design!$C$11+A19</f>
        <v>105.7364264519793</v>
      </c>
      <c r="P19" s="166">
        <f ca="1">Constants!$D$22+Constants!$D$22*Constants!$C$23/100*(O19-25)</f>
        <v>189.58914116158343</v>
      </c>
      <c r="Q19" s="165">
        <f ca="1">(1-Constants!$C$20/1000000000*Design!$B$31*1000000) * ($C$2+C19-B19*P19/1000) - (C19+B19*Design!$B$41/1000)</f>
        <v>4.4433544584609939</v>
      </c>
      <c r="R19" s="165">
        <f ca="1">IF(Q19&gt;Design!$C$27,Design!$C$27,Q19)</f>
        <v>4.4433544584609939</v>
      </c>
      <c r="S19" s="165">
        <f t="shared" ref="S19:S24" ca="1" si="63">SUM(J19:M19)</f>
        <v>0.8044993648997868</v>
      </c>
      <c r="T19" s="165">
        <f t="shared" ref="T19:T24" ca="1" si="64">R19*B19</f>
        <v>6.5317310539376603</v>
      </c>
      <c r="U19" s="322">
        <f t="shared" ref="U19:U24" ca="1" si="65">100*T19/(T19+S19)</f>
        <v>89.033886356212989</v>
      </c>
      <c r="V19" s="328">
        <f t="shared" si="58"/>
        <v>1.4699999999999998</v>
      </c>
      <c r="W19" s="329">
        <f ca="1">FORECAST(V19, OFFSET(Design!$C$14:$C$16,MATCH(V19,Design!$B$14:$B$16,1)-1,0,2), OFFSET(Design!$B$14:$B$16,MATCH(V19,Design!$B$14:$B$16,1)-1,0,2))+(AH19-25)*Design!$B$17/1000</f>
        <v>0.3429877674948284</v>
      </c>
      <c r="X19" s="184">
        <f ca="1">IF(100*(Design!$C$27+W19+V19*IF(ISBLANK(Design!$B$41),Constants!$C$6,Design!$B$41)/1000*(1+Constants!$C$32/100*(AI19-25)))/($W$2+W19-V19*AJ19/1000)&gt;Design!$C$34,Design!$C$34,100*(Design!$C$27+W19+V19*IF(ISBLANK(Design!$B$41),Constants!$C$6,Design!$B$41)/1000*(1+Constants!$C$32/100*(AI19-25)))/($W$2+W19-V19*AJ19/1000))</f>
        <v>45.057098436091167</v>
      </c>
      <c r="Y19" s="183">
        <f ca="1">($W$2-V19*IF(ISBLANK(Design!$B$41),Constants!$C$6,Design!$B$41)/1000*(1+Constants!$C$32/100*(AI19-25))-Design!$C$27) / (IF(ISBLANK(Design!$B$40),Design!$B$38,Design!$B$40)/1000000) * X19/100/(IF(ISBLANK(Design!$B$31),Design!$B$30,Design!$B$31)*1000000)</f>
        <v>0.44961029817967307</v>
      </c>
      <c r="Z19" s="183">
        <f>$W$2*Constants!$C$21/1000+IF(ISBLANK(Design!$B$31),Design!$B$30,Design!$B$31)*1000000*Constants!$D$25/1000000000*($W$2-Constants!$C$24)</f>
        <v>0.10350000000000001</v>
      </c>
      <c r="AA19" s="183">
        <f>$W$2*V19*($W$2/(Constants!$C$26*1000000000)*IF(ISBLANK(Design!$B$31),Design!$B$30,Design!$B$31)*1000000/2+$W$2/(Constants!$C$27*1000000000)*IF(ISBLANK(Design!$B$31),Design!$B$30,Design!$B$31)*1000000/2)</f>
        <v>0.61739999999999995</v>
      </c>
      <c r="AB19" s="183">
        <f t="shared" ref="AB19:AB24" ca="1" si="66">IF($D$78,1,X19/100*(V19^2+Y19^2/12)*AJ19/1000)</f>
        <v>0.19796533177831396</v>
      </c>
      <c r="AC19" s="183">
        <f>Constants!$D$25/1000000000*Constants!$C$24*IF(ISBLANK(Design!$B$31),Design!$B$30,Design!$B$31)*1000000</f>
        <v>5.2499999999999998E-2</v>
      </c>
      <c r="AD19" s="183">
        <f t="shared" ref="AD19:AD24" ca="1" si="67">SUM(Z19:AC19)</f>
        <v>0.97136533177831397</v>
      </c>
      <c r="AE19" s="183">
        <f t="shared" ref="AE19:AE24" ca="1" si="68">V19*W19*(1-X19/100)</f>
        <v>0.27701772426227012</v>
      </c>
      <c r="AF19" s="183">
        <f ca="1">V19^2*IF(ISBLANK(Design!$B$41),Constants!$C$6,Design!$B$41)/1000*(1+(AI19-25)*(Constants!$C$32/100))</f>
        <v>0.13390466420971775</v>
      </c>
      <c r="AG19" s="183">
        <f>0.5*Snubber!$B$16/1000000000000*$W$2^2*Design!$B$31*1000000</f>
        <v>4.9895999999999996E-2</v>
      </c>
      <c r="AH19" s="184">
        <f ca="1">$A19+AE19*Design!$B$18</f>
        <v>100.7900102829494</v>
      </c>
      <c r="AI19" s="184">
        <f ca="1">AD19*Design!$C$11+$A19</f>
        <v>120.94051727579762</v>
      </c>
      <c r="AJ19" s="184">
        <f ca="1">Constants!$D$22+Constants!$D$22*Constants!$C$23/100*(AI19-25)</f>
        <v>201.75241382063808</v>
      </c>
      <c r="AK19" s="183">
        <f ca="1">(1-Constants!$C$20/1000000000*Design!$B$31*1000000) * ($W$2+W19-V19*AJ19/1000) - (W19+V19*Design!$B$41/1000)</f>
        <v>9.2340148137075531</v>
      </c>
      <c r="AL19" s="183">
        <f ca="1">IF(AK19&gt;Design!$C$27,Design!$C$27,AK19)</f>
        <v>4.9936842105263155</v>
      </c>
      <c r="AM19" s="183">
        <f t="shared" ref="AM19:AM24" ca="1" si="69">SUM(AD19:AG19)</f>
        <v>1.4321837202503018</v>
      </c>
      <c r="AN19" s="183">
        <f t="shared" ref="AN19:AN24" ca="1" si="70">AL19*V19</f>
        <v>7.3407157894736823</v>
      </c>
      <c r="AO19" s="330">
        <f t="shared" ref="AO19:AO24" ca="1" si="71">100*AN19/(AN19+AM19)</f>
        <v>83.674910231641746</v>
      </c>
      <c r="AP19" s="336">
        <f t="shared" si="59"/>
        <v>1.4699999999999998</v>
      </c>
      <c r="AQ19" s="337">
        <f ca="1">FORECAST(AP19, OFFSET(Design!$C$14:$C$16,MATCH(AP19,Design!$B$14:$B$16,1)-1,0,2), OFFSET(Design!$B$14:$B$16,MATCH(AP19,Design!$B$14:$B$16,1)-1,0,2))+(BB19-25)*Design!$B$17/1000</f>
        <v>0.33894369998958146</v>
      </c>
      <c r="AR19" s="196">
        <f ca="1">IF(100*(Design!$C$27+AQ19+AP19*IF(ISBLANK(Design!$B$41),Constants!$C$6,Design!$B$41)/1000*(1+Constants!$C$32/100*(BC19-25)))/($AQ$2+AQ19-AP19*BD19/1000)&gt;Design!$C$34,Design!$C$34,100*(Design!$C$27+AQ19+AP19*IF(ISBLANK(Design!$B$41),Constants!$C$6,Design!$B$41)/1000*(1+Constants!$C$32/100*(BC19-25)))/($AQ$2+AQ19-AP19*BD19/1000))</f>
        <v>30.161925694766026</v>
      </c>
      <c r="AS19" s="195">
        <f ca="1">($AQ$2-AP19*IF(ISBLANK(Design!$B$41),Constants!$C$6,Design!$B$41)/1000*(1+Constants!$C$32/100*(BC19-25))-Design!$C$27) / (IF(ISBLANK(Design!$B$40),Design!$B$38,Design!$B$40)/1000000) * AR19/100/(IF(ISBLANK(Design!$B$31),Design!$B$30,Design!$B$31)*1000000)</f>
        <v>0.56178323860496437</v>
      </c>
      <c r="AT19" s="195">
        <f>$AQ$2*Constants!$C$21/1000+IF(ISBLANK(Design!$B$31),Design!$B$30,Design!$B$31)*1000000*Constants!$D$25/1000000000*($AQ$2-Constants!$C$24)</f>
        <v>0.18149999999999999</v>
      </c>
      <c r="AU19" s="195">
        <f>$AQ$2*AP19*($AQ$2/(Constants!$C$26*1000000000)*IF(ISBLANK(Design!$B$31),Design!$B$30,Design!$B$31)*1000000/2+$AQ$2/(Constants!$C$27*1000000000)*IF(ISBLANK(Design!$B$31),Design!$B$30,Design!$B$31)*1000000/2)</f>
        <v>1.3891499999999997</v>
      </c>
      <c r="AV19" s="195">
        <f t="shared" ref="AV19:AV24" ca="1" si="72">IF($D$78,1,AR19/100*(AP19^2+AS19^2/12)*BD19/1000)</f>
        <v>0.14872814901102924</v>
      </c>
      <c r="AW19" s="195">
        <f>Constants!$D$25/1000000000*Constants!$C$24*IF(ISBLANK(Design!$B$31),Design!$B$30,Design!$B$31)*1000000</f>
        <v>5.2499999999999998E-2</v>
      </c>
      <c r="AX19" s="195">
        <f t="shared" ref="AX19:AX24" ca="1" si="73">SUM(AT19:AW19)</f>
        <v>1.7718781490110289</v>
      </c>
      <c r="AY19" s="195">
        <f t="shared" ref="AY19:AY24" ca="1" si="74">AP19*AQ19*(1-AR19/100)</f>
        <v>0.34796627698590071</v>
      </c>
      <c r="AZ19" s="195">
        <f ca="1">AP19^2*IF(ISBLANK(Design!$B$41),Constants!$C$6,Design!$B$41)/1000*(1+(BC19-25)*(Constants!$C$32/100))</f>
        <v>0.14522370819662253</v>
      </c>
      <c r="BA19" s="195">
        <f>0.5*Snubber!$B$16/1000000000000*$AQ$2^2*Design!$B$31*1000000</f>
        <v>0.11226599999999999</v>
      </c>
      <c r="BB19" s="196">
        <f ca="1">$A19+AY19*Design!$B$18</f>
        <v>104.83407778819634</v>
      </c>
      <c r="BC19" s="196">
        <f ca="1">AX19*Design!$C$11+$A19</f>
        <v>150.55949151340809</v>
      </c>
      <c r="BD19" s="196">
        <f ca="1">Constants!$D$22+Constants!$D$22*Constants!$C$23/100*(BC19-25)</f>
        <v>225.4475932107265</v>
      </c>
      <c r="BE19" s="195">
        <f ca="1">(1-Constants!$C$20/1000000000*Design!$B$31*1000000) * ($AQ$2+AQ19-AP19*BD19/1000) - (AQ19+AP19*Design!$B$41/1000)</f>
        <v>14.009938658255255</v>
      </c>
      <c r="BF19" s="195">
        <f ca="1">IF(BE19&gt;Design!$C$27,Design!$C$27,BE19)</f>
        <v>4.9936842105263155</v>
      </c>
      <c r="BG19" s="195">
        <f t="shared" ref="BG19:BG24" ca="1" si="75">SUM(AX19:BA19)</f>
        <v>2.3773341341935521</v>
      </c>
      <c r="BH19" s="195">
        <f t="shared" ref="BH19:BH24" ca="1" si="76">BF19*AP19</f>
        <v>7.3407157894736823</v>
      </c>
      <c r="BI19" s="338">
        <f t="shared" ref="BI19:BI24" ca="1" si="77">100*BH19/(BH19+BG19)</f>
        <v>75.536921986747387</v>
      </c>
    </row>
    <row r="20" spans="1:61" ht="12.75" customHeight="1" x14ac:dyDescent="0.3">
      <c r="A20" s="112">
        <f>Design!$D$12</f>
        <v>85</v>
      </c>
      <c r="B20" s="320">
        <f t="shared" si="57"/>
        <v>1.7749999999999997</v>
      </c>
      <c r="C20" s="321">
        <f ca="1">FORECAST(B20, OFFSET(Design!$C$14:$C$16,MATCH(B20,Design!$B$14:$B$16,1)-1,0,2), OFFSET(Design!$B$14:$B$16,MATCH(B20,Design!$B$14:$B$16,1)-1,0,2))+(N20-25)*Design!$B$17/1000</f>
        <v>0.37493221354232364</v>
      </c>
      <c r="D20" s="166">
        <f ca="1">IF(100*(Design!$C$27+C20+B20*IF(ISBLANK(Design!$B$41),Constants!$C$6,Design!$B$41)/1000*(1+Constants!$C$32/100*(O20-25)))/($C$2+C20-B20*P20/1000)&gt;Design!$C$34,Design!$C$34,100*(Design!$C$27+C20+B20*IF(ISBLANK(Design!$B$41),Constants!$C$6,Design!$B$41)/1000*(1+Constants!$C$32/100*(O20-25)))/($C$2+C20-B20*P20/1000))</f>
        <v>80.05</v>
      </c>
      <c r="E20" s="165">
        <f ca="1">IF(($C$2-B20*IF(ISBLANK(Design!$B$41),Constants!$C$6,Design!$B$41)/1000*(1+Constants!$C$32/100*(O20-25))-Design!$C$27) / (IF(ISBLANK(Design!$B$40),Design!$B$38,Design!$B$40)/1000000) * D20/100/(IF(ISBLANK(Design!$B$31),Design!$B$30,Design!$B$31)*1000000)&lt;0,0,($C$2-B20*IF(ISBLANK(Design!$B$41),Constants!$C$6,Design!$B$41)/1000*(1+Constants!$C$32/100*(O20-25))-Design!$C$27) / (IF(ISBLANK(Design!$B$40),Design!$B$38,Design!$B$40)/1000000) * D20/100/(IF(ISBLANK(Design!$B$31),Design!$B$30,Design!$B$31)*1000000))</f>
        <v>0.10382353736833366</v>
      </c>
      <c r="F20" s="165">
        <f>$C$2*Constants!$C$21/1000+IF(ISBLANK(Design!$B$31),Design!$B$30,Design!$B$31)*1000000*Constants!$D$25/1000000000*($C$2-Constants!$C$24)</f>
        <v>2.5500000000000002E-2</v>
      </c>
      <c r="G20" s="165">
        <f>$C$2*B20*($C$2/(Constants!$C$26*1000000000)*IF(ISBLANK(Design!$B$31),Design!$B$30,Design!$B$31)*1000000/2+$C$2/(Constants!$C$27*1000000000)*IF(ISBLANK(Design!$B$31),Design!$B$30,Design!$B$31)*1000000/2)</f>
        <v>0.18637499999999999</v>
      </c>
      <c r="H20" s="165">
        <f t="shared" ca="1" si="60"/>
        <v>0.49300020496577407</v>
      </c>
      <c r="I20" s="165">
        <f>Constants!$D$25/1000000000*Constants!$C$24*IF(ISBLANK(Design!$B$31),Design!$B$30,Design!$B$31)*1000000</f>
        <v>5.2499999999999998E-2</v>
      </c>
      <c r="J20" s="165">
        <f t="shared" ca="1" si="61"/>
        <v>0.75737520496577404</v>
      </c>
      <c r="K20" s="165">
        <f t="shared" ca="1" si="62"/>
        <v>0.13276818346800606</v>
      </c>
      <c r="L20" s="165">
        <f ca="1">B20^2*IF(ISBLANK(Design!$B$41),Constants!$C$6,Design!$B$41)/1000*(1+(O20-25)*(Constants!$C$32/100))</f>
        <v>0.19082342165179172</v>
      </c>
      <c r="M20" s="165">
        <f>0.5*Snubber!$B$16/1000000000000*$C$2^2*Design!$B$31*1000000</f>
        <v>1.2473999999999999E-2</v>
      </c>
      <c r="N20" s="166">
        <f ca="1">$A20+K20*Design!$B$18</f>
        <v>92.567786457676348</v>
      </c>
      <c r="O20" s="166">
        <f ca="1">J20*Design!$C$11+A20</f>
        <v>113.02288258373363</v>
      </c>
      <c r="P20" s="166">
        <f ca="1">Constants!$D$22+Constants!$D$22*Constants!$C$23/100*(O20-25)</f>
        <v>195.41830606698693</v>
      </c>
      <c r="Q20" s="165">
        <f ca="1">(1-Constants!$C$20/1000000000*Design!$B$31*1000000) * ($C$2+C20-B20*P20/1000) - (C20+B20*Design!$B$41/1000)</f>
        <v>4.3706585950365504</v>
      </c>
      <c r="R20" s="165">
        <f ca="1">IF(Q20&gt;Design!$C$27,Design!$C$27,Q20)</f>
        <v>4.3706585950365504</v>
      </c>
      <c r="S20" s="165">
        <f t="shared" ca="1" si="63"/>
        <v>1.0934408100855719</v>
      </c>
      <c r="T20" s="165">
        <f t="shared" ca="1" si="64"/>
        <v>7.7579190061898755</v>
      </c>
      <c r="U20" s="322">
        <f t="shared" ca="1" si="65"/>
        <v>87.646634723005988</v>
      </c>
      <c r="V20" s="328">
        <f t="shared" si="58"/>
        <v>1.7749999999999997</v>
      </c>
      <c r="W20" s="329">
        <f ca="1">FORECAST(V20, OFFSET(Design!$C$14:$C$16,MATCH(V20,Design!$B$14:$B$16,1)-1,0,2), OFFSET(Design!$B$14:$B$16,MATCH(V20,Design!$B$14:$B$16,1)-1,0,2))+(AH20-25)*Design!$B$17/1000</f>
        <v>0.36254703044774655</v>
      </c>
      <c r="X20" s="184">
        <f ca="1">IF(100*(Design!$C$27+W20+V20*IF(ISBLANK(Design!$B$41),Constants!$C$6,Design!$B$41)/1000*(1+Constants!$C$32/100*(AI20-25)))/($W$2+W20-V20*AJ20/1000)&gt;Design!$C$34,Design!$C$34,100*(Design!$C$27+W20+V20*IF(ISBLANK(Design!$B$41),Constants!$C$6,Design!$B$41)/1000*(1+Constants!$C$32/100*(AI20-25)))/($W$2+W20-V20*AJ20/1000))</f>
        <v>45.60362306640306</v>
      </c>
      <c r="Y20" s="183">
        <f ca="1">($W$2-V20*IF(ISBLANK(Design!$B$41),Constants!$C$6,Design!$B$41)/1000*(1+Constants!$C$32/100*(AI20-25))-Design!$C$27) / (IF(ISBLANK(Design!$B$40),Design!$B$38,Design!$B$40)/1000000) * X20/100/(IF(ISBLANK(Design!$B$31),Design!$B$30,Design!$B$31)*1000000)</f>
        <v>0.45364322928698664</v>
      </c>
      <c r="Z20" s="183">
        <f>$W$2*Constants!$C$21/1000+IF(ISBLANK(Design!$B$31),Design!$B$30,Design!$B$31)*1000000*Constants!$D$25/1000000000*($W$2-Constants!$C$24)</f>
        <v>0.10350000000000001</v>
      </c>
      <c r="AA20" s="183">
        <f>$W$2*V20*($W$2/(Constants!$C$26*1000000000)*IF(ISBLANK(Design!$B$31),Design!$B$30,Design!$B$31)*1000000/2+$W$2/(Constants!$C$27*1000000000)*IF(ISBLANK(Design!$B$31),Design!$B$30,Design!$B$31)*1000000/2)</f>
        <v>0.74549999999999994</v>
      </c>
      <c r="AB20" s="183">
        <f t="shared" ca="1" si="66"/>
        <v>0.30135418299964162</v>
      </c>
      <c r="AC20" s="183">
        <f>Constants!$D$25/1000000000*Constants!$C$24*IF(ISBLANK(Design!$B$31),Design!$B$30,Design!$B$31)*1000000</f>
        <v>5.2499999999999998E-2</v>
      </c>
      <c r="AD20" s="183">
        <f t="shared" ca="1" si="67"/>
        <v>1.2028541829996415</v>
      </c>
      <c r="AE20" s="183">
        <f t="shared" ca="1" si="68"/>
        <v>0.35005209740795556</v>
      </c>
      <c r="AF20" s="183">
        <f ca="1">V20^2*IF(ISBLANK(Design!$B$41),Constants!$C$6,Design!$B$41)/1000*(1+(AI20-25)*(Constants!$C$32/100))</f>
        <v>0.20000739717693664</v>
      </c>
      <c r="AG20" s="183">
        <f>0.5*Snubber!$B$16/1000000000000*$W$2^2*Design!$B$31*1000000</f>
        <v>4.9895999999999996E-2</v>
      </c>
      <c r="AH20" s="184">
        <f ca="1">$A20+AE20*Design!$B$18</f>
        <v>104.95296955225346</v>
      </c>
      <c r="AI20" s="184">
        <f ca="1">AD20*Design!$C$11+$A20</f>
        <v>129.50560477098674</v>
      </c>
      <c r="AJ20" s="184">
        <f ca="1">Constants!$D$22+Constants!$D$22*Constants!$C$23/100*(AI20-25)</f>
        <v>208.60448381678941</v>
      </c>
      <c r="AK20" s="183">
        <f ca="1">(1-Constants!$C$20/1000000000*Design!$B$31*1000000) * ($W$2+W20-V20*AJ20/1000) - (W20+V20*Design!$B$41/1000)</f>
        <v>9.1573933639264453</v>
      </c>
      <c r="AL20" s="183">
        <f ca="1">IF(AK20&gt;Design!$C$27,Design!$C$27,AK20)</f>
        <v>4.9936842105263155</v>
      </c>
      <c r="AM20" s="183">
        <f t="shared" ca="1" si="69"/>
        <v>1.8028096775845337</v>
      </c>
      <c r="AN20" s="183">
        <f t="shared" ca="1" si="70"/>
        <v>8.8637894736842089</v>
      </c>
      <c r="AO20" s="330">
        <f t="shared" ca="1" si="71"/>
        <v>83.098552293773054</v>
      </c>
      <c r="AP20" s="336">
        <f t="shared" si="59"/>
        <v>1.7749999999999997</v>
      </c>
      <c r="AQ20" s="337">
        <f ca="1">FORECAST(AP20, OFFSET(Design!$C$14:$C$16,MATCH(AP20,Design!$B$14:$B$16,1)-1,0,2), OFFSET(Design!$B$14:$B$16,MATCH(AP20,Design!$B$14:$B$16,1)-1,0,2))+(BB20-25)*Design!$B$17/1000</f>
        <v>0.35737765308007896</v>
      </c>
      <c r="AR20" s="196">
        <f ca="1">IF(100*(Design!$C$27+AQ20+AP20*IF(ISBLANK(Design!$B$41),Constants!$C$6,Design!$B$41)/1000*(1+Constants!$C$32/100*(BC20-25)))/($AQ$2+AQ20-AP20*BD20/1000)&gt;Design!$C$34,Design!$C$34,100*(Design!$C$27+AQ20+AP20*IF(ISBLANK(Design!$B$41),Constants!$C$6,Design!$B$41)/1000*(1+Constants!$C$32/100*(BC20-25)))/($AQ$2+AQ20-AP20*BD20/1000))</f>
        <v>30.520033072585239</v>
      </c>
      <c r="AS20" s="195">
        <f ca="1">($AQ$2-AP20*IF(ISBLANK(Design!$B$41),Constants!$C$6,Design!$B$41)/1000*(1+Constants!$C$32/100*(BC20-25))-Design!$C$27) / (IF(ISBLANK(Design!$B$40),Design!$B$38,Design!$B$40)/1000000) * AR20/100/(IF(ISBLANK(Design!$B$31),Design!$B$30,Design!$B$31)*1000000)</f>
        <v>0.56736187161099827</v>
      </c>
      <c r="AT20" s="195">
        <f>$AQ$2*Constants!$C$21/1000+IF(ISBLANK(Design!$B$31),Design!$B$30,Design!$B$31)*1000000*Constants!$D$25/1000000000*($AQ$2-Constants!$C$24)</f>
        <v>0.18149999999999999</v>
      </c>
      <c r="AU20" s="195">
        <f>$AQ$2*AP20*($AQ$2/(Constants!$C$26*1000000000)*IF(ISBLANK(Design!$B$31),Design!$B$30,Design!$B$31)*1000000/2+$AQ$2/(Constants!$C$27*1000000000)*IF(ISBLANK(Design!$B$31),Design!$B$30,Design!$B$31)*1000000/2)</f>
        <v>1.6773749999999996</v>
      </c>
      <c r="AV20" s="195">
        <f t="shared" ca="1" si="72"/>
        <v>0.22921356324826916</v>
      </c>
      <c r="AW20" s="195">
        <f>Constants!$D$25/1000000000*Constants!$C$24*IF(ISBLANK(Design!$B$31),Design!$B$30,Design!$B$31)*1000000</f>
        <v>5.2499999999999998E-2</v>
      </c>
      <c r="AX20" s="195">
        <f t="shared" ca="1" si="73"/>
        <v>2.1405885632482691</v>
      </c>
      <c r="AY20" s="195">
        <f t="shared" ca="1" si="74"/>
        <v>0.4407429284196675</v>
      </c>
      <c r="AZ20" s="195">
        <f ca="1">AP20^2*IF(ISBLANK(Design!$B$41),Constants!$C$6,Design!$B$41)/1000*(1+(BC20-25)*(Constants!$C$32/100))</f>
        <v>0.21933968898408499</v>
      </c>
      <c r="BA20" s="195">
        <f>0.5*Snubber!$B$16/1000000000000*$AQ$2^2*Design!$B$31*1000000</f>
        <v>0.11226599999999999</v>
      </c>
      <c r="BB20" s="196">
        <f ca="1">$A20+AY20*Design!$B$18</f>
        <v>110.12234691992104</v>
      </c>
      <c r="BC20" s="196">
        <f ca="1">AX20*Design!$C$11+$A20</f>
        <v>164.20177684018597</v>
      </c>
      <c r="BD20" s="196">
        <f ca="1">Constants!$D$22+Constants!$D$22*Constants!$C$23/100*(BC20-25)</f>
        <v>236.36142147214878</v>
      </c>
      <c r="BE20" s="195">
        <f ca="1">(1-Constants!$C$20/1000000000*Design!$B$31*1000000) * ($AQ$2+AQ20-AP20*BD20/1000) - (AQ20+AP20*Design!$B$41/1000)</f>
        <v>13.921985168958514</v>
      </c>
      <c r="BF20" s="195">
        <f ca="1">IF(BE20&gt;Design!$C$27,Design!$C$27,BE20)</f>
        <v>4.9936842105263155</v>
      </c>
      <c r="BG20" s="195">
        <f t="shared" ca="1" si="75"/>
        <v>2.9129371806520217</v>
      </c>
      <c r="BH20" s="195">
        <f t="shared" ca="1" si="76"/>
        <v>8.8637894736842089</v>
      </c>
      <c r="BI20" s="338">
        <f t="shared" ca="1" si="77"/>
        <v>75.265307023327509</v>
      </c>
    </row>
    <row r="21" spans="1:61" ht="12.75" customHeight="1" x14ac:dyDescent="0.3">
      <c r="A21" s="112">
        <f>Design!$D$12</f>
        <v>85</v>
      </c>
      <c r="B21" s="320">
        <f t="shared" si="57"/>
        <v>2.0799999999999996</v>
      </c>
      <c r="C21" s="321">
        <f ca="1">FORECAST(B21, OFFSET(Design!$C$14:$C$16,MATCH(B21,Design!$B$14:$B$16,1)-1,0,2), OFFSET(Design!$B$14:$B$16,MATCH(B21,Design!$B$14:$B$16,1)-1,0,2))+(N21-25)*Design!$B$17/1000</f>
        <v>0.39271130935890058</v>
      </c>
      <c r="D21" s="166">
        <f ca="1">IF(100*(Design!$C$27+C21+B21*IF(ISBLANK(Design!$B$41),Constants!$C$6,Design!$B$41)/1000*(1+Constants!$C$32/100*(O21-25)))/($C$2+C21-B21*P21/1000)&gt;Design!$C$34,Design!$C$34,100*(Design!$C$27+C21+B21*IF(ISBLANK(Design!$B$41),Constants!$C$6,Design!$B$41)/1000*(1+Constants!$C$32/100*(O21-25)))/($C$2+C21-B21*P21/1000))</f>
        <v>80.05</v>
      </c>
      <c r="E21" s="165">
        <f ca="1">IF(($C$2-B21*IF(ISBLANK(Design!$B$41),Constants!$C$6,Design!$B$41)/1000*(1+Constants!$C$32/100*(O21-25))-Design!$C$27) / (IF(ISBLANK(Design!$B$40),Design!$B$38,Design!$B$40)/1000000) * D21/100/(IF(ISBLANK(Design!$B$31),Design!$B$30,Design!$B$31)*1000000)&lt;0,0,($C$2-B21*IF(ISBLANK(Design!$B$41),Constants!$C$6,Design!$B$41)/1000*(1+Constants!$C$32/100*(O21-25))-Design!$C$27) / (IF(ISBLANK(Design!$B$40),Design!$B$38,Design!$B$40)/1000000) * D21/100/(IF(ISBLANK(Design!$B$31),Design!$B$30,Design!$B$31)*1000000))</f>
        <v>0.10131139928411187</v>
      </c>
      <c r="F21" s="165">
        <f>$C$2*Constants!$C$21/1000+IF(ISBLANK(Design!$B$31),Design!$B$30,Design!$B$31)*1000000*Constants!$D$25/1000000000*($C$2-Constants!$C$24)</f>
        <v>2.5500000000000002E-2</v>
      </c>
      <c r="G21" s="165">
        <f>$C$2*B21*($C$2/(Constants!$C$26*1000000000)*IF(ISBLANK(Design!$B$31),Design!$B$30,Design!$B$31)*1000000/2+$C$2/(Constants!$C$27*1000000000)*IF(ISBLANK(Design!$B$31),Design!$B$30,Design!$B$31)*1000000/2)</f>
        <v>0.21839999999999996</v>
      </c>
      <c r="H21" s="165">
        <f t="shared" ca="1" si="60"/>
        <v>0.70159423765558293</v>
      </c>
      <c r="I21" s="165">
        <f>Constants!$D$25/1000000000*Constants!$C$24*IF(ISBLANK(Design!$B$31),Design!$B$30,Design!$B$31)*1000000</f>
        <v>5.2499999999999998E-2</v>
      </c>
      <c r="J21" s="165">
        <f t="shared" ca="1" si="61"/>
        <v>0.99799423765558282</v>
      </c>
      <c r="K21" s="165">
        <f t="shared" ca="1" si="62"/>
        <v>0.16295948493156936</v>
      </c>
      <c r="L21" s="165">
        <f ca="1">B21^2*IF(ISBLANK(Design!$B$41),Constants!$C$6,Design!$B$41)/1000*(1+(O21-25)*(Constants!$C$32/100))</f>
        <v>0.26884823018658516</v>
      </c>
      <c r="M21" s="165">
        <f>0.5*Snubber!$B$16/1000000000000*$C$2^2*Design!$B$31*1000000</f>
        <v>1.2473999999999999E-2</v>
      </c>
      <c r="N21" s="166">
        <f ca="1">$A21+K21*Design!$B$18</f>
        <v>94.28869064109945</v>
      </c>
      <c r="O21" s="166">
        <f ca="1">J21*Design!$C$11+A21</f>
        <v>121.92578679325656</v>
      </c>
      <c r="P21" s="166">
        <f ca="1">Constants!$D$22+Constants!$D$22*Constants!$C$23/100*(O21-25)</f>
        <v>202.54062943460525</v>
      </c>
      <c r="Q21" s="165">
        <f ca="1">(1-Constants!$C$20/1000000000*Design!$B$31*1000000) * ($C$2+C21-B21*P21/1000) - (C21+B21*Design!$B$41/1000)</f>
        <v>4.2938158441491039</v>
      </c>
      <c r="R21" s="165">
        <f ca="1">IF(Q21&gt;Design!$C$27,Design!$C$27,Q21)</f>
        <v>4.2938158441491039</v>
      </c>
      <c r="S21" s="165">
        <f t="shared" ca="1" si="63"/>
        <v>1.4422759527737374</v>
      </c>
      <c r="T21" s="165">
        <f t="shared" ca="1" si="64"/>
        <v>8.9311369558301337</v>
      </c>
      <c r="U21" s="322">
        <f t="shared" ca="1" si="65"/>
        <v>86.096418165544236</v>
      </c>
      <c r="V21" s="328">
        <f t="shared" si="58"/>
        <v>2.0799999999999996</v>
      </c>
      <c r="W21" s="329">
        <f ca="1">FORECAST(V21, OFFSET(Design!$C$14:$C$16,MATCH(V21,Design!$B$14:$B$16,1)-1,0,2), OFFSET(Design!$B$14:$B$16,MATCH(V21,Design!$B$14:$B$16,1)-1,0,2))+(AH21-25)*Design!$B$17/1000</f>
        <v>0.3778832651275259</v>
      </c>
      <c r="X21" s="184">
        <f ca="1">IF(100*(Design!$C$27+W21+V21*IF(ISBLANK(Design!$B$41),Constants!$C$6,Design!$B$41)/1000*(1+Constants!$C$32/100*(AI21-25)))/($W$2+W21-V21*AJ21/1000)&gt;Design!$C$34,Design!$C$34,100*(Design!$C$27+W21+V21*IF(ISBLANK(Design!$B$41),Constants!$C$6,Design!$B$41)/1000*(1+Constants!$C$32/100*(AI21-25)))/($W$2+W21-V21*AJ21/1000))</f>
        <v>46.17021327912785</v>
      </c>
      <c r="Y21" s="183">
        <f ca="1">($W$2-V21*IF(ISBLANK(Design!$B$41),Constants!$C$6,Design!$B$41)/1000*(1+Constants!$C$32/100*(AI21-25))-Design!$C$27) / (IF(ISBLANK(Design!$B$40),Design!$B$38,Design!$B$40)/1000000) * X21/100/(IF(ISBLANK(Design!$B$31),Design!$B$30,Design!$B$31)*1000000)</f>
        <v>0.45775314266067169</v>
      </c>
      <c r="Z21" s="183">
        <f>$W$2*Constants!$C$21/1000+IF(ISBLANK(Design!$B$31),Design!$B$30,Design!$B$31)*1000000*Constants!$D$25/1000000000*($W$2-Constants!$C$24)</f>
        <v>0.10350000000000001</v>
      </c>
      <c r="AA21" s="183">
        <f>$W$2*V21*($W$2/(Constants!$C$26*1000000000)*IF(ISBLANK(Design!$B$31),Design!$B$30,Design!$B$31)*1000000/2+$W$2/(Constants!$C$27*1000000000)*IF(ISBLANK(Design!$B$31),Design!$B$30,Design!$B$31)*1000000/2)</f>
        <v>0.87359999999999982</v>
      </c>
      <c r="AB21" s="183">
        <f t="shared" ca="1" si="66"/>
        <v>0.43384059910642386</v>
      </c>
      <c r="AC21" s="183">
        <f>Constants!$D$25/1000000000*Constants!$C$24*IF(ISBLANK(Design!$B$31),Design!$B$30,Design!$B$31)*1000000</f>
        <v>5.2499999999999998E-2</v>
      </c>
      <c r="AD21" s="183">
        <f t="shared" ca="1" si="67"/>
        <v>1.4634405991064237</v>
      </c>
      <c r="AE21" s="183">
        <f t="shared" ca="1" si="68"/>
        <v>0.42310061179779118</v>
      </c>
      <c r="AF21" s="183">
        <f ca="1">V21^2*IF(ISBLANK(Design!$B$41),Constants!$C$6,Design!$B$41)/1000*(1+(AI21-25)*(Constants!$C$32/100))</f>
        <v>0.28202482215960761</v>
      </c>
      <c r="AG21" s="183">
        <f>0.5*Snubber!$B$16/1000000000000*$W$2^2*Design!$B$31*1000000</f>
        <v>4.9895999999999996E-2</v>
      </c>
      <c r="AH21" s="184">
        <f ca="1">$A21+AE21*Design!$B$18</f>
        <v>109.1167348724741</v>
      </c>
      <c r="AI21" s="184">
        <f ca="1">AD21*Design!$C$11+$A21</f>
        <v>139.14730216693766</v>
      </c>
      <c r="AJ21" s="184">
        <f ca="1">Constants!$D$22+Constants!$D$22*Constants!$C$23/100*(AI21-25)</f>
        <v>216.31784173355015</v>
      </c>
      <c r="AK21" s="183">
        <f ca="1">(1-Constants!$C$20/1000000000*Design!$B$31*1000000) * ($W$2+W21-V21*AJ21/1000) - (W21+V21*Design!$B$41/1000)</f>
        <v>9.0768344294070271</v>
      </c>
      <c r="AL21" s="183">
        <f ca="1">IF(AK21&gt;Design!$C$27,Design!$C$27,AK21)</f>
        <v>4.9936842105263155</v>
      </c>
      <c r="AM21" s="183">
        <f t="shared" ca="1" si="69"/>
        <v>2.2184620330638225</v>
      </c>
      <c r="AN21" s="183">
        <f t="shared" ca="1" si="70"/>
        <v>10.386863157894734</v>
      </c>
      <c r="AO21" s="330">
        <f t="shared" ca="1" si="71"/>
        <v>82.400596577587208</v>
      </c>
      <c r="AP21" s="336">
        <f t="shared" si="59"/>
        <v>2.0799999999999996</v>
      </c>
      <c r="AQ21" s="337">
        <f ca="1">FORECAST(AP21, OFFSET(Design!$C$14:$C$16,MATCH(AP21,Design!$B$14:$B$16,1)-1,0,2), OFFSET(Design!$B$14:$B$16,MATCH(AP21,Design!$B$14:$B$16,1)-1,0,2))+(BB21-25)*Design!$B$17/1000</f>
        <v>0.37155530697080674</v>
      </c>
      <c r="AR21" s="196">
        <f ca="1">IF(100*(Design!$C$27+AQ21+AP21*IF(ISBLANK(Design!$B$41),Constants!$C$6,Design!$B$41)/1000*(1+Constants!$C$32/100*(BC21-25)))/($AQ$2+AQ21-AP21*BD21/1000)&gt;Design!$C$34,Design!$C$34,100*(Design!$C$27+AQ21+AP21*IF(ISBLANK(Design!$B$41),Constants!$C$6,Design!$B$41)/1000*(1+Constants!$C$32/100*(BC21-25)))/($AQ$2+AQ21-AP21*BD21/1000))</f>
        <v>30.88856030622452</v>
      </c>
      <c r="AS21" s="195">
        <f ca="1">($AQ$2-AP21*IF(ISBLANK(Design!$B$41),Constants!$C$6,Design!$B$41)/1000*(1+Constants!$C$32/100*(BC21-25))-Design!$C$27) / (IF(ISBLANK(Design!$B$40),Design!$B$38,Design!$B$40)/1000000) * AR21/100/(IF(ISBLANK(Design!$B$31),Design!$B$30,Design!$B$31)*1000000)</f>
        <v>0.5730281972896768</v>
      </c>
      <c r="AT21" s="195">
        <f>$AQ$2*Constants!$C$21/1000+IF(ISBLANK(Design!$B$31),Design!$B$30,Design!$B$31)*1000000*Constants!$D$25/1000000000*($AQ$2-Constants!$C$24)</f>
        <v>0.18149999999999999</v>
      </c>
      <c r="AU21" s="195">
        <f>$AQ$2*AP21*($AQ$2/(Constants!$C$26*1000000000)*IF(ISBLANK(Design!$B$31),Design!$B$30,Design!$B$31)*1000000/2+$AQ$2/(Constants!$C$27*1000000000)*IF(ISBLANK(Design!$B$31),Design!$B$30,Design!$B$31)*1000000/2)</f>
        <v>1.9655999999999993</v>
      </c>
      <c r="AV21" s="195">
        <f t="shared" ca="1" si="72"/>
        <v>0.33348631829640141</v>
      </c>
      <c r="AW21" s="195">
        <f>Constants!$D$25/1000000000*Constants!$C$24*IF(ISBLANK(Design!$B$31),Design!$B$30,Design!$B$31)*1000000</f>
        <v>5.2499999999999998E-2</v>
      </c>
      <c r="AX21" s="195">
        <f t="shared" ca="1" si="73"/>
        <v>2.5330863182964007</v>
      </c>
      <c r="AY21" s="195">
        <f t="shared" ca="1" si="74"/>
        <v>0.53411742156479491</v>
      </c>
      <c r="AZ21" s="195">
        <f ca="1">AP21^2*IF(ISBLANK(Design!$B$41),Constants!$C$6,Design!$B$41)/1000*(1+(BC21-25)*(Constants!$C$32/100))</f>
        <v>0.31230604544353691</v>
      </c>
      <c r="BA21" s="195">
        <f>0.5*Snubber!$B$16/1000000000000*$AQ$2^2*Design!$B$31*1000000</f>
        <v>0.11226599999999999</v>
      </c>
      <c r="BB21" s="196">
        <f ca="1">$A21+AY21*Design!$B$18</f>
        <v>115.4446930291933</v>
      </c>
      <c r="BC21" s="196">
        <f ca="1">AX21*Design!$C$11+$A21</f>
        <v>178.72419377696684</v>
      </c>
      <c r="BD21" s="196">
        <f ca="1">Constants!$D$22+Constants!$D$22*Constants!$C$23/100*(BC21-25)</f>
        <v>247.9793550215735</v>
      </c>
      <c r="BE21" s="195">
        <f ca="1">(1-Constants!$C$20/1000000000*Design!$B$31*1000000) * ($AQ$2+AQ21-AP21*BD21/1000) - (AQ21+AP21*Design!$B$41/1000)</f>
        <v>13.828379170974202</v>
      </c>
      <c r="BF21" s="195">
        <f ca="1">IF(BE21&gt;Design!$C$27,Design!$C$27,BE21)</f>
        <v>4.9936842105263155</v>
      </c>
      <c r="BG21" s="195">
        <f t="shared" ca="1" si="75"/>
        <v>3.4917757853047324</v>
      </c>
      <c r="BH21" s="195">
        <f t="shared" ca="1" si="76"/>
        <v>10.386863157894734</v>
      </c>
      <c r="BI21" s="338">
        <f t="shared" ca="1" si="77"/>
        <v>74.84064684155716</v>
      </c>
    </row>
    <row r="22" spans="1:61" ht="12.75" customHeight="1" x14ac:dyDescent="0.3">
      <c r="A22" s="112">
        <f>Design!$D$12</f>
        <v>85</v>
      </c>
      <c r="B22" s="320">
        <f t="shared" si="57"/>
        <v>2.3849999999999998</v>
      </c>
      <c r="C22" s="321">
        <f ca="1">FORECAST(B22, OFFSET(Design!$C$14:$C$16,MATCH(B22,Design!$B$14:$B$16,1)-1,0,2), OFFSET(Design!$B$14:$B$16,MATCH(B22,Design!$B$14:$B$16,1)-1,0,2))+(N22-25)*Design!$B$17/1000</f>
        <v>0.39880889304449568</v>
      </c>
      <c r="D22" s="166">
        <f ca="1">IF(100*(Design!$C$27+C22+B22*IF(ISBLANK(Design!$B$41),Constants!$C$6,Design!$B$41)/1000*(1+Constants!$C$32/100*(O22-25)))/($C$2+C22-B22*P22/1000)&gt;Design!$C$34,Design!$C$34,100*(Design!$C$27+C22+B22*IF(ISBLANK(Design!$B$41),Constants!$C$6,Design!$B$41)/1000*(1+Constants!$C$32/100*(O22-25)))/($C$2+C22-B22*P22/1000))</f>
        <v>80.05</v>
      </c>
      <c r="E22" s="165">
        <f ca="1">IF(($C$2-B22*IF(ISBLANK(Design!$B$41),Constants!$C$6,Design!$B$41)/1000*(1+Constants!$C$32/100*(O22-25))-Design!$C$27) / (IF(ISBLANK(Design!$B$40),Design!$B$38,Design!$B$40)/1000000) * D22/100/(IF(ISBLANK(Design!$B$31),Design!$B$30,Design!$B$31)*1000000)&lt;0,0,($C$2-B22*IF(ISBLANK(Design!$B$41),Constants!$C$6,Design!$B$41)/1000*(1+Constants!$C$32/100*(O22-25))-Design!$C$27) / (IF(ISBLANK(Design!$B$40),Design!$B$38,Design!$B$40)/1000000) * D22/100/(IF(ISBLANK(Design!$B$31),Design!$B$30,Design!$B$31)*1000000))</f>
        <v>9.8595325785373333E-2</v>
      </c>
      <c r="F22" s="165">
        <f>$C$2*Constants!$C$21/1000+IF(ISBLANK(Design!$B$31),Design!$B$30,Design!$B$31)*1000000*Constants!$D$25/1000000000*($C$2-Constants!$C$24)</f>
        <v>2.5500000000000002E-2</v>
      </c>
      <c r="G22" s="165">
        <f>$C$2*B22*($C$2/(Constants!$C$26*1000000000)*IF(ISBLANK(Design!$B$31),Design!$B$30,Design!$B$31)*1000000/2+$C$2/(Constants!$C$27*1000000000)*IF(ISBLANK(Design!$B$31),Design!$B$30,Design!$B$31)*1000000/2)</f>
        <v>0.25042500000000001</v>
      </c>
      <c r="H22" s="165">
        <f t="shared" ca="1" si="60"/>
        <v>0.96177410458977963</v>
      </c>
      <c r="I22" s="165">
        <f>Constants!$D$25/1000000000*Constants!$C$24*IF(ISBLANK(Design!$B$31),Design!$B$30,Design!$B$31)*1000000</f>
        <v>5.2499999999999998E-2</v>
      </c>
      <c r="J22" s="165">
        <f t="shared" ca="1" si="61"/>
        <v>1.2901991045897796</v>
      </c>
      <c r="K22" s="165">
        <f t="shared" ca="1" si="62"/>
        <v>0.18975626237726886</v>
      </c>
      <c r="L22" s="165">
        <f ca="1">B22^2*IF(ISBLANK(Design!$B$41),Constants!$C$6,Design!$B$41)/1000*(1+(O22-25)*(Constants!$C$32/100))</f>
        <v>0.36434988575614996</v>
      </c>
      <c r="M22" s="165">
        <f>0.5*Snubber!$B$16/1000000000000*$C$2^2*Design!$B$31*1000000</f>
        <v>1.2473999999999999E-2</v>
      </c>
      <c r="N22" s="166">
        <f ca="1">$A22+K22*Design!$B$18</f>
        <v>95.816106955504324</v>
      </c>
      <c r="O22" s="166">
        <f ca="1">J22*Design!$C$11+A22</f>
        <v>132.73736686982184</v>
      </c>
      <c r="P22" s="166">
        <f ca="1">Constants!$D$22+Constants!$D$22*Constants!$C$23/100*(O22-25)</f>
        <v>211.18989349585746</v>
      </c>
      <c r="Q22" s="165">
        <f ca="1">(1-Constants!$C$20/1000000000*Design!$B$31*1000000) * ($C$2+C22-B22*P22/1000) - (C22+B22*Design!$B$41/1000)</f>
        <v>4.212910465099533</v>
      </c>
      <c r="R22" s="165">
        <f ca="1">IF(Q22&gt;Design!$C$27,Design!$C$27,Q22)</f>
        <v>4.212910465099533</v>
      </c>
      <c r="S22" s="165">
        <f t="shared" ca="1" si="63"/>
        <v>1.8567792527231985</v>
      </c>
      <c r="T22" s="165">
        <f t="shared" ca="1" si="64"/>
        <v>10.047791459262385</v>
      </c>
      <c r="U22" s="322">
        <f t="shared" ca="1" si="65"/>
        <v>84.402803783140342</v>
      </c>
      <c r="V22" s="328">
        <f t="shared" si="58"/>
        <v>2.3849999999999998</v>
      </c>
      <c r="W22" s="329">
        <f ca="1">FORECAST(V22, OFFSET(Design!$C$14:$C$16,MATCH(V22,Design!$B$14:$B$16,1)-1,0,2), OFFSET(Design!$B$14:$B$16,MATCH(V22,Design!$B$14:$B$16,1)-1,0,2))+(AH22-25)*Design!$B$17/1000</f>
        <v>0.38196568638255174</v>
      </c>
      <c r="X22" s="184">
        <f ca="1">IF(100*(Design!$C$27+W22+V22*IF(ISBLANK(Design!$B$41),Constants!$C$6,Design!$B$41)/1000*(1+Constants!$C$32/100*(AI22-25)))/($W$2+W22-V22*AJ22/1000)&gt;Design!$C$34,Design!$C$34,100*(Design!$C$27+W22+V22*IF(ISBLANK(Design!$B$41),Constants!$C$6,Design!$B$41)/1000*(1+Constants!$C$32/100*(AI22-25)))/($W$2+W22-V22*AJ22/1000))</f>
        <v>46.733543165003361</v>
      </c>
      <c r="Y22" s="183">
        <f ca="1">($W$2-V22*IF(ISBLANK(Design!$B$41),Constants!$C$6,Design!$B$41)/1000*(1+Constants!$C$32/100*(AI22-25))-Design!$C$27) / (IF(ISBLANK(Design!$B$40),Design!$B$38,Design!$B$40)/1000000) * X22/100/(IF(ISBLANK(Design!$B$31),Design!$B$30,Design!$B$31)*1000000)</f>
        <v>0.46168772787660267</v>
      </c>
      <c r="Z22" s="183">
        <f>$W$2*Constants!$C$21/1000+IF(ISBLANK(Design!$B$31),Design!$B$30,Design!$B$31)*1000000*Constants!$D$25/1000000000*($W$2-Constants!$C$24)</f>
        <v>0.10350000000000001</v>
      </c>
      <c r="AA22" s="183">
        <f>$W$2*V22*($W$2/(Constants!$C$26*1000000000)*IF(ISBLANK(Design!$B$31),Design!$B$30,Design!$B$31)*1000000/2+$W$2/(Constants!$C$27*1000000000)*IF(ISBLANK(Design!$B$31),Design!$B$30,Design!$B$31)*1000000/2)</f>
        <v>1.0017</v>
      </c>
      <c r="AB22" s="183">
        <f t="shared" ca="1" si="66"/>
        <v>0.60006707429239081</v>
      </c>
      <c r="AC22" s="183">
        <f>Constants!$D$25/1000000000*Constants!$C$24*IF(ISBLANK(Design!$B$31),Design!$B$30,Design!$B$31)*1000000</f>
        <v>5.2499999999999998E-2</v>
      </c>
      <c r="AD22" s="183">
        <f t="shared" ca="1" si="67"/>
        <v>1.7577670742923908</v>
      </c>
      <c r="AE22" s="183">
        <f t="shared" ca="1" si="68"/>
        <v>0.48525111609558347</v>
      </c>
      <c r="AF22" s="183">
        <f ca="1">V22^2*IF(ISBLANK(Design!$B$41),Constants!$C$6,Design!$B$41)/1000*(1+(AI22-25)*(Constants!$C$32/100))</f>
        <v>0.38175305354715688</v>
      </c>
      <c r="AG22" s="183">
        <f>0.5*Snubber!$B$16/1000000000000*$W$2^2*Design!$B$31*1000000</f>
        <v>4.9895999999999996E-2</v>
      </c>
      <c r="AH22" s="184">
        <f ca="1">$A22+AE22*Design!$B$18</f>
        <v>112.65931361744826</v>
      </c>
      <c r="AI22" s="184">
        <f ca="1">AD22*Design!$C$11+$A22</f>
        <v>150.03738174881846</v>
      </c>
      <c r="AJ22" s="184">
        <f ca="1">Constants!$D$22+Constants!$D$22*Constants!$C$23/100*(AI22-25)</f>
        <v>225.02990539905477</v>
      </c>
      <c r="AK22" s="183">
        <f ca="1">(1-Constants!$C$20/1000000000*Design!$B$31*1000000) * ($W$2+W22-V22*AJ22/1000) - (W22+V22*Design!$B$41/1000)</f>
        <v>8.9928474379030963</v>
      </c>
      <c r="AL22" s="183">
        <f ca="1">IF(AK22&gt;Design!$C$27,Design!$C$27,AK22)</f>
        <v>4.9936842105263155</v>
      </c>
      <c r="AM22" s="183">
        <f t="shared" ca="1" si="69"/>
        <v>2.6746672439351307</v>
      </c>
      <c r="AN22" s="183">
        <f t="shared" ca="1" si="70"/>
        <v>11.909936842105262</v>
      </c>
      <c r="AO22" s="330">
        <f t="shared" ca="1" si="71"/>
        <v>81.66102262251205</v>
      </c>
      <c r="AP22" s="336">
        <f t="shared" si="59"/>
        <v>2.3849999999999998</v>
      </c>
      <c r="AQ22" s="337">
        <f ca="1">FORECAST(AP22, OFFSET(Design!$C$14:$C$16,MATCH(AP22,Design!$B$14:$B$16,1)-1,0,2), OFFSET(Design!$B$14:$B$16,MATCH(AP22,Design!$B$14:$B$16,1)-1,0,2))+(BB22-25)*Design!$B$17/1000</f>
        <v>0.37461031294248764</v>
      </c>
      <c r="AR22" s="196">
        <f ca="1">IF(100*(Design!$C$27+AQ22+AP22*IF(ISBLANK(Design!$B$41),Constants!$C$6,Design!$B$41)/1000*(1+Constants!$C$32/100*(BC22-25)))/($AQ$2+AQ22-AP22*BD22/1000)&gt;Design!$C$34,Design!$C$34,100*(Design!$C$27+AQ22+AP22*IF(ISBLANK(Design!$B$41),Constants!$C$6,Design!$B$41)/1000*(1+Constants!$C$32/100*(BC22-25)))/($AQ$2+AQ22-AP22*BD22/1000))</f>
        <v>31.244525923876367</v>
      </c>
      <c r="AS22" s="195">
        <f ca="1">($AQ$2-AP22*IF(ISBLANK(Design!$B$41),Constants!$C$6,Design!$B$41)/1000*(1+Constants!$C$32/100*(BC22-25))-Design!$C$27) / (IF(ISBLANK(Design!$B$40),Design!$B$38,Design!$B$40)/1000000) * AR22/100/(IF(ISBLANK(Design!$B$31),Design!$B$30,Design!$B$31)*1000000)</f>
        <v>0.57834384821177276</v>
      </c>
      <c r="AT22" s="195">
        <f>$AQ$2*Constants!$C$21/1000+IF(ISBLANK(Design!$B$31),Design!$B$30,Design!$B$31)*1000000*Constants!$D$25/1000000000*($AQ$2-Constants!$C$24)</f>
        <v>0.18149999999999999</v>
      </c>
      <c r="AU22" s="195">
        <f>$AQ$2*AP22*($AQ$2/(Constants!$C$26*1000000000)*IF(ISBLANK(Design!$B$31),Design!$B$30,Design!$B$31)*1000000/2+$AQ$2/(Constants!$C$27*1000000000)*IF(ISBLANK(Design!$B$31),Design!$B$30,Design!$B$31)*1000000/2)</f>
        <v>2.2538249999999995</v>
      </c>
      <c r="AV22" s="195">
        <f t="shared" ca="1" si="72"/>
        <v>0.46507654437337709</v>
      </c>
      <c r="AW22" s="195">
        <f>Constants!$D$25/1000000000*Constants!$C$24*IF(ISBLANK(Design!$B$31),Design!$B$30,Design!$B$31)*1000000</f>
        <v>5.2499999999999998E-2</v>
      </c>
      <c r="AX22" s="195">
        <f t="shared" ca="1" si="73"/>
        <v>2.9529015443733773</v>
      </c>
      <c r="AY22" s="195">
        <f t="shared" ca="1" si="74"/>
        <v>0.61429275539495354</v>
      </c>
      <c r="AZ22" s="195">
        <f ca="1">AP22^2*IF(ISBLANK(Design!$B$41),Constants!$C$6,Design!$B$41)/1000*(1+(BC22-25)*(Constants!$C$32/100))</f>
        <v>0.42623669457850688</v>
      </c>
      <c r="BA22" s="195">
        <f>0.5*Snubber!$B$16/1000000000000*$AQ$2^2*Design!$B$31*1000000</f>
        <v>0.11226599999999999</v>
      </c>
      <c r="BB22" s="196">
        <f ca="1">$A22+AY22*Design!$B$18</f>
        <v>120.01468705751236</v>
      </c>
      <c r="BC22" s="196">
        <f ca="1">AX22*Design!$C$11+$A22</f>
        <v>194.25735714181496</v>
      </c>
      <c r="BD22" s="196">
        <f ca="1">Constants!$D$22+Constants!$D$22*Constants!$C$23/100*(BC22-25)</f>
        <v>260.40588571345199</v>
      </c>
      <c r="BE22" s="195">
        <f ca="1">(1-Constants!$C$20/1000000000*Design!$B$31*1000000) * ($AQ$2+AQ22-AP22*BD22/1000) - (AQ22+AP22*Design!$B$41/1000)</f>
        <v>13.729775278607994</v>
      </c>
      <c r="BF22" s="195">
        <f ca="1">IF(BE22&gt;Design!$C$27,Design!$C$27,BE22)</f>
        <v>4.9936842105263155</v>
      </c>
      <c r="BG22" s="195">
        <f t="shared" ca="1" si="75"/>
        <v>4.1056969943468378</v>
      </c>
      <c r="BH22" s="195">
        <f t="shared" ca="1" si="76"/>
        <v>11.909936842105262</v>
      </c>
      <c r="BI22" s="338">
        <f t="shared" ca="1" si="77"/>
        <v>74.364442667250927</v>
      </c>
    </row>
    <row r="23" spans="1:61" ht="12.75" customHeight="1" x14ac:dyDescent="0.3">
      <c r="A23" s="112">
        <f>Design!$D$12</f>
        <v>85</v>
      </c>
      <c r="B23" s="320">
        <f t="shared" si="57"/>
        <v>2.69</v>
      </c>
      <c r="C23" s="321">
        <f ca="1">FORECAST(B23, OFFSET(Design!$C$14:$C$16,MATCH(B23,Design!$B$14:$B$16,1)-1,0,2), OFFSET(Design!$B$14:$B$16,MATCH(B23,Design!$B$14:$B$16,1)-1,0,2))+(N23-25)*Design!$B$17/1000</f>
        <v>0.40486543556168275</v>
      </c>
      <c r="D23" s="166">
        <f ca="1">IF(100*(Design!$C$27+C23+B23*IF(ISBLANK(Design!$B$41),Constants!$C$6,Design!$B$41)/1000*(1+Constants!$C$32/100*(O23-25)))/($C$2+C23-B23*P23/1000)&gt;Design!$C$34,Design!$C$34,100*(Design!$C$27+C23+B23*IF(ISBLANK(Design!$B$41),Constants!$C$6,Design!$B$41)/1000*(1+Constants!$C$32/100*(O23-25)))/($C$2+C23-B23*P23/1000))</f>
        <v>80.05</v>
      </c>
      <c r="E23" s="165">
        <f ca="1">IF(($C$2-B23*IF(ISBLANK(Design!$B$41),Constants!$C$6,Design!$B$41)/1000*(1+Constants!$C$32/100*(O23-25))-Design!$C$27) / (IF(ISBLANK(Design!$B$40),Design!$B$38,Design!$B$40)/1000000) * D23/100/(IF(ISBLANK(Design!$B$31),Design!$B$30,Design!$B$31)*1000000)&lt;0,0,($C$2-B23*IF(ISBLANK(Design!$B$41),Constants!$C$6,Design!$B$41)/1000*(1+Constants!$C$32/100*(O23-25))-Design!$C$27) / (IF(ISBLANK(Design!$B$40),Design!$B$38,Design!$B$40)/1000000) * D23/100/(IF(ISBLANK(Design!$B$31),Design!$B$30,Design!$B$31)*1000000))</f>
        <v>9.5617902366918889E-2</v>
      </c>
      <c r="F23" s="165">
        <f>$C$2*Constants!$C$21/1000+IF(ISBLANK(Design!$B$31),Design!$B$30,Design!$B$31)*1000000*Constants!$D$25/1000000000*($C$2-Constants!$C$24)</f>
        <v>2.5500000000000002E-2</v>
      </c>
      <c r="G23" s="165">
        <f>$C$2*B23*($C$2/(Constants!$C$26*1000000000)*IF(ISBLANK(Design!$B$31),Design!$B$30,Design!$B$31)*1000000/2+$C$2/(Constants!$C$27*1000000000)*IF(ISBLANK(Design!$B$31),Design!$B$30,Design!$B$31)*1000000/2)</f>
        <v>0.28245000000000003</v>
      </c>
      <c r="H23" s="165">
        <f t="shared" ca="1" si="60"/>
        <v>1.2842309843211963</v>
      </c>
      <c r="I23" s="165">
        <f>Constants!$D$25/1000000000*Constants!$C$24*IF(ISBLANK(Design!$B$31),Design!$B$30,Design!$B$31)*1000000</f>
        <v>5.2499999999999998E-2</v>
      </c>
      <c r="J23" s="165">
        <f t="shared" ca="1" si="61"/>
        <v>1.6446809843211965</v>
      </c>
      <c r="K23" s="165">
        <f t="shared" ca="1" si="62"/>
        <v>0.21727306032135488</v>
      </c>
      <c r="L23" s="165">
        <f ca="1">B23^2*IF(ISBLANK(Design!$B$41),Constants!$C$6,Design!$B$41)/1000*(1+(O23-25)*(Constants!$C$32/100))</f>
        <v>0.48028085338016263</v>
      </c>
      <c r="M23" s="165">
        <f>0.5*Snubber!$B$16/1000000000000*$C$2^2*Design!$B$31*1000000</f>
        <v>1.2473999999999999E-2</v>
      </c>
      <c r="N23" s="166">
        <f ca="1">$A23+K23*Design!$B$18</f>
        <v>97.384564438317227</v>
      </c>
      <c r="O23" s="166">
        <f ca="1">J23*Design!$C$11+A23</f>
        <v>145.85319641988428</v>
      </c>
      <c r="P23" s="166">
        <f ca="1">Constants!$D$22+Constants!$D$22*Constants!$C$23/100*(O23-25)</f>
        <v>221.68255713590742</v>
      </c>
      <c r="Q23" s="165">
        <f ca="1">(1-Constants!$C$20/1000000000*Design!$B$31*1000000) * ($C$2+C23-B23*P23/1000) - (C23+B23*Design!$B$41/1000)</f>
        <v>4.1238203196096235</v>
      </c>
      <c r="R23" s="165">
        <f ca="1">IF(Q23&gt;Design!$C$27,Design!$C$27,Q23)</f>
        <v>4.1238203196096235</v>
      </c>
      <c r="S23" s="165">
        <f t="shared" ca="1" si="63"/>
        <v>2.354708898022714</v>
      </c>
      <c r="T23" s="165">
        <f t="shared" ca="1" si="64"/>
        <v>11.093076659749887</v>
      </c>
      <c r="U23" s="322">
        <f t="shared" ca="1" si="65"/>
        <v>82.489987753695758</v>
      </c>
      <c r="V23" s="328">
        <f t="shared" si="58"/>
        <v>2.69</v>
      </c>
      <c r="W23" s="329">
        <f ca="1">FORECAST(V23, OFFSET(Design!$C$14:$C$16,MATCH(V23,Design!$B$14:$B$16,1)-1,0,2), OFFSET(Design!$B$14:$B$16,MATCH(V23,Design!$B$14:$B$16,1)-1,0,2))+(AH23-25)*Design!$B$17/1000</f>
        <v>0.38608528952467691</v>
      </c>
      <c r="X23" s="184">
        <f ca="1">IF(100*(Design!$C$27+W23+V23*IF(ISBLANK(Design!$B$41),Constants!$C$6,Design!$B$41)/1000*(1+Constants!$C$32/100*(AI23-25)))/($W$2+W23-V23*AJ23/1000)&gt;Design!$C$34,Design!$C$34,100*(Design!$C$27+W23+V23*IF(ISBLANK(Design!$B$41),Constants!$C$6,Design!$B$41)/1000*(1+Constants!$C$32/100*(AI23-25)))/($W$2+W23-V23*AJ23/1000))</f>
        <v>47.355536239392968</v>
      </c>
      <c r="Y23" s="183">
        <f ca="1">($W$2-V23*IF(ISBLANK(Design!$B$41),Constants!$C$6,Design!$B$41)/1000*(1+Constants!$C$32/100*(AI23-25))-Design!$C$27) / (IF(ISBLANK(Design!$B$40),Design!$B$38,Design!$B$40)/1000000) * X23/100/(IF(ISBLANK(Design!$B$31),Design!$B$30,Design!$B$31)*1000000)</f>
        <v>0.46603061087175907</v>
      </c>
      <c r="Z23" s="183">
        <f>$W$2*Constants!$C$21/1000+IF(ISBLANK(Design!$B$31),Design!$B$30,Design!$B$31)*1000000*Constants!$D$25/1000000000*($W$2-Constants!$C$24)</f>
        <v>0.10350000000000001</v>
      </c>
      <c r="AA23" s="183">
        <f>$W$2*V23*($W$2/(Constants!$C$26*1000000000)*IF(ISBLANK(Design!$B$31),Design!$B$30,Design!$B$31)*1000000/2+$W$2/(Constants!$C$27*1000000000)*IF(ISBLANK(Design!$B$31),Design!$B$30,Design!$B$31)*1000000/2)</f>
        <v>1.1298000000000001</v>
      </c>
      <c r="AB23" s="183">
        <f t="shared" ca="1" si="66"/>
        <v>0.80711657710450935</v>
      </c>
      <c r="AC23" s="183">
        <f>Constants!$D$25/1000000000*Constants!$C$24*IF(ISBLANK(Design!$B$31),Design!$B$30,Design!$B$31)*1000000</f>
        <v>5.2499999999999998E-2</v>
      </c>
      <c r="AD23" s="183">
        <f t="shared" ca="1" si="67"/>
        <v>2.0929165771045097</v>
      </c>
      <c r="AE23" s="183">
        <f t="shared" ca="1" si="68"/>
        <v>0.54674930658461529</v>
      </c>
      <c r="AF23" s="183">
        <f ca="1">V23^2*IF(ISBLANK(Design!$B$41),Constants!$C$6,Design!$B$41)/1000*(1+(AI23-25)*(Constants!$C$32/100))</f>
        <v>0.50150438663912233</v>
      </c>
      <c r="AG23" s="183">
        <f>0.5*Snubber!$B$16/1000000000000*$W$2^2*Design!$B$31*1000000</f>
        <v>4.9895999999999996E-2</v>
      </c>
      <c r="AH23" s="184">
        <f ca="1">$A23+AE23*Design!$B$18</f>
        <v>116.16471047532308</v>
      </c>
      <c r="AI23" s="184">
        <f ca="1">AD23*Design!$C$11+$A23</f>
        <v>162.43791335286687</v>
      </c>
      <c r="AJ23" s="184">
        <f ca="1">Constants!$D$22+Constants!$D$22*Constants!$C$23/100*(AI23-25)</f>
        <v>234.9503306822935</v>
      </c>
      <c r="AK23" s="183">
        <f ca="1">(1-Constants!$C$20/1000000000*Design!$B$31*1000000) * ($W$2+W23-V23*AJ23/1000) - (W23+V23*Design!$B$41/1000)</f>
        <v>8.9019968649167645</v>
      </c>
      <c r="AL23" s="183">
        <f ca="1">IF(AK23&gt;Design!$C$27,Design!$C$27,AK23)</f>
        <v>4.9936842105263155</v>
      </c>
      <c r="AM23" s="183">
        <f t="shared" ca="1" si="69"/>
        <v>3.1910662703282471</v>
      </c>
      <c r="AN23" s="183">
        <f t="shared" ca="1" si="70"/>
        <v>13.433010526315789</v>
      </c>
      <c r="AO23" s="330">
        <f t="shared" ca="1" si="71"/>
        <v>80.804550476015365</v>
      </c>
      <c r="AP23" s="336">
        <f t="shared" si="59"/>
        <v>2.69</v>
      </c>
      <c r="AQ23" s="337">
        <f ca="1">FORECAST(AP23, OFFSET(Design!$C$14:$C$16,MATCH(AP23,Design!$B$14:$B$16,1)-1,0,2), OFFSET(Design!$B$14:$B$16,MATCH(AP23,Design!$B$14:$B$16,1)-1,0,2))+(BB23-25)*Design!$B$17/1000</f>
        <v>0.37766224576460383</v>
      </c>
      <c r="AR23" s="196">
        <f ca="1">IF(100*(Design!$C$27+AQ23+AP23*IF(ISBLANK(Design!$B$41),Constants!$C$6,Design!$B$41)/1000*(1+Constants!$C$32/100*(BC23-25)))/($AQ$2+AQ23-AP23*BD23/1000)&gt;Design!$C$34,Design!$C$34,100*(Design!$C$27+AQ23+AP23*IF(ISBLANK(Design!$B$41),Constants!$C$6,Design!$B$41)/1000*(1+Constants!$C$32/100*(BC23-25)))/($AQ$2+AQ23-AP23*BD23/1000))</f>
        <v>31.635576091838249</v>
      </c>
      <c r="AS23" s="195">
        <f ca="1">($AQ$2-AP23*IF(ISBLANK(Design!$B$41),Constants!$C$6,Design!$B$41)/1000*(1+Constants!$C$32/100*(BC23-25))-Design!$C$27) / (IF(ISBLANK(Design!$B$40),Design!$B$38,Design!$B$40)/1000000) * AR23/100/(IF(ISBLANK(Design!$B$31),Design!$B$30,Design!$B$31)*1000000)</f>
        <v>0.58417546391790554</v>
      </c>
      <c r="AT23" s="195">
        <f>$AQ$2*Constants!$C$21/1000+IF(ISBLANK(Design!$B$31),Design!$B$30,Design!$B$31)*1000000*Constants!$D$25/1000000000*($AQ$2-Constants!$C$24)</f>
        <v>0.18149999999999999</v>
      </c>
      <c r="AU23" s="195">
        <f>$AQ$2*AP23*($AQ$2/(Constants!$C$26*1000000000)*IF(ISBLANK(Design!$B$31),Design!$B$30,Design!$B$31)*1000000/2+$AQ$2/(Constants!$C$27*1000000000)*IF(ISBLANK(Design!$B$31),Design!$B$30,Design!$B$31)*1000000/2)</f>
        <v>2.5420500000000001</v>
      </c>
      <c r="AV23" s="195">
        <f t="shared" ca="1" si="72"/>
        <v>0.62923296549492469</v>
      </c>
      <c r="AW23" s="195">
        <f>Constants!$D$25/1000000000*Constants!$C$24*IF(ISBLANK(Design!$B$31),Design!$B$30,Design!$B$31)*1000000</f>
        <v>5.2499999999999998E-2</v>
      </c>
      <c r="AX23" s="195">
        <f t="shared" ca="1" si="73"/>
        <v>3.4052829654949255</v>
      </c>
      <c r="AY23" s="195">
        <f t="shared" ca="1" si="74"/>
        <v>0.69452200412975695</v>
      </c>
      <c r="AZ23" s="195">
        <f ca="1">AP23^2*IF(ISBLANK(Design!$B$41),Constants!$C$6,Design!$B$41)/1000*(1+(BC23-25)*(Constants!$C$32/100))</f>
        <v>0.56364369959551031</v>
      </c>
      <c r="BA23" s="195">
        <f>0.5*Snubber!$B$16/1000000000000*$AQ$2^2*Design!$B$31*1000000</f>
        <v>0.11226599999999999</v>
      </c>
      <c r="BB23" s="196">
        <f ca="1">$A23+AY23*Design!$B$18</f>
        <v>124.58775423539615</v>
      </c>
      <c r="BC23" s="196">
        <f ca="1">AX23*Design!$C$11+$A23</f>
        <v>210.99546972331223</v>
      </c>
      <c r="BD23" s="196">
        <f ca="1">Constants!$D$22+Constants!$D$22*Constants!$C$23/100*(BC23-25)</f>
        <v>273.7963757786498</v>
      </c>
      <c r="BE23" s="195">
        <f ca="1">(1-Constants!$C$20/1000000000*Design!$B$31*1000000) * ($AQ$2+AQ23-AP23*BD23/1000) - (AQ23+AP23*Design!$B$41/1000)</f>
        <v>13.623028325168884</v>
      </c>
      <c r="BF23" s="195">
        <f ca="1">IF(BE23&gt;Design!$C$27,Design!$C$27,BE23)</f>
        <v>4.9936842105263155</v>
      </c>
      <c r="BG23" s="195">
        <f t="shared" ca="1" si="75"/>
        <v>4.7757146692201928</v>
      </c>
      <c r="BH23" s="195">
        <f t="shared" ca="1" si="76"/>
        <v>13.433010526315789</v>
      </c>
      <c r="BI23" s="338">
        <f t="shared" ca="1" si="77"/>
        <v>73.77238319577144</v>
      </c>
    </row>
    <row r="24" spans="1:61" ht="12.75" customHeight="1" thickBot="1" x14ac:dyDescent="0.35">
      <c r="A24" s="121">
        <f>Design!$D$12</f>
        <v>85</v>
      </c>
      <c r="B24" s="320">
        <f t="shared" si="57"/>
        <v>2.9950000000000001</v>
      </c>
      <c r="C24" s="323">
        <f ca="1">FORECAST(B24, OFFSET(Design!$C$14:$C$16,MATCH(B24,Design!$B$14:$B$16,1)-1,0,2), OFFSET(Design!$B$14:$B$16,MATCH(B24,Design!$B$14:$B$16,1)-1,0,2))+(N24-25)*Design!$B$17/1000</f>
        <v>0.41088134987600555</v>
      </c>
      <c r="D24" s="168">
        <f ca="1">IF(100*(Design!$C$27+C24+B24*IF(ISBLANK(Design!$B$41),Constants!$C$6,Design!$B$41)/1000*(1+Constants!$C$32/100*(O24-25)))/($C$2+C24-B24*P24/1000)&gt;Design!$C$34,Design!$C$34,100*(Design!$C$27+C24+B24*IF(ISBLANK(Design!$B$41),Constants!$C$6,Design!$B$41)/1000*(1+Constants!$C$32/100*(O24-25)))/($C$2+C24-B24*P24/1000))</f>
        <v>80.05</v>
      </c>
      <c r="E24" s="167">
        <f ca="1">IF(($C$2-B24*IF(ISBLANK(Design!$B$41),Constants!$C$6,Design!$B$41)/1000*(1+Constants!$C$32/100*(O24-25))-Design!$C$27) / (IF(ISBLANK(Design!$B$40),Design!$B$38,Design!$B$40)/1000000) * D24/100/(IF(ISBLANK(Design!$B$31),Design!$B$30,Design!$B$31)*1000000)&lt;0,0,($C$2-B24*IF(ISBLANK(Design!$B$41),Constants!$C$6,Design!$B$41)/1000*(1+Constants!$C$32/100*(O24-25))-Design!$C$27) / (IF(ISBLANK(Design!$B$40),Design!$B$38,Design!$B$40)/1000000) * D24/100/(IF(ISBLANK(Design!$B$31),Design!$B$30,Design!$B$31)*1000000))</f>
        <v>9.2302882430638514E-2</v>
      </c>
      <c r="F24" s="167">
        <f>$C$2*Constants!$C$21/1000+IF(ISBLANK(Design!$B$31),Design!$B$30,Design!$B$31)*1000000*Constants!$D$25/1000000000*($C$2-Constants!$C$24)</f>
        <v>2.5500000000000002E-2</v>
      </c>
      <c r="G24" s="167">
        <f>$C$2*B24*($C$2/(Constants!$C$26*1000000000)*IF(ISBLANK(Design!$B$31),Design!$B$30,Design!$B$31)*1000000/2+$C$2/(Constants!$C$27*1000000000)*IF(ISBLANK(Design!$B$31),Design!$B$30,Design!$B$31)*1000000/2)</f>
        <v>0.314475</v>
      </c>
      <c r="H24" s="167">
        <f t="shared" ca="1" si="60"/>
        <v>1.6836199634474509</v>
      </c>
      <c r="I24" s="167">
        <f>Constants!$D$25/1000000000*Constants!$C$24*IF(ISBLANK(Design!$B$31),Design!$B$30,Design!$B$31)*1000000</f>
        <v>5.2499999999999998E-2</v>
      </c>
      <c r="J24" s="167">
        <f t="shared" ca="1" si="61"/>
        <v>2.076094963447451</v>
      </c>
      <c r="K24" s="167">
        <f t="shared" ca="1" si="62"/>
        <v>0.24550263375428805</v>
      </c>
      <c r="L24" s="167">
        <f ca="1">B24^2*IF(ISBLANK(Design!$B$41),Constants!$C$6,Design!$B$41)/1000*(1+(O24-25)*(Constants!$C$32/100))</f>
        <v>0.62068826810359867</v>
      </c>
      <c r="M24" s="167">
        <f>0.5*Snubber!$B$16/1000000000000*$C$2^2*Design!$B$31*1000000</f>
        <v>1.2473999999999999E-2</v>
      </c>
      <c r="N24" s="168">
        <f ca="1">$A24+K24*Design!$B$18</f>
        <v>98.993650123994414</v>
      </c>
      <c r="O24" s="168">
        <f ca="1">J24*Design!$C$11+A24</f>
        <v>161.81551364755569</v>
      </c>
      <c r="P24" s="168">
        <f ca="1">Constants!$D$22+Constants!$D$22*Constants!$C$23/100*(O24-25)</f>
        <v>234.45241091804456</v>
      </c>
      <c r="Q24" s="167">
        <f ca="1">(1-Constants!$C$20/1000000000*Design!$B$31*1000000) * ($C$2+C24-B24*P24/1000) - (C24+B24*Design!$B$41/1000)</f>
        <v>4.0241551016547517</v>
      </c>
      <c r="R24" s="167">
        <f ca="1">IF(Q24&gt;Design!$C$27,Design!$C$27,Q24)</f>
        <v>4.0241551016547517</v>
      </c>
      <c r="S24" s="167">
        <f t="shared" ca="1" si="63"/>
        <v>2.9547598653053382</v>
      </c>
      <c r="T24" s="167">
        <f t="shared" ca="1" si="64"/>
        <v>12.052344529455981</v>
      </c>
      <c r="U24" s="324">
        <f t="shared" ca="1" si="65"/>
        <v>80.310926161499978</v>
      </c>
      <c r="V24" s="328">
        <f t="shared" si="58"/>
        <v>2.9950000000000001</v>
      </c>
      <c r="W24" s="331">
        <f ca="1">FORECAST(V24, OFFSET(Design!$C$14:$C$16,MATCH(V24,Design!$B$14:$B$16,1)-1,0,2), OFFSET(Design!$B$14:$B$16,MATCH(V24,Design!$B$14:$B$16,1)-1,0,2))+(AH24-25)*Design!$B$17/1000</f>
        <v>0.39026417895487053</v>
      </c>
      <c r="X24" s="188">
        <f ca="1">IF(100*(Design!$C$27+W24+V24*IF(ISBLANK(Design!$B$41),Constants!$C$6,Design!$B$41)/1000*(1+Constants!$C$32/100*(AI24-25)))/($W$2+W24-V24*AJ24/1000)&gt;Design!$C$34,Design!$C$34,100*(Design!$C$27+W24+V24*IF(ISBLANK(Design!$B$41),Constants!$C$6,Design!$B$41)/1000*(1+Constants!$C$32/100*(AI24-25)))/($W$2+W24-V24*AJ24/1000))</f>
        <v>48.050481240702034</v>
      </c>
      <c r="Y24" s="187">
        <f ca="1">($W$2-V24*IF(ISBLANK(Design!$B$41),Constants!$C$6,Design!$B$41)/1000*(1+Constants!$C$32/100*(AI24-25))-Design!$C$27) / (IF(ISBLANK(Design!$B$40),Design!$B$38,Design!$B$40)/1000000) * X24/100/(IF(ISBLANK(Design!$B$31),Design!$B$30,Design!$B$31)*1000000)</f>
        <v>0.4708808829707079</v>
      </c>
      <c r="Z24" s="187">
        <f>$W$2*Constants!$C$21/1000+IF(ISBLANK(Design!$B$31),Design!$B$30,Design!$B$31)*1000000*Constants!$D$25/1000000000*($W$2-Constants!$C$24)</f>
        <v>0.10350000000000001</v>
      </c>
      <c r="AA24" s="187">
        <f>$W$2*V24*($W$2/(Constants!$C$26*1000000000)*IF(ISBLANK(Design!$B$31),Design!$B$30,Design!$B$31)*1000000/2+$W$2/(Constants!$C$27*1000000000)*IF(ISBLANK(Design!$B$31),Design!$B$30,Design!$B$31)*1000000/2)</f>
        <v>1.2579</v>
      </c>
      <c r="AB24" s="187">
        <f t="shared" ca="1" si="66"/>
        <v>1.0639682164086031</v>
      </c>
      <c r="AC24" s="187">
        <f>Constants!$D$25/1000000000*Constants!$C$24*IF(ISBLANK(Design!$B$31),Design!$B$30,Design!$B$31)*1000000</f>
        <v>5.2499999999999998E-2</v>
      </c>
      <c r="AD24" s="187">
        <f t="shared" ca="1" si="67"/>
        <v>2.477868216408603</v>
      </c>
      <c r="AE24" s="187">
        <f t="shared" ca="1" si="68"/>
        <v>0.60720738675665709</v>
      </c>
      <c r="AF24" s="187">
        <f ca="1">V24^2*IF(ISBLANK(Design!$B$41),Constants!$C$6,Design!$B$41)/1000*(1+(AI24-25)*(Constants!$C$32/100))</f>
        <v>0.64427031244267974</v>
      </c>
      <c r="AG24" s="187">
        <f>0.5*Snubber!$B$16/1000000000000*$W$2^2*Design!$B$31*1000000</f>
        <v>4.9895999999999996E-2</v>
      </c>
      <c r="AH24" s="188">
        <f ca="1">$A24+AE24*Design!$B$18</f>
        <v>119.61082104512946</v>
      </c>
      <c r="AI24" s="188">
        <f ca="1">AD24*Design!$C$11+$A24</f>
        <v>176.68112400711831</v>
      </c>
      <c r="AJ24" s="188">
        <f ca="1">Constants!$D$22+Constants!$D$22*Constants!$C$23/100*(AI24-25)</f>
        <v>246.34489920569467</v>
      </c>
      <c r="AK24" s="187">
        <f ca="1">(1-Constants!$C$20/1000000000*Design!$B$31*1000000) * ($W$2+W24-V24*AJ24/1000) - (W24+V24*Design!$B$41/1000)</f>
        <v>8.8027560163150991</v>
      </c>
      <c r="AL24" s="187">
        <f ca="1">IF(AK24&gt;Design!$C$27,Design!$C$27,AK24)</f>
        <v>4.9936842105263155</v>
      </c>
      <c r="AM24" s="187">
        <f t="shared" ca="1" si="69"/>
        <v>3.77924191560794</v>
      </c>
      <c r="AN24" s="187">
        <f t="shared" ca="1" si="70"/>
        <v>14.956084210526315</v>
      </c>
      <c r="AO24" s="332">
        <f t="shared" ca="1" si="71"/>
        <v>79.828256577096866</v>
      </c>
      <c r="AP24" s="336">
        <f t="shared" si="59"/>
        <v>2.9950000000000001</v>
      </c>
      <c r="AQ24" s="339">
        <f ca="1">FORECAST(AP24, OFFSET(Design!$C$14:$C$16,MATCH(AP24,Design!$B$14:$B$16,1)-1,0,2), OFFSET(Design!$B$14:$B$16,MATCH(AP24,Design!$B$14:$B$16,1)-1,0,2))+(BB24-25)*Design!$B$17/1000</f>
        <v>0.38072227746286758</v>
      </c>
      <c r="AR24" s="199">
        <f ca="1">IF(100*(Design!$C$27+AQ24+AP24*IF(ISBLANK(Design!$B$41),Constants!$C$6,Design!$B$41)/1000*(1+Constants!$C$32/100*(BC24-25)))/($AQ$2+AQ24-AP24*BD24/1000)&gt;Design!$C$34,Design!$C$34,100*(Design!$C$27+AQ24+AP24*IF(ISBLANK(Design!$B$41),Constants!$C$6,Design!$B$41)/1000*(1+Constants!$C$32/100*(BC24-25)))/($AQ$2+AQ24-AP24*BD24/1000))</f>
        <v>32.067512741670939</v>
      </c>
      <c r="AS24" s="198">
        <f ca="1">($AQ$2-AP24*IF(ISBLANK(Design!$B$41),Constants!$C$6,Design!$B$41)/1000*(1+Constants!$C$32/100*(BC24-25))-Design!$C$27) / (IF(ISBLANK(Design!$B$40),Design!$B$38,Design!$B$40)/1000000) * AR24/100/(IF(ISBLANK(Design!$B$31),Design!$B$30,Design!$B$31)*1000000)</f>
        <v>0.59060685593338291</v>
      </c>
      <c r="AT24" s="198">
        <f>$AQ$2*Constants!$C$21/1000+IF(ISBLANK(Design!$B$31),Design!$B$30,Design!$B$31)*1000000*Constants!$D$25/1000000000*($AQ$2-Constants!$C$24)</f>
        <v>0.18149999999999999</v>
      </c>
      <c r="AU24" s="198">
        <f>$AQ$2*AP24*($AQ$2/(Constants!$C$26*1000000000)*IF(ISBLANK(Design!$B$31),Design!$B$30,Design!$B$31)*1000000/2+$AQ$2/(Constants!$C$27*1000000000)*IF(ISBLANK(Design!$B$31),Design!$B$30,Design!$B$31)*1000000/2)</f>
        <v>2.8302749999999999</v>
      </c>
      <c r="AV24" s="198">
        <f t="shared" ca="1" si="72"/>
        <v>0.83206311871719951</v>
      </c>
      <c r="AW24" s="198">
        <f>Constants!$D$25/1000000000*Constants!$C$24*IF(ISBLANK(Design!$B$31),Design!$B$30,Design!$B$31)*1000000</f>
        <v>5.2499999999999998E-2</v>
      </c>
      <c r="AX24" s="198">
        <f t="shared" ca="1" si="73"/>
        <v>3.8963381187171997</v>
      </c>
      <c r="AY24" s="198">
        <f t="shared" ca="1" si="74"/>
        <v>0.77460916731811269</v>
      </c>
      <c r="AZ24" s="198">
        <f ca="1">AP24^2*IF(ISBLANK(Design!$B$41),Constants!$C$6,Design!$B$41)/1000*(1+(BC24-25)*(Constants!$C$32/100))</f>
        <v>0.72752727581873478</v>
      </c>
      <c r="BA24" s="198">
        <f>0.5*Snubber!$B$16/1000000000000*$AQ$2^2*Design!$B$31*1000000</f>
        <v>0.11226599999999999</v>
      </c>
      <c r="BB24" s="199">
        <f ca="1">$A24+AY24*Design!$B$18</f>
        <v>129.15272253713243</v>
      </c>
      <c r="BC24" s="199">
        <f ca="1">AX24*Design!$C$11+$A24</f>
        <v>229.16451039253639</v>
      </c>
      <c r="BD24" s="199">
        <f ca="1">Constants!$D$22+Constants!$D$22*Constants!$C$23/100*(BC24-25)</f>
        <v>288.33160831402915</v>
      </c>
      <c r="BE24" s="198">
        <f ca="1">(1-Constants!$C$20/1000000000*Design!$B$31*1000000) * ($AQ$2+AQ24-AP24*BD24/1000) - (AQ24+AP24*Design!$B$41/1000)</f>
        <v>13.506996595542297</v>
      </c>
      <c r="BF24" s="198">
        <f ca="1">IF(BE24&gt;Design!$C$27,Design!$C$27,BE24)</f>
        <v>4.9936842105263155</v>
      </c>
      <c r="BG24" s="198">
        <f t="shared" ca="1" si="75"/>
        <v>5.5107405618540479</v>
      </c>
      <c r="BH24" s="198">
        <f t="shared" ca="1" si="76"/>
        <v>14.956084210526315</v>
      </c>
      <c r="BI24" s="340">
        <f t="shared" ca="1" si="77"/>
        <v>73.074765513746414</v>
      </c>
    </row>
    <row r="25" spans="1:61" x14ac:dyDescent="0.3">
      <c r="A25" s="130"/>
      <c r="G25" s="151"/>
    </row>
    <row r="27" spans="1:61" x14ac:dyDescent="0.3">
      <c r="G27" s="11"/>
    </row>
    <row r="75" spans="2:9" ht="15" thickBot="1" x14ac:dyDescent="0.35"/>
    <row r="76" spans="2:9" x14ac:dyDescent="0.3">
      <c r="B76" s="203" t="s">
        <v>195</v>
      </c>
      <c r="C76" s="148"/>
      <c r="D76" s="148"/>
      <c r="E76" s="148"/>
      <c r="F76" s="148"/>
      <c r="H76" s="239">
        <v>0</v>
      </c>
      <c r="I76" s="240">
        <v>155</v>
      </c>
    </row>
    <row r="77" spans="2:9" ht="15" thickBot="1" x14ac:dyDescent="0.35">
      <c r="B77" s="201" t="s">
        <v>220</v>
      </c>
      <c r="C77" s="149"/>
      <c r="D77" s="149"/>
      <c r="E77" s="149"/>
      <c r="F77" s="152"/>
      <c r="H77" s="241">
        <v>3.5</v>
      </c>
      <c r="I77" s="242">
        <v>155</v>
      </c>
    </row>
    <row r="78" spans="2:9" x14ac:dyDescent="0.3">
      <c r="B78" s="202" t="s">
        <v>196</v>
      </c>
      <c r="C78" s="150"/>
      <c r="D78" s="129">
        <v>0</v>
      </c>
      <c r="F78" s="11"/>
    </row>
  </sheetData>
  <sheetProtection password="83AF" sheet="1" objects="1" scenarios="1"/>
  <mergeCells count="1">
    <mergeCell ref="A1:BI1"/>
  </mergeCell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115"/>
  <sheetViews>
    <sheetView showGridLines="0" topLeftCell="A88" zoomScaleNormal="100" workbookViewId="0">
      <selection activeCell="H113" sqref="H113"/>
    </sheetView>
  </sheetViews>
  <sheetFormatPr defaultRowHeight="14.4" x14ac:dyDescent="0.3"/>
  <cols>
    <col min="1" max="6" width="6.6640625" style="1" customWidth="1"/>
    <col min="7" max="16" width="6.6640625" style="155" customWidth="1"/>
    <col min="17" max="47" width="6.6640625" customWidth="1"/>
  </cols>
  <sheetData>
    <row r="1" spans="1:47" ht="24" customHeight="1" thickBot="1" x14ac:dyDescent="0.35">
      <c r="A1" s="429" t="s">
        <v>167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</row>
    <row r="2" spans="1:47" s="228" customFormat="1" ht="18" customHeight="1" x14ac:dyDescent="0.3">
      <c r="A2" s="238" t="s">
        <v>262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</row>
    <row r="3" spans="1:47" s="158" customFormat="1" ht="16.2" thickBot="1" x14ac:dyDescent="0.35">
      <c r="A3" s="210" t="s">
        <v>194</v>
      </c>
      <c r="B3" s="235" t="s">
        <v>106</v>
      </c>
      <c r="C3" s="208" t="s">
        <v>92</v>
      </c>
      <c r="D3" s="208" t="s">
        <v>219</v>
      </c>
      <c r="E3" s="200" t="s">
        <v>217</v>
      </c>
      <c r="F3" s="200" t="s">
        <v>218</v>
      </c>
      <c r="G3" s="200" t="s">
        <v>93</v>
      </c>
      <c r="H3" s="200" t="s">
        <v>94</v>
      </c>
      <c r="I3" s="200" t="s">
        <v>95</v>
      </c>
      <c r="J3" s="200" t="s">
        <v>182</v>
      </c>
      <c r="K3" s="200" t="s">
        <v>235</v>
      </c>
      <c r="L3" s="200" t="s">
        <v>237</v>
      </c>
      <c r="M3" s="200" t="s">
        <v>264</v>
      </c>
      <c r="N3" s="200" t="s">
        <v>265</v>
      </c>
      <c r="O3" s="200" t="s">
        <v>111</v>
      </c>
      <c r="P3" s="200" t="s">
        <v>231</v>
      </c>
      <c r="Q3" s="211" t="s">
        <v>230</v>
      </c>
      <c r="R3" s="208" t="s">
        <v>92</v>
      </c>
      <c r="S3" s="208" t="s">
        <v>219</v>
      </c>
      <c r="T3" s="200" t="s">
        <v>217</v>
      </c>
      <c r="U3" s="200" t="s">
        <v>218</v>
      </c>
      <c r="V3" s="200" t="s">
        <v>93</v>
      </c>
      <c r="W3" s="200" t="s">
        <v>94</v>
      </c>
      <c r="X3" s="200" t="s">
        <v>95</v>
      </c>
      <c r="Y3" s="200" t="s">
        <v>182</v>
      </c>
      <c r="Z3" s="200" t="s">
        <v>96</v>
      </c>
      <c r="AA3" s="200" t="s">
        <v>237</v>
      </c>
      <c r="AB3" s="200" t="s">
        <v>264</v>
      </c>
      <c r="AC3" s="200" t="s">
        <v>265</v>
      </c>
      <c r="AD3" s="200" t="s">
        <v>111</v>
      </c>
      <c r="AE3" s="200" t="s">
        <v>231</v>
      </c>
      <c r="AF3" s="211" t="s">
        <v>230</v>
      </c>
      <c r="AG3" s="208" t="s">
        <v>92</v>
      </c>
      <c r="AH3" s="208" t="s">
        <v>219</v>
      </c>
      <c r="AI3" s="200" t="s">
        <v>217</v>
      </c>
      <c r="AJ3" s="200" t="s">
        <v>218</v>
      </c>
      <c r="AK3" s="200" t="s">
        <v>93</v>
      </c>
      <c r="AL3" s="200" t="s">
        <v>94</v>
      </c>
      <c r="AM3" s="200" t="s">
        <v>95</v>
      </c>
      <c r="AN3" s="200" t="s">
        <v>182</v>
      </c>
      <c r="AO3" s="200" t="s">
        <v>96</v>
      </c>
      <c r="AP3" s="200" t="s">
        <v>237</v>
      </c>
      <c r="AQ3" s="200" t="s">
        <v>264</v>
      </c>
      <c r="AR3" s="200" t="s">
        <v>265</v>
      </c>
      <c r="AS3" s="200" t="s">
        <v>111</v>
      </c>
      <c r="AT3" s="200" t="s">
        <v>231</v>
      </c>
      <c r="AU3" s="211" t="s">
        <v>230</v>
      </c>
    </row>
    <row r="4" spans="1:47" s="120" customFormat="1" ht="12.75" customHeight="1" x14ac:dyDescent="0.25">
      <c r="A4" s="159">
        <f>Design!$D$12</f>
        <v>85</v>
      </c>
      <c r="B4" s="160">
        <f>$B5+$AU$88</f>
        <v>11.999999999999995</v>
      </c>
      <c r="C4" s="161">
        <f>Design!$D$6</f>
        <v>3</v>
      </c>
      <c r="D4" s="161">
        <f ca="1">FORECAST(C4, OFFSET(Design!$C$14:$C$16,MATCH(C4,Design!$B$14:$B$16,1)-1,0,2), OFFSET(Design!$B$14:$B$16,MATCH(C4,Design!$B$14:$B$16,1)-1,0,2))+(M4-25)*Design!$B$17/1000</f>
        <v>0.39033333180338131</v>
      </c>
      <c r="E4" s="172">
        <f ca="1">IF(100*(Design!$C$27+D4+C4*IF(ISBLANK(Design!$B$41),Constants!$C$6,Design!$B$41)/1000*(1+Constants!$C$32/100*(N4-25)))/($B4+D4-C4*O4/1000)&gt;Design!$C$34,Design!$C$35,100*(Design!$C$27+D4+C4*IF(ISBLANK(Design!$B$41),Constants!$C$6,Design!$B$41)/1000*(1+Constants!$C$32/100*(N4-25)))/($B4+D4-C4*O4/1000))</f>
        <v>48.062582089834358</v>
      </c>
      <c r="F4" s="162">
        <f ca="1">IF(($B4-C4*IF(ISBLANK(Design!$B$41),Constants!$C$6,Design!$B$41)/1000*(1+Constants!$C$32/100*(N4-25))-Design!$C$27)/(IF(ISBLANK(Design!$B$40),Design!$B$38,Design!$B$40)/1000000)*E4/100/(IF(ISBLANK(Design!$B$31),Design!$B$30,Design!$B$31)*1000000)&lt;0, 0, ($B4-C4*IF(ISBLANK(Design!$B$41),Constants!$C$6,Design!$B$41)/1000*(1+Constants!$C$32/100*(N4-25))-Design!$C$27)/(IF(ISBLANK(Design!$B$40),Design!$B$38,Design!$B$40)/1000000)*E4/100/(IF(ISBLANK(Design!$B$31),Design!$B$30,Design!$B$31)*1000000))</f>
        <v>0.47096531840612466</v>
      </c>
      <c r="G4" s="163">
        <f>B4*Constants!$C$21/1000+IF(ISBLANK(Design!$B$31),Design!$B$30,Design!$B$31)*1000000*Constants!$D$25/1000000000*(B4-Constants!$C$24)</f>
        <v>0.10349999999999994</v>
      </c>
      <c r="H4" s="163">
        <f>B4*C4*(B4/(Constants!$C$26*1000000000)*IF(ISBLANK(Design!$B$31),Design!$B$30,Design!$B$31)*1000000/2+B4/(Constants!$C$27*1000000000)*IF(ISBLANK(Design!$B$31),Design!$B$30,Design!$B$31)*1000000/2)</f>
        <v>1.2599999999999991</v>
      </c>
      <c r="I4" s="163">
        <f t="shared" ref="I4:I44" ca="1" si="0">IF($D$115,1,E4/100*(C4^2+F4^2/12)*O4/1000)</f>
        <v>1.0686569893070876</v>
      </c>
      <c r="J4" s="163">
        <f>Constants!$D$25/1000000000*Constants!$C$24*IF(ISBLANK(Design!$B$31),Design!$B$30,Design!$B$31)*1000000</f>
        <v>5.2499999999999998E-2</v>
      </c>
      <c r="K4" s="163">
        <f ca="1">SUM(G4:J4)</f>
        <v>2.4846569893070871</v>
      </c>
      <c r="L4" s="163">
        <f ca="1">C4*D4*(1-E4/100)</f>
        <v>0.60818716134418693</v>
      </c>
      <c r="M4" s="164">
        <f ca="1">$A4+L4*Design!$B$18</f>
        <v>119.66666819661866</v>
      </c>
      <c r="N4" s="164">
        <f ca="1">K4*Design!$C$11+A4</f>
        <v>176.93230860436222</v>
      </c>
      <c r="O4" s="164">
        <f ca="1">Constants!$D$22+Constants!$D$22*Constants!$C$23/100*(N4-25)</f>
        <v>246.54584688348979</v>
      </c>
      <c r="P4" s="163">
        <f ca="1">IF(100*(Design!$C$27+D4+C4*IF(ISBLANK(Design!$B$41),Constants!$C$6,Design!$B$41)/1000*(1+Constants!$C$32/100*(N4-25)))/($B4+D4-C4*O4/1000)&gt;Design!$C$34,  (1-Constants!$C$20/1000000000*IF(ISBLANK(Design!$B$31),Design!$B$30/4,Design!$B$31/4)*1000000) * ($B4+D4-C4*O4/1000) - (D4+C4*(1+($A4-25)*Constants!$C$32/100)*IF(ISBLANK(Design!$B$41),Constants!$C$6/1000,Design!$B$41/1000)),   (1-Constants!$C$20/1000000000*IF(ISBLANK(Design!$B$31),Design!$B$30,Design!$B$31)*1000000) * ($B4+D4-C4*O4/1000) - (D4+C4*(1+($A4-25)*Constants!$C$32/100)*IF(ISBLANK(Design!$B$41),Constants!$C$6/1000,Design!$B$41/1000)) )</f>
        <v>8.7692156490145194</v>
      </c>
      <c r="Q4" s="170">
        <f ca="1">IF(P4&gt;Design!$C$27,Design!$C$27,P4)</f>
        <v>4.9936842105263155</v>
      </c>
      <c r="R4" s="175">
        <f>2*Design!$D$6/3</f>
        <v>2</v>
      </c>
      <c r="S4" s="176">
        <f ca="1">FORECAST(R4, OFFSET(Design!$C$14:$C$16,MATCH(R4,Design!$B$14:$B$16,1)-1,0,2), OFFSET(Design!$B$14:$B$16,MATCH(R4,Design!$B$14:$B$16,1)-1,0,2))+(AB4-25)*Design!$B$17/1000</f>
        <v>0.37681639765046288</v>
      </c>
      <c r="T4" s="177">
        <f ca="1">IF(100*(Design!$C$27+S4+R4*IF(ISBLANK(Design!$B$41),Constants!$C$6,Design!$B$41)/1000*(1+Constants!$C$32/100*(AC4-25)))/($B4+S4-R4*AD4/1000)&gt;Design!$C$34,Design!$C$35,100*(Design!$C$27+S4+R4*IF(ISBLANK(Design!$B$41),Constants!$C$6,Design!$B$41)/1000*(1+Constants!$C$32/100*(AC4-25)))/($B4+S4-R4*AD4/1000))</f>
        <v>46.030763480914366</v>
      </c>
      <c r="U4" s="178">
        <f ca="1">IF(($B4-R4*IF(ISBLANK(Design!$B$41),Constants!$C$6,Design!$B$41)/1000*(1+Constants!$C$32/100*(AC4-25))-Design!$C$27)/(Design!$B$40/1000000)*T4/100/(IF(ISBLANK(IF(ISBLANK(Design!$B$40),Design!$B$38,Design!$B$40)),Design!$B$30,Design!$B$31)*1000000)&lt;0,0,($B4-R4*IF(ISBLANK(Design!$B$41),Constants!$C$6,Design!$B$41)/1000*(1+Constants!$C$32/100*(AC4-25))-Design!$C$27)/(IF(ISBLANK(Design!$B$40),Design!$B$38,Design!$B$40)/1000000)*T4/100/(IF(ISBLANK(Design!$B$31),Design!$B$30,Design!$B$31)*1000000))</f>
        <v>0.45677896006739566</v>
      </c>
      <c r="V4" s="179">
        <f>$B4*Constants!$C$21/1000+IF(ISBLANK(Design!$B$31),Design!$B$30,Design!$B$31)*1000000*Constants!$D$25/1000000000*($B4-Constants!$C$24)</f>
        <v>0.10349999999999994</v>
      </c>
      <c r="W4" s="179">
        <f>$B4*R4*($B4/(Constants!$C$26*1000000000)*IF(ISBLANK(Design!$B$31),Design!$B$30,Design!$B$31)*1000000/2+$B4/(Constants!$C$27*1000000000)*IF(ISBLANK(Design!$B$31),Design!$B$30,Design!$B$31)*1000000/2)</f>
        <v>0.83999999999999941</v>
      </c>
      <c r="X4" s="179">
        <f t="shared" ref="X4:X44" ca="1" si="1">IF($D$115,1,T4/100*(R4^2+U4^2/12)*AD4/1000)</f>
        <v>0.39611832209585035</v>
      </c>
      <c r="Y4" s="179">
        <f>Constants!$D$25/1000000000*Constants!$C$24*IF(ISBLANK(Design!$B$31),Design!$B$30,Design!$B$31)*1000000</f>
        <v>5.2499999999999998E-2</v>
      </c>
      <c r="Z4" s="179">
        <f ca="1">SUM(V4:Y4)</f>
        <v>1.3921183220958497</v>
      </c>
      <c r="AA4" s="179">
        <f ca="1">R4*S4*(1-T4/100)</f>
        <v>0.40672986578135306</v>
      </c>
      <c r="AB4" s="180">
        <f ca="1">$A4+AA4*Design!$B$18</f>
        <v>108.18360234953713</v>
      </c>
      <c r="AC4" s="180">
        <f ca="1">Z4*Design!$C$11+$A4</f>
        <v>136.50837791754645</v>
      </c>
      <c r="AD4" s="180">
        <f ca="1">Constants!$D$22+Constants!$D$22*Constants!$C$23/100*(AC4-25)</f>
        <v>214.20670233403717</v>
      </c>
      <c r="AE4" s="179">
        <f ca="1">IF(100*(Design!$C$27+S4+R4*IF(ISBLANK(Design!$B$41),Constants!$C$6,Design!$B$41)/1000*(1+Constants!$C$32/100*(AC4-25)))/($B4+S4-R4*AD4/1000)&gt;Design!$C$34,  (1-Constants!$C$20/1000000000*IF(ISBLANK(Design!$B$31),Design!$B$30/4,Design!$B$31/4)*1000000) * ($B4+S4-R4*AD4/1000) - (S4+R4*(1+($A4-25)*Constants!$C$32/100)*IF(ISBLANK(Design!$B$41),Constants!$C$6/1000,Design!$B$41/1000)),   (1-Constants!$C$20/1000000000*IF(ISBLANK(Design!$B$31),Design!$B$30,Design!$B$31)*1000000) * ($B4+S4-R4*AD4/1000) - (S4+R4*(1+($A4-25)*Constants!$C$32/100)*IF(ISBLANK(Design!$B$41),Constants!$C$6/1000,Design!$B$41/1000)) )</f>
        <v>9.0766581982319359</v>
      </c>
      <c r="AF4" s="178">
        <f ca="1">IF(AE4&gt;Design!$C$27,Design!$C$27,AE4)</f>
        <v>4.9936842105263155</v>
      </c>
      <c r="AG4" s="189">
        <f>Design!$D$6/3</f>
        <v>1</v>
      </c>
      <c r="AH4" s="189">
        <f ca="1">FORECAST(AG4, OFFSET(Design!$C$14:$C$16,MATCH(AG4,Design!$B$14:$B$16,1)-1,0,2), OFFSET(Design!$B$14:$B$16,MATCH(AG4,Design!$B$14:$B$16,1)-1,0,2))+(AQ4-25)*Design!$B$17/1000</f>
        <v>0.31230239839879526</v>
      </c>
      <c r="AI4" s="190">
        <f ca="1">IF(100*(Design!$C$27+AH4+AG4*IF(ISBLANK(Design!$B$41),Constants!$C$6,Design!$B$41)/1000*(1+Constants!$C$32/100*(AR4-25)))/($B4+AH4-AG4*AS4/1000)&gt;Design!$C$34,Design!$C$35,100*(Design!$C$27+AH4+AG4*IF(ISBLANK(Design!$B$41),Constants!$C$6,Design!$B$41)/1000*(1+Constants!$C$32/100*(AR4-25)))/($B4+AH4-AG4*AS4/1000))</f>
        <v>44.274524373009186</v>
      </c>
      <c r="AJ4" s="191">
        <f ca="1">IF(($B4-AG4*IF(ISBLANK(Design!$B$41),Constants!$C$6,Design!$B$41)/1000*(1+Constants!$C$32/100*(AR4-25))-Design!$C$27)/(IF(ISBLANK(Design!$B$40),Design!$B$38,Design!$B$40)/1000000)*AI4/100/(IF(ISBLANK(Design!$B$31),Design!$B$30,Design!$B$31)*1000000)&lt;0,0,($B4-AG4*IF(ISBLANK(Design!$B$41),Constants!$C$6,Design!$B$41)/1000*(1+Constants!$C$32/100*(AR4-25))-Design!$C$27)/(IF(ISBLANK(Design!$B$40),Design!$B$38,Design!$B$40)/1000000)*AI4/100/(IF(ISBLANK(Design!$B$31),Design!$B$30,Design!$B$31)*1000000))</f>
        <v>0.44379100298104013</v>
      </c>
      <c r="AK4" s="192">
        <f>$B4*Constants!$C$21/1000+IF(ISBLANK(Design!$B$31),Design!$B$30,Design!$B$31)*1000000*Constants!$D$25/1000000000*($B4-Constants!$C$24)</f>
        <v>0.10349999999999994</v>
      </c>
      <c r="AL4" s="192">
        <f>$B4*AG4*($B4/(Constants!$C$26*1000000000)*IF(ISBLANK(Design!$B$31),Design!$B$30,Design!$B$31)*1000000/2+$B4/(Constants!$C$27*1000000000)*IF(ISBLANK(Design!$B$31),Design!$B$30,Design!$B$31)*1000000/2)</f>
        <v>0.41999999999999971</v>
      </c>
      <c r="AM4" s="192">
        <f t="shared" ref="AM4:AM44" ca="1" si="2">IF($D$115,1,AI4/100*(AG4^2+AJ4^2/12)*AS4/1000)</f>
        <v>8.6679162542623242E-2</v>
      </c>
      <c r="AN4" s="192">
        <f>Constants!$D$25/1000000000*Constants!$C$24*IF(ISBLANK(Design!$B$31),Design!$B$30,Design!$B$31)*1000000</f>
        <v>5.2499999999999998E-2</v>
      </c>
      <c r="AO4" s="192">
        <f ca="1">SUM(AK4:AN4)</f>
        <v>0.66267916254262282</v>
      </c>
      <c r="AP4" s="192">
        <f ca="1">AG4*AH4*(1-AI4/100)</f>
        <v>0.1740319969022284</v>
      </c>
      <c r="AQ4" s="193">
        <f ca="1">$A4+AP4*Design!$B$18</f>
        <v>94.919823823427024</v>
      </c>
      <c r="AR4" s="193">
        <f ca="1">AO4*Design!$C$11+$A4</f>
        <v>109.51912901407704</v>
      </c>
      <c r="AS4" s="193">
        <f ca="1">Constants!$D$22+Constants!$D$22*Constants!$C$23/100*(AR4-25)</f>
        <v>192.61530321126162</v>
      </c>
      <c r="AT4" s="192">
        <f ca="1">IF(100*(Design!$C$27+AH4+AG4*IF(ISBLANK(Design!$B$41),Constants!$C$6,Design!$B$41)/1000*(1+Constants!$C$32/100*(AR4-25)))/($B4+AH4-AG4*AS4/1000)&gt;Design!$C$34,  (1-Constants!$C$20/1000000000*IF(ISBLANK(Design!$B$31),Design!$B$30/4,Design!$B$31/4)*1000000) * ($B4+AH4-AG4*AS4/1000) - (AH4+AG4*(1+($A4-25)*Constants!$C$32/100)*IF(ISBLANK(Design!$B$41),Constants!$C$6/1000,Design!$B$41/1000)),   (1-Constants!$C$20/1000000000*IF(ISBLANK(Design!$B$31),Design!$B$30,Design!$B$31)*1000000) * ($B4+AH4-AG4*AS4/1000) - (AH4+AG4*(1+($A4-25)*Constants!$C$32/100)*IF(ISBLANK(Design!$B$41),Constants!$C$6/1000,Design!$B$41/1000)) )</f>
        <v>9.333896121298821</v>
      </c>
      <c r="AU4" s="191">
        <f ca="1">IF(AT4&gt;Design!$C$27,Design!$C$27,AT4)</f>
        <v>4.9936842105263155</v>
      </c>
    </row>
    <row r="5" spans="1:47" s="120" customFormat="1" ht="12.75" customHeight="1" x14ac:dyDescent="0.25">
      <c r="A5" s="112">
        <f>Design!$D$12</f>
        <v>85</v>
      </c>
      <c r="B5" s="113">
        <f t="shared" ref="B5:B43" si="3">$B6+$AU$88</f>
        <v>11.784999999999995</v>
      </c>
      <c r="C5" s="114">
        <f>Design!$D$6</f>
        <v>3</v>
      </c>
      <c r="D5" s="114">
        <f ca="1">FORECAST(C5, OFFSET(Design!$C$14:$C$16,MATCH(C5,Design!$B$14:$B$16,1)-1,0,2), OFFSET(Design!$B$14:$B$16,MATCH(C5,Design!$B$14:$B$16,1)-1,0,2))+(M5-25)*Design!$B$17/1000</f>
        <v>0.39087868788400842</v>
      </c>
      <c r="E5" s="173">
        <f ca="1">IF(100*(Design!$C$27+D5+C5*IF(ISBLANK(Design!$B$41),Constants!$C$6,Design!$B$41)/1000*(1+Constants!$C$32/100*(N5-25)))/($B5+D5-C5*O5/1000)&gt;Design!$C$34,Design!$C$35,100*(Design!$C$27+D5+C5*IF(ISBLANK(Design!$B$41),Constants!$C$6,Design!$B$41)/1000*(1+Constants!$C$32/100*(N5-25)))/($B5+D5-C5*O5/1000))</f>
        <v>48.95095508639352</v>
      </c>
      <c r="F5" s="115">
        <f ca="1">IF(($B5-C5*IF(ISBLANK(Design!$B$41),Constants!$C$6,Design!$B$41)/1000*(1+Constants!$C$32/100*(N5-25))-Design!$C$27)/(IF(ISBLANK(Design!$B$40),Design!$B$38,Design!$B$40)/1000000)*E5/100/(IF(ISBLANK(Design!$B$31),Design!$B$30,Design!$B$31)*1000000)&lt;0, 0, ($B5-C5*IF(ISBLANK(Design!$B$41),Constants!$C$6,Design!$B$41)/1000*(1+Constants!$C$32/100*(N5-25))-Design!$C$27)/(IF(ISBLANK(Design!$B$40),Design!$B$38,Design!$B$40)/1000000)*E5/100/(IF(ISBLANK(Design!$B$31),Design!$B$30,Design!$B$31)*1000000))</f>
        <v>0.46452810162555952</v>
      </c>
      <c r="G5" s="165">
        <f>B5*Constants!$C$21/1000+IF(ISBLANK(Design!$B$31),Design!$B$30,Design!$B$31)*1000000*Constants!$D$25/1000000000*(B5-Constants!$C$24)</f>
        <v>0.10070499999999993</v>
      </c>
      <c r="H5" s="165">
        <f>B5*C5*(B5/(Constants!$C$26*1000000000)*IF(ISBLANK(Design!$B$31),Design!$B$30,Design!$B$31)*1000000/2+B5/(Constants!$C$27*1000000000)*IF(ISBLANK(Design!$B$31),Design!$B$30,Design!$B$31)*1000000/2)</f>
        <v>1.2152544687499989</v>
      </c>
      <c r="I5" s="165">
        <f t="shared" ca="1" si="0"/>
        <v>1.0841633575182232</v>
      </c>
      <c r="J5" s="165">
        <f>Constants!$D$25/1000000000*Constants!$C$24*IF(ISBLANK(Design!$B$31),Design!$B$30,Design!$B$31)*1000000</f>
        <v>5.2499999999999998E-2</v>
      </c>
      <c r="K5" s="165">
        <f t="shared" ref="K5:K44" ca="1" si="4">SUM(G5:J5)</f>
        <v>2.4526228262682221</v>
      </c>
      <c r="L5" s="165">
        <f t="shared" ref="L5:L44" ca="1" si="5">C5*D5*(1-E5/100)</f>
        <v>0.59861951080686937</v>
      </c>
      <c r="M5" s="166">
        <f ca="1">A5+L5*Design!$B$18</f>
        <v>119.12131211599156</v>
      </c>
      <c r="N5" s="166">
        <f ca="1">K5*Design!$C$11+A5</f>
        <v>175.74704457192422</v>
      </c>
      <c r="O5" s="166">
        <f ca="1">Constants!$D$22+Constants!$D$22*Constants!$C$23/100*(N5-25)</f>
        <v>245.5976356575394</v>
      </c>
      <c r="P5" s="165">
        <f ca="1">IF(100*(Design!$C$27+D5+C5*IF(ISBLANK(Design!$B$41),Constants!$C$6,Design!$B$41)/1000*(1+Constants!$C$32/100*(N5-25)))/($B5+D5-C5*O5/1000)&gt;Design!$C$34,  (1-Constants!$C$20/1000000000*IF(ISBLANK(Design!$B$31),Design!$B$30/4,Design!$B$31/4)*1000000) * ($B5+D5-C5*O5/1000) - (D5+C5*(1+($A5-25)*Constants!$C$32/100)*IF(ISBLANK(Design!$B$41),Constants!$C$6/1000,Design!$B$41/1000)),   (1-Constants!$C$20/1000000000*IF(ISBLANK(Design!$B$31),Design!$B$30,Design!$B$31)*1000000) * ($B5+D5-C5*O5/1000) - (D5+C5*(1+($A5-25)*Constants!$C$32/100)*IF(ISBLANK(Design!$B$41),Constants!$C$6/1000,Design!$B$41/1000)) )</f>
        <v>8.5992764797355541</v>
      </c>
      <c r="Q5" s="171">
        <f ca="1">IF(P5&gt;Design!$C$27,Design!$C$27,P5)</f>
        <v>4.9936842105263155</v>
      </c>
      <c r="R5" s="181">
        <f>2*Design!$D$6/3</f>
        <v>2</v>
      </c>
      <c r="S5" s="116">
        <f ca="1">FORECAST(R5, OFFSET(Design!$C$14:$C$16,MATCH(R5,Design!$B$14:$B$16,1)-1,0,2), OFFSET(Design!$B$14:$B$16,MATCH(R5,Design!$B$14:$B$16,1)-1,0,2))+(AB5-25)*Design!$B$17/1000</f>
        <v>0.37715484555142559</v>
      </c>
      <c r="T5" s="182">
        <f ca="1">IF(100*(Design!$C$27+S5+R5*IF(ISBLANK(Design!$B$41),Constants!$C$6,Design!$B$41)/1000*(1+Constants!$C$32/100*(AC5-25)))/($B5+S5-R5*AD5/1000)&gt;Design!$C$34,Design!$C$35,100*(Design!$C$27+S5+R5*IF(ISBLANK(Design!$B$41),Constants!$C$6,Design!$B$41)/1000*(1+Constants!$C$32/100*(AC5-25)))/($B5+S5-R5*AD5/1000))</f>
        <v>46.866361650168095</v>
      </c>
      <c r="U5" s="117">
        <f ca="1">IF(($B5-R5*IF(ISBLANK(Design!$B$41),Constants!$C$6,Design!$B$41)/1000*(1+Constants!$C$32/100*(AC5-25))-Design!$C$27)/(Design!$B$40/1000000)*T5/100/(IF(ISBLANK(IF(ISBLANK(Design!$B$40),Design!$B$38,Design!$B$40)),Design!$B$30,Design!$B$31)*1000000)&lt;0,0,($B5-R5*IF(ISBLANK(Design!$B$41),Constants!$C$6,Design!$B$41)/1000*(1+Constants!$C$32/100*(AC5-25))-Design!$C$27)/(IF(ISBLANK(Design!$B$40),Design!$B$38,Design!$B$40)/1000000)*T5/100/(IF(ISBLANK(Design!$B$31),Design!$B$30,Design!$B$31)*1000000))</f>
        <v>0.45055470013155247</v>
      </c>
      <c r="V5" s="183">
        <f>$B5*Constants!$C$21/1000+IF(ISBLANK(Design!$B$31),Design!$B$30,Design!$B$31)*1000000*Constants!$D$25/1000000000*($B5-Constants!$C$24)</f>
        <v>0.10070499999999993</v>
      </c>
      <c r="W5" s="183">
        <f>$B5*R5*($B5/(Constants!$C$26*1000000000)*IF(ISBLANK(Design!$B$31),Design!$B$30,Design!$B$31)*1000000/2+$B5/(Constants!$C$27*1000000000)*IF(ISBLANK(Design!$B$31),Design!$B$30,Design!$B$31)*1000000/2)</f>
        <v>0.81016964583333251</v>
      </c>
      <c r="X5" s="183">
        <f t="shared" ca="1" si="1"/>
        <v>0.40175806841945727</v>
      </c>
      <c r="Y5" s="183">
        <f>Constants!$D$25/1000000000*Constants!$C$24*IF(ISBLANK(Design!$B$31),Design!$B$30,Design!$B$31)*1000000</f>
        <v>5.2499999999999998E-2</v>
      </c>
      <c r="Z5" s="183">
        <f t="shared" ref="Z5" ca="1" si="6">SUM(V5:Y5)</f>
        <v>1.3651327142527896</v>
      </c>
      <c r="AA5" s="183">
        <f t="shared" ref="AA5:AA44" ca="1" si="7">R5*S5*(1-T5/100)</f>
        <v>0.40079218330832317</v>
      </c>
      <c r="AB5" s="184">
        <f ca="1">$A5+AA5*Design!$B$18</f>
        <v>107.84515444857442</v>
      </c>
      <c r="AC5" s="184">
        <f ca="1">Z5*Design!$C$11+$A5</f>
        <v>135.50991042735322</v>
      </c>
      <c r="AD5" s="184">
        <f ca="1">Constants!$D$22+Constants!$D$22*Constants!$C$23/100*(AC5-25)</f>
        <v>213.40792834188258</v>
      </c>
      <c r="AE5" s="183">
        <f ca="1">IF(100*(Design!$C$27+S5+R5*IF(ISBLANK(Design!$B$41),Constants!$C$6,Design!$B$41)/1000*(1+Constants!$C$32/100*(AC5-25)))/($B5+S5-R5*AD5/1000)&gt;Design!$C$34,  (1-Constants!$C$20/1000000000*IF(ISBLANK(Design!$B$31),Design!$B$30/4,Design!$B$31/4)*1000000) * ($B5+S5-R5*AD5/1000) - (S5+R5*(1+($A5-25)*Constants!$C$32/100)*IF(ISBLANK(Design!$B$41),Constants!$C$6/1000,Design!$B$41/1000)),   (1-Constants!$C$20/1000000000*IF(ISBLANK(Design!$B$31),Design!$B$30,Design!$B$31)*1000000) * ($B5+S5-R5*AD5/1000) - (S5+R5*(1+($A5-25)*Constants!$C$32/100)*IF(ISBLANK(Design!$B$41),Constants!$C$6/1000,Design!$B$41/1000)) )</f>
        <v>8.9057620150371335</v>
      </c>
      <c r="AF5" s="117">
        <f ca="1">IF(AE5&gt;Design!$C$27,Design!$C$27,AE5)</f>
        <v>4.9936842105263155</v>
      </c>
      <c r="AG5" s="118">
        <f>Design!$D$6/3</f>
        <v>1</v>
      </c>
      <c r="AH5" s="118">
        <f ca="1">FORECAST(AG5, OFFSET(Design!$C$14:$C$16,MATCH(AG5,Design!$B$14:$B$16,1)-1,0,2), OFFSET(Design!$B$14:$B$16,MATCH(AG5,Design!$B$14:$B$16,1)-1,0,2))+(AQ5-25)*Design!$B$17/1000</f>
        <v>0.31244005293552252</v>
      </c>
      <c r="AI5" s="194">
        <f ca="1">IF(100*(Design!$C$27+AH5+AG5*IF(ISBLANK(Design!$B$41),Constants!$C$6,Design!$B$41)/1000*(1+Constants!$C$32/100*(AR5-25)))/($B5+AH5-AG5*AS5/1000)&gt;Design!$C$34,Design!$C$35,100*(Design!$C$27+AH5+AG5*IF(ISBLANK(Design!$B$41),Constants!$C$6,Design!$B$41)/1000*(1+Constants!$C$32/100*(AR5-25)))/($B5+AH5-AG5*AS5/1000))</f>
        <v>45.072021523042039</v>
      </c>
      <c r="AJ5" s="119">
        <f ca="1">IF(($B5-AG5*IF(ISBLANK(Design!$B$41),Constants!$C$6,Design!$B$41)/1000*(1+Constants!$C$32/100*(AR5-25))-Design!$C$27)/(IF(ISBLANK(Design!$B$40),Design!$B$38,Design!$B$40)/1000000)*AI5/100/(IF(ISBLANK(Design!$B$31),Design!$B$30,Design!$B$31)*1000000)&lt;0,0,($B5-AG5*IF(ISBLANK(Design!$B$41),Constants!$C$6,Design!$B$41)/1000*(1+Constants!$C$32/100*(AR5-25))-Design!$C$27)/(IF(ISBLANK(Design!$B$40),Design!$B$38,Design!$B$40)/1000000)*AI5/100/(IF(ISBLANK(Design!$B$31),Design!$B$30,Design!$B$31)*1000000))</f>
        <v>0.437808411493257</v>
      </c>
      <c r="AK5" s="195">
        <f>$B5*Constants!$C$21/1000+IF(ISBLANK(Design!$B$31),Design!$B$30,Design!$B$31)*1000000*Constants!$D$25/1000000000*($B5-Constants!$C$24)</f>
        <v>0.10070499999999993</v>
      </c>
      <c r="AL5" s="195">
        <f>$B5*AG5*($B5/(Constants!$C$26*1000000000)*IF(ISBLANK(Design!$B$31),Design!$B$30,Design!$B$31)*1000000/2+$B5/(Constants!$C$27*1000000000)*IF(ISBLANK(Design!$B$31),Design!$B$30,Design!$B$31)*1000000/2)</f>
        <v>0.40508482291666625</v>
      </c>
      <c r="AM5" s="195">
        <f t="shared" ca="1" si="2"/>
        <v>8.797989769836477E-2</v>
      </c>
      <c r="AN5" s="195">
        <f>Constants!$D$25/1000000000*Constants!$C$24*IF(ISBLANK(Design!$B$31),Design!$B$30,Design!$B$31)*1000000</f>
        <v>5.2499999999999998E-2</v>
      </c>
      <c r="AO5" s="195">
        <f t="shared" ref="AO5" ca="1" si="8">SUM(AK5:AN5)</f>
        <v>0.64626972061503096</v>
      </c>
      <c r="AP5" s="195">
        <f t="shared" ref="AP5:AP44" ca="1" si="9">AG5*AH5*(1-AI5/100)</f>
        <v>0.17161700502981986</v>
      </c>
      <c r="AQ5" s="196">
        <f ca="1">$A5+AP5*Design!$B$18</f>
        <v>94.782169286699727</v>
      </c>
      <c r="AR5" s="196">
        <f ca="1">AO5*Design!$C$11+$A5</f>
        <v>108.91197966275615</v>
      </c>
      <c r="AS5" s="196">
        <f ca="1">Constants!$D$22+Constants!$D$22*Constants!$C$23/100*(AR5-25)</f>
        <v>192.12958373020493</v>
      </c>
      <c r="AT5" s="195">
        <f ca="1">IF(100*(Design!$C$27+AH5+AG5*IF(ISBLANK(Design!$B$41),Constants!$C$6,Design!$B$41)/1000*(1+Constants!$C$32/100*(AR5-25)))/($B5+AH5-AG5*AS5/1000)&gt;Design!$C$34,  (1-Constants!$C$20/1000000000*IF(ISBLANK(Design!$B$31),Design!$B$30/4,Design!$B$31/4)*1000000) * ($B5+AH5-AG5*AS5/1000) - (AH5+AG5*(1+($A5-25)*Constants!$C$32/100)*IF(ISBLANK(Design!$B$41),Constants!$C$6/1000,Design!$B$41/1000)),   (1-Constants!$C$20/1000000000*IF(ISBLANK(Design!$B$31),Design!$B$30,Design!$B$31)*1000000) * ($B5+AH5-AG5*AS5/1000) - (AH5+AG5*(1+($A5-25)*Constants!$C$32/100)*IF(ISBLANK(Design!$B$41),Constants!$C$6/1000,Design!$B$41/1000)) )</f>
        <v>9.1621499776633311</v>
      </c>
      <c r="AU5" s="119">
        <f ca="1">IF(AT5&gt;Design!$C$27,Design!$C$27,AT5)</f>
        <v>4.9936842105263155</v>
      </c>
    </row>
    <row r="6" spans="1:47" s="120" customFormat="1" ht="12.75" customHeight="1" x14ac:dyDescent="0.25">
      <c r="A6" s="112">
        <f>Design!$D$12</f>
        <v>85</v>
      </c>
      <c r="B6" s="113">
        <f t="shared" si="3"/>
        <v>11.569999999999995</v>
      </c>
      <c r="C6" s="114">
        <f>Design!$D$6</f>
        <v>3</v>
      </c>
      <c r="D6" s="114">
        <f ca="1">FORECAST(C6, OFFSET(Design!$C$14:$C$16,MATCH(C6,Design!$B$14:$B$16,1)-1,0,2), OFFSET(Design!$B$14:$B$16,MATCH(C6,Design!$B$14:$B$16,1)-1,0,2))+(M6-25)*Design!$B$17/1000</f>
        <v>0.3914468505408637</v>
      </c>
      <c r="E6" s="173">
        <f ca="1">IF(100*(Design!$C$27+D6+C6*IF(ISBLANK(Design!$B$41),Constants!$C$6,Design!$B$41)/1000*(1+Constants!$C$32/100*(N6-25)))/($B6+D6-C6*O6/1000)&gt;Design!$C$34,Design!$C$35,100*(Design!$C$27+D6+C6*IF(ISBLANK(Design!$B$41),Constants!$C$6,Design!$B$41)/1000*(1+Constants!$C$32/100*(N6-25)))/($B6+D6-C6*O6/1000))</f>
        <v>49.873846723270702</v>
      </c>
      <c r="F6" s="115">
        <f ca="1">IF(($B6-C6*IF(ISBLANK(Design!$B$41),Constants!$C$6,Design!$B$41)/1000*(1+Constants!$C$32/100*(N6-25))-Design!$C$27)/(IF(ISBLANK(Design!$B$40),Design!$B$38,Design!$B$40)/1000000)*E6/100/(IF(ISBLANK(Design!$B$31),Design!$B$30,Design!$B$31)*1000000)&lt;0, 0, ($B6-C6*IF(ISBLANK(Design!$B$41),Constants!$C$6,Design!$B$41)/1000*(1+Constants!$C$32/100*(N6-25))-Design!$C$27)/(IF(ISBLANK(Design!$B$40),Design!$B$38,Design!$B$40)/1000000)*E6/100/(IF(ISBLANK(Design!$B$31),Design!$B$30,Design!$B$31)*1000000))</f>
        <v>0.45785585556379738</v>
      </c>
      <c r="G6" s="165">
        <f>B6*Constants!$C$21/1000+IF(ISBLANK(Design!$B$31),Design!$B$30,Design!$B$31)*1000000*Constants!$D$25/1000000000*(B6-Constants!$C$24)</f>
        <v>9.7909999999999942E-2</v>
      </c>
      <c r="H6" s="165">
        <f>B6*C6*(B6/(Constants!$C$26*1000000000)*IF(ISBLANK(Design!$B$31),Design!$B$30,Design!$B$31)*1000000/2+B6/(Constants!$C$27*1000000000)*IF(ISBLANK(Design!$B$31),Design!$B$30,Design!$B$31)*1000000/2)</f>
        <v>1.1713178749999991</v>
      </c>
      <c r="I6" s="165">
        <f t="shared" ca="1" si="0"/>
        <v>1.1004936147976014</v>
      </c>
      <c r="J6" s="165">
        <f>Constants!$D$25/1000000000*Constants!$C$24*IF(ISBLANK(Design!$B$31),Design!$B$30,Design!$B$31)*1000000</f>
        <v>5.2499999999999998E-2</v>
      </c>
      <c r="K6" s="165">
        <f ca="1">SUM(G6:J6)</f>
        <v>2.4222214897976007</v>
      </c>
      <c r="L6" s="165">
        <f t="shared" ca="1" si="5"/>
        <v>0.58865174489712824</v>
      </c>
      <c r="M6" s="166">
        <f ca="1">A6+L6*Design!$B$18</f>
        <v>118.55314945913631</v>
      </c>
      <c r="N6" s="166">
        <f ca="1">K6*Design!$C$11+A6</f>
        <v>174.62219512251124</v>
      </c>
      <c r="O6" s="166">
        <f ca="1">Constants!$D$22+Constants!$D$22*Constants!$C$23/100*(N6-25)</f>
        <v>244.69775609800899</v>
      </c>
      <c r="P6" s="165">
        <f ca="1">IF(100*(Design!$C$27+D6+C6*IF(ISBLANK(Design!$B$41),Constants!$C$6,Design!$B$41)/1000*(1+Constants!$C$32/100*(N6-25)))/($B6+D6-C6*O6/1000)&gt;Design!$C$34,  (1-Constants!$C$20/1000000000*IF(ISBLANK(Design!$B$31),Design!$B$30/4,Design!$B$31/4)*1000000) * ($B6+D6-C6*O6/1000) - (D6+C6*(1+($A6-25)*Constants!$C$32/100)*IF(ISBLANK(Design!$B$41),Constants!$C$6/1000,Design!$B$41/1000)),   (1-Constants!$C$20/1000000000*IF(ISBLANK(Design!$B$31),Design!$B$30,Design!$B$31)*1000000) * ($B6+D6-C6*O6/1000) - (D6+C6*(1+($A6-25)*Constants!$C$32/100)*IF(ISBLANK(Design!$B$41),Constants!$C$6/1000,Design!$B$41/1000)) )</f>
        <v>8.4292166920477261</v>
      </c>
      <c r="Q6" s="171">
        <f ca="1">IF(P6&gt;Design!$C$27,Design!$C$27,P6)</f>
        <v>4.9936842105263155</v>
      </c>
      <c r="R6" s="181">
        <f>2*Design!$D$6/3</f>
        <v>2</v>
      </c>
      <c r="S6" s="116">
        <f ca="1">FORECAST(R6, OFFSET(Design!$C$14:$C$16,MATCH(R6,Design!$B$14:$B$16,1)-1,0,2), OFFSET(Design!$B$14:$B$16,MATCH(R6,Design!$B$14:$B$16,1)-1,0,2))+(AB6-25)*Design!$B$17/1000</f>
        <v>0.37750659338109882</v>
      </c>
      <c r="T6" s="182">
        <f ca="1">IF(100*(Design!$C$27+S6+R6*IF(ISBLANK(Design!$B$41),Constants!$C$6,Design!$B$41)/1000*(1+Constants!$C$32/100*(AC6-25)))/($B6+S6-R6*AD6/1000)&gt;Design!$C$34,Design!$C$35,100*(Design!$C$27+S6+R6*IF(ISBLANK(Design!$B$41),Constants!$C$6,Design!$B$41)/1000*(1+Constants!$C$32/100*(AC6-25)))/($B6+S6-R6*AD6/1000))</f>
        <v>47.733208416537927</v>
      </c>
      <c r="U6" s="117">
        <f ca="1">IF(($B6-R6*IF(ISBLANK(Design!$B$41),Constants!$C$6,Design!$B$41)/1000*(1+Constants!$C$32/100*(AC6-25))-Design!$C$27)/(Design!$B$40/1000000)*T6/100/(IF(ISBLANK(IF(ISBLANK(Design!$B$40),Design!$B$38,Design!$B$40)),Design!$B$30,Design!$B$31)*1000000)&lt;0,0,($B6-R6*IF(ISBLANK(Design!$B$41),Constants!$C$6,Design!$B$41)/1000*(1+Constants!$C$32/100*(AC6-25))-Design!$C$27)/(IF(ISBLANK(Design!$B$40),Design!$B$38,Design!$B$40)/1000000)*T6/100/(IF(ISBLANK(Design!$B$31),Design!$B$30,Design!$B$31)*1000000))</f>
        <v>0.44410282703556531</v>
      </c>
      <c r="V6" s="183">
        <f>$B6*Constants!$C$21/1000+IF(ISBLANK(Design!$B$31),Design!$B$30,Design!$B$31)*1000000*Constants!$D$25/1000000000*($B6-Constants!$C$24)</f>
        <v>9.7909999999999942E-2</v>
      </c>
      <c r="W6" s="183">
        <f>$B6*R6*($B6/(Constants!$C$26*1000000000)*IF(ISBLANK(Design!$B$31),Design!$B$30,Design!$B$31)*1000000/2+$B6/(Constants!$C$27*1000000000)*IF(ISBLANK(Design!$B$31),Design!$B$30,Design!$B$31)*1000000/2)</f>
        <v>0.78087858333333271</v>
      </c>
      <c r="X6" s="183">
        <f t="shared" ca="1" si="1"/>
        <v>0.40765378343273229</v>
      </c>
      <c r="Y6" s="183">
        <f>Constants!$D$25/1000000000*Constants!$C$24*IF(ISBLANK(Design!$B$31),Design!$B$30,Design!$B$31)*1000000</f>
        <v>5.2499999999999998E-2</v>
      </c>
      <c r="Z6" s="183">
        <f ca="1">SUM(V6:Y6)</f>
        <v>1.3389423667660649</v>
      </c>
      <c r="AA6" s="183">
        <f t="shared" ca="1" si="7"/>
        <v>0.39462116875265313</v>
      </c>
      <c r="AB6" s="184">
        <f ca="1">$A6+AA6*Design!$B$18</f>
        <v>107.49340661890123</v>
      </c>
      <c r="AC6" s="184">
        <f ca="1">Z6*Design!$C$11+$A6</f>
        <v>134.5408675703444</v>
      </c>
      <c r="AD6" s="184">
        <f ca="1">Constants!$D$22+Constants!$D$22*Constants!$C$23/100*(AC6-25)</f>
        <v>212.63269405627551</v>
      </c>
      <c r="AE6" s="183">
        <f ca="1">IF(100*(Design!$C$27+S6+R6*IF(ISBLANK(Design!$B$41),Constants!$C$6,Design!$B$41)/1000*(1+Constants!$C$32/100*(AC6-25)))/($B6+S6-R6*AD6/1000)&gt;Design!$C$34,  (1-Constants!$C$20/1000000000*IF(ISBLANK(Design!$B$31),Design!$B$30/4,Design!$B$31/4)*1000000) * ($B6+S6-R6*AD6/1000) - (S6+R6*(1+($A6-25)*Constants!$C$32/100)*IF(ISBLANK(Design!$B$41),Constants!$C$6/1000,Design!$B$41/1000)),   (1-Constants!$C$20/1000000000*IF(ISBLANK(Design!$B$31),Design!$B$30,Design!$B$31)*1000000) * ($B6+S6-R6*AD6/1000) - (S6+R6*(1+($A6-25)*Constants!$C$32/100)*IF(ISBLANK(Design!$B$41),Constants!$C$6/1000,Design!$B$41/1000)) )</f>
        <v>8.7348254914363697</v>
      </c>
      <c r="AF6" s="117">
        <f ca="1">IF(AE6&gt;Design!$C$27,Design!$C$27,AE6)</f>
        <v>4.9936842105263155</v>
      </c>
      <c r="AG6" s="118">
        <f>Design!$D$6/3</f>
        <v>1</v>
      </c>
      <c r="AH6" s="118">
        <f ca="1">FORECAST(AG6, OFFSET(Design!$C$14:$C$16,MATCH(AG6,Design!$B$14:$B$16,1)-1,0,2), OFFSET(Design!$B$14:$B$16,MATCH(AG6,Design!$B$14:$B$16,1)-1,0,2))+(AQ6-25)*Design!$B$17/1000</f>
        <v>0.31258289769096281</v>
      </c>
      <c r="AI6" s="194">
        <f ca="1">IF(100*(Design!$C$27+AH6+AG6*IF(ISBLANK(Design!$B$41),Constants!$C$6,Design!$B$41)/1000*(1+Constants!$C$32/100*(AR6-25)))/($B6+AH6-AG6*AS6/1000)&gt;Design!$C$34,Design!$C$35,100*(Design!$C$27+AH6+AG6*IF(ISBLANK(Design!$B$41),Constants!$C$6,Design!$B$41)/1000*(1+Constants!$C$32/100*(AR6-25)))/($B6+AH6-AG6*AS6/1000))</f>
        <v>45.8988454141357</v>
      </c>
      <c r="AJ6" s="119">
        <f ca="1">IF(($B6-AG6*IF(ISBLANK(Design!$B$41),Constants!$C$6,Design!$B$41)/1000*(1+Constants!$C$32/100*(AR6-25))-Design!$C$27)/(IF(ISBLANK(Design!$B$40),Design!$B$38,Design!$B$40)/1000000)*AI6/100/(IF(ISBLANK(Design!$B$31),Design!$B$30,Design!$B$31)*1000000)&lt;0,0,($B6-AG6*IF(ISBLANK(Design!$B$41),Constants!$C$6,Design!$B$41)/1000*(1+Constants!$C$32/100*(AR6-25))-Design!$C$27)/(IF(ISBLANK(Design!$B$40),Design!$B$38,Design!$B$40)/1000000)*AI6/100/(IF(ISBLANK(Design!$B$31),Design!$B$30,Design!$B$31)*1000000))</f>
        <v>0.43160686062650128</v>
      </c>
      <c r="AK6" s="195">
        <f>$B6*Constants!$C$21/1000+IF(ISBLANK(Design!$B$31),Design!$B$30,Design!$B$31)*1000000*Constants!$D$25/1000000000*($B6-Constants!$C$24)</f>
        <v>9.7909999999999942E-2</v>
      </c>
      <c r="AL6" s="195">
        <f>$B6*AG6*($B6/(Constants!$C$26*1000000000)*IF(ISBLANK(Design!$B$31),Design!$B$30,Design!$B$31)*1000000/2+$B6/(Constants!$C$27*1000000000)*IF(ISBLANK(Design!$B$31),Design!$B$30,Design!$B$31)*1000000/2)</f>
        <v>0.39043929166666635</v>
      </c>
      <c r="AM6" s="195">
        <f t="shared" ca="1" si="2"/>
        <v>8.9332254802046748E-2</v>
      </c>
      <c r="AN6" s="195">
        <f>Constants!$D$25/1000000000*Constants!$C$24*IF(ISBLANK(Design!$B$31),Design!$B$30,Design!$B$31)*1000000</f>
        <v>5.2499999999999998E-2</v>
      </c>
      <c r="AO6" s="195">
        <f ca="1">SUM(AK6:AN6)</f>
        <v>0.63018154646871305</v>
      </c>
      <c r="AP6" s="195">
        <f t="shared" ca="1" si="9"/>
        <v>0.16911095668876186</v>
      </c>
      <c r="AQ6" s="196">
        <f ca="1">$A6+AP6*Design!$B$18</f>
        <v>94.639324531259433</v>
      </c>
      <c r="AR6" s="196">
        <f ca="1">AO6*Design!$C$11+$A6</f>
        <v>108.31671721934238</v>
      </c>
      <c r="AS6" s="196">
        <f ca="1">Constants!$D$22+Constants!$D$22*Constants!$C$23/100*(AR6-25)</f>
        <v>191.65337377547391</v>
      </c>
      <c r="AT6" s="195">
        <f ca="1">IF(100*(Design!$C$27+AH6+AG6*IF(ISBLANK(Design!$B$41),Constants!$C$6,Design!$B$41)/1000*(1+Constants!$C$32/100*(AR6-25)))/($B6+AH6-AG6*AS6/1000)&gt;Design!$C$34,  (1-Constants!$C$20/1000000000*IF(ISBLANK(Design!$B$31),Design!$B$30/4,Design!$B$31/4)*1000000) * ($B6+AH6-AG6*AS6/1000) - (AH6+AG6*(1+($A6-25)*Constants!$C$32/100)*IF(ISBLANK(Design!$B$41),Constants!$C$6/1000,Design!$B$41/1000)),   (1-Constants!$C$20/1000000000*IF(ISBLANK(Design!$B$31),Design!$B$30,Design!$B$31)*1000000) * ($B6+AH6-AG6*AS6/1000) - (AH6+AG6*(1+($A6-25)*Constants!$C$32/100)*IF(ISBLANK(Design!$B$41),Constants!$C$6/1000,Design!$B$41/1000)) )</f>
        <v>8.9903951862033811</v>
      </c>
      <c r="AU6" s="119">
        <f ca="1">IF(AT6&gt;Design!$C$27,Design!$C$27,AT6)</f>
        <v>4.9936842105263155</v>
      </c>
    </row>
    <row r="7" spans="1:47" s="120" customFormat="1" ht="12.75" customHeight="1" x14ac:dyDescent="0.25">
      <c r="A7" s="112">
        <f>Design!$D$12</f>
        <v>85</v>
      </c>
      <c r="B7" s="113">
        <f t="shared" si="3"/>
        <v>11.354999999999995</v>
      </c>
      <c r="C7" s="114">
        <f>Design!$D$6</f>
        <v>3</v>
      </c>
      <c r="D7" s="114">
        <f ca="1">FORECAST(C7, OFFSET(Design!$C$14:$C$16,MATCH(C7,Design!$B$14:$B$16,1)-1,0,2), OFFSET(Design!$B$14:$B$16,MATCH(C7,Design!$B$14:$B$16,1)-1,0,2))+(M7-25)*Design!$B$17/1000</f>
        <v>0.39203928662880194</v>
      </c>
      <c r="E7" s="173">
        <f ca="1">IF(100*(Design!$C$27+D7+C7*IF(ISBLANK(Design!$B$41),Constants!$C$6,Design!$B$41)/1000*(1+Constants!$C$32/100*(N7-25)))/($B7+D7-C7*O7/1000)&gt;Design!$C$34,Design!$C$35,100*(Design!$C$27+D7+C7*IF(ISBLANK(Design!$B$41),Constants!$C$6,Design!$B$41)/1000*(1+Constants!$C$32/100*(N7-25)))/($B7+D7-C7*O7/1000))</f>
        <v>50.833317897653991</v>
      </c>
      <c r="F7" s="115">
        <f ca="1">IF(($B7-C7*IF(ISBLANK(Design!$B$41),Constants!$C$6,Design!$B$41)/1000*(1+Constants!$C$32/100*(N7-25))-Design!$C$27)/(IF(ISBLANK(Design!$B$40),Design!$B$38,Design!$B$40)/1000000)*E7/100/(IF(ISBLANK(Design!$B$31),Design!$B$30,Design!$B$31)*1000000)&lt;0, 0, ($B7-C7*IF(ISBLANK(Design!$B$41),Constants!$C$6,Design!$B$41)/1000*(1+Constants!$C$32/100*(N7-25))-Design!$C$27)/(IF(ISBLANK(Design!$B$40),Design!$B$38,Design!$B$40)/1000000)*E7/100/(IF(ISBLANK(Design!$B$31),Design!$B$30,Design!$B$31)*1000000))</f>
        <v>0.4509346143067739</v>
      </c>
      <c r="G7" s="165">
        <f>B7*Constants!$C$21/1000+IF(ISBLANK(Design!$B$31),Design!$B$30,Design!$B$31)*1000000*Constants!$D$25/1000000000*(B7-Constants!$C$24)</f>
        <v>9.511499999999995E-2</v>
      </c>
      <c r="H7" s="165">
        <f>B7*C7*(B7/(Constants!$C$26*1000000000)*IF(ISBLANK(Design!$B$31),Design!$B$30,Design!$B$31)*1000000/2+B7/(Constants!$C$27*1000000000)*IF(ISBLANK(Design!$B$31),Design!$B$30,Design!$B$31)*1000000/2)</f>
        <v>1.1281902187499993</v>
      </c>
      <c r="I7" s="165">
        <f t="shared" ca="1" si="0"/>
        <v>1.1177041554919762</v>
      </c>
      <c r="J7" s="165">
        <f>Constants!$D$25/1000000000*Constants!$C$24*IF(ISBLANK(Design!$B$31),Design!$B$30,Design!$B$31)*1000000</f>
        <v>5.2499999999999998E-2</v>
      </c>
      <c r="K7" s="165">
        <f t="shared" ca="1" si="4"/>
        <v>2.393509374241976</v>
      </c>
      <c r="L7" s="165">
        <f t="shared" ca="1" si="5"/>
        <v>0.57825812931926435</v>
      </c>
      <c r="M7" s="166">
        <f ca="1">A7+L7*Design!$B$18</f>
        <v>117.96071337119807</v>
      </c>
      <c r="N7" s="166">
        <f ca="1">K7*Design!$C$11+A7</f>
        <v>173.55984684695312</v>
      </c>
      <c r="O7" s="166">
        <f ca="1">Constants!$D$22+Constants!$D$22*Constants!$C$23/100*(N7-25)</f>
        <v>243.84787747756252</v>
      </c>
      <c r="P7" s="165">
        <f ca="1">IF(100*(Design!$C$27+D7+C7*IF(ISBLANK(Design!$B$41),Constants!$C$6,Design!$B$41)/1000*(1+Constants!$C$32/100*(N7-25)))/($B7+D7-C7*O7/1000)&gt;Design!$C$34,  (1-Constants!$C$20/1000000000*IF(ISBLANK(Design!$B$31),Design!$B$30/4,Design!$B$31/4)*1000000) * ($B7+D7-C7*O7/1000) - (D7+C7*(1+($A7-25)*Constants!$C$32/100)*IF(ISBLANK(Design!$B$41),Constants!$C$6/1000,Design!$B$41/1000)),   (1-Constants!$C$20/1000000000*IF(ISBLANK(Design!$B$31),Design!$B$30,Design!$B$31)*1000000) * ($B7+D7-C7*O7/1000) - (D7+C7*(1+($A7-25)*Constants!$C$32/100)*IF(ISBLANK(Design!$B$41),Constants!$C$6/1000,Design!$B$41/1000)) )</f>
        <v>8.2590319845551825</v>
      </c>
      <c r="Q7" s="171">
        <f ca="1">IF(P7&gt;Design!$C$27,Design!$C$27,P7)</f>
        <v>4.9936842105263155</v>
      </c>
      <c r="R7" s="181">
        <f>2*Design!$D$6/3</f>
        <v>2</v>
      </c>
      <c r="S7" s="116">
        <f ca="1">FORECAST(R7, OFFSET(Design!$C$14:$C$16,MATCH(R7,Design!$B$14:$B$16,1)-1,0,2), OFFSET(Design!$B$14:$B$16,MATCH(R7,Design!$B$14:$B$16,1)-1,0,2))+(AB7-25)*Design!$B$17/1000</f>
        <v>0.37787243971160234</v>
      </c>
      <c r="T7" s="182">
        <f ca="1">IF(100*(Design!$C$27+S7+R7*IF(ISBLANK(Design!$B$41),Constants!$C$6,Design!$B$41)/1000*(1+Constants!$C$32/100*(AC7-25)))/($B7+S7-R7*AD7/1000)&gt;Design!$C$34,Design!$C$35,100*(Design!$C$27+S7+R7*IF(ISBLANK(Design!$B$41),Constants!$C$6,Design!$B$41)/1000*(1+Constants!$C$32/100*(AC7-25)))/($B7+S7-R7*AD7/1000))</f>
        <v>48.633087349075524</v>
      </c>
      <c r="U7" s="117">
        <f ca="1">IF(($B7-R7*IF(ISBLANK(Design!$B$41),Constants!$C$6,Design!$B$41)/1000*(1+Constants!$C$32/100*(AC7-25))-Design!$C$27)/(Design!$B$40/1000000)*T7/100/(IF(ISBLANK(IF(ISBLANK(Design!$B$40),Design!$B$38,Design!$B$40)),Design!$B$30,Design!$B$31)*1000000)&lt;0,0,($B7-R7*IF(ISBLANK(Design!$B$41),Constants!$C$6,Design!$B$41)/1000*(1+Constants!$C$32/100*(AC7-25))-Design!$C$27)/(IF(ISBLANK(Design!$B$40),Design!$B$38,Design!$B$40)/1000000)*T7/100/(IF(ISBLANK(Design!$B$31),Design!$B$30,Design!$B$31)*1000000))</f>
        <v>0.43741029128888093</v>
      </c>
      <c r="V7" s="183">
        <f>$B7*Constants!$C$21/1000+IF(ISBLANK(Design!$B$31),Design!$B$30,Design!$B$31)*1000000*Constants!$D$25/1000000000*($B7-Constants!$C$24)</f>
        <v>9.511499999999995E-2</v>
      </c>
      <c r="W7" s="183">
        <f>$B7*R7*($B7/(Constants!$C$26*1000000000)*IF(ISBLANK(Design!$B$31),Design!$B$30,Design!$B$31)*1000000/2+$B7/(Constants!$C$27*1000000000)*IF(ISBLANK(Design!$B$31),Design!$B$30,Design!$B$31)*1000000/2)</f>
        <v>0.75212681249999958</v>
      </c>
      <c r="X7" s="183">
        <f t="shared" ca="1" si="1"/>
        <v>0.41382091510105118</v>
      </c>
      <c r="Y7" s="183">
        <f>Constants!$D$25/1000000000*Constants!$C$24*IF(ISBLANK(Design!$B$31),Design!$B$30,Design!$B$31)*1000000</f>
        <v>5.2499999999999998E-2</v>
      </c>
      <c r="Z7" s="183">
        <f t="shared" ref="Z7:Z44" ca="1" si="10">SUM(V7:Y7)</f>
        <v>1.3135627276010506</v>
      </c>
      <c r="AA7" s="183">
        <f t="shared" ca="1" si="7"/>
        <v>0.38820281207715207</v>
      </c>
      <c r="AB7" s="184">
        <f ca="1">$A7+AA7*Design!$B$18</f>
        <v>107.12756028839766</v>
      </c>
      <c r="AC7" s="184">
        <f ca="1">Z7*Design!$C$11+$A7</f>
        <v>133.60182092123887</v>
      </c>
      <c r="AD7" s="184">
        <f ca="1">Constants!$D$22+Constants!$D$22*Constants!$C$23/100*(AC7-25)</f>
        <v>211.88145673699108</v>
      </c>
      <c r="AE7" s="183">
        <f ca="1">IF(100*(Design!$C$27+S7+R7*IF(ISBLANK(Design!$B$41),Constants!$C$6,Design!$B$41)/1000*(1+Constants!$C$32/100*(AC7-25)))/($B7+S7-R7*AD7/1000)&gt;Design!$C$34,  (1-Constants!$C$20/1000000000*IF(ISBLANK(Design!$B$31),Design!$B$30/4,Design!$B$31/4)*1000000) * ($B7+S7-R7*AD7/1000) - (S7+R7*(1+($A7-25)*Constants!$C$32/100)*IF(ISBLANK(Design!$B$41),Constants!$C$6/1000,Design!$B$41/1000)),   (1-Constants!$C$20/1000000000*IF(ISBLANK(Design!$B$31),Design!$B$30,Design!$B$31)*1000000) * ($B7+S7-R7*AD7/1000) - (S7+R7*(1+($A7-25)*Constants!$C$32/100)*IF(ISBLANK(Design!$B$41),Constants!$C$6/1000,Design!$B$41/1000)) )</f>
        <v>8.563847736041609</v>
      </c>
      <c r="AF7" s="117">
        <f ca="1">IF(AE7&gt;Design!$C$27,Design!$C$27,AE7)</f>
        <v>4.9936842105263155</v>
      </c>
      <c r="AG7" s="118">
        <f>Design!$D$6/3</f>
        <v>1</v>
      </c>
      <c r="AH7" s="118">
        <f ca="1">FORECAST(AG7, OFFSET(Design!$C$14:$C$16,MATCH(AG7,Design!$B$14:$B$16,1)-1,0,2), OFFSET(Design!$B$14:$B$16,MATCH(AG7,Design!$B$14:$B$16,1)-1,0,2))+(AQ7-25)*Design!$B$17/1000</f>
        <v>0.31273123156018634</v>
      </c>
      <c r="AI7" s="194">
        <f ca="1">IF(100*(Design!$C$27+AH7+AG7*IF(ISBLANK(Design!$B$41),Constants!$C$6,Design!$B$41)/1000*(1+Constants!$C$32/100*(AR7-25)))/($B7+AH7-AG7*AS7/1000)&gt;Design!$C$34,Design!$C$35,100*(Design!$C$27+AH7+AG7*IF(ISBLANK(Design!$B$41),Constants!$C$6,Design!$B$41)/1000*(1+Constants!$C$32/100*(AR7-25)))/($B7+AH7-AG7*AS7/1000))</f>
        <v>46.756642349023636</v>
      </c>
      <c r="AJ7" s="119">
        <f ca="1">IF(($B7-AG7*IF(ISBLANK(Design!$B$41),Constants!$C$6,Design!$B$41)/1000*(1+Constants!$C$32/100*(AR7-25))-Design!$C$27)/(IF(ISBLANK(Design!$B$40),Design!$B$38,Design!$B$40)/1000000)*AI7/100/(IF(ISBLANK(Design!$B$31),Design!$B$30,Design!$B$31)*1000000)&lt;0,0,($B7-AG7*IF(ISBLANK(Design!$B$41),Constants!$C$6,Design!$B$41)/1000*(1+Constants!$C$32/100*(AR7-25))-Design!$C$27)/(IF(ISBLANK(Design!$B$40),Design!$B$38,Design!$B$40)/1000000)*AI7/100/(IF(ISBLANK(Design!$B$31),Design!$B$30,Design!$B$31)*1000000))</f>
        <v>0.42517402986981512</v>
      </c>
      <c r="AK7" s="195">
        <f>$B7*Constants!$C$21/1000+IF(ISBLANK(Design!$B$31),Design!$B$30,Design!$B$31)*1000000*Constants!$D$25/1000000000*($B7-Constants!$C$24)</f>
        <v>9.511499999999995E-2</v>
      </c>
      <c r="AL7" s="195">
        <f>$B7*AG7*($B7/(Constants!$C$26*1000000000)*IF(ISBLANK(Design!$B$31),Design!$B$30,Design!$B$31)*1000000/2+$B7/(Constants!$C$27*1000000000)*IF(ISBLANK(Design!$B$31),Design!$B$30,Design!$B$31)*1000000/2)</f>
        <v>0.37606340624999979</v>
      </c>
      <c r="AM7" s="195">
        <f t="shared" ca="1" si="2"/>
        <v>9.0739155186943463E-2</v>
      </c>
      <c r="AN7" s="195">
        <f>Constants!$D$25/1000000000*Constants!$C$24*IF(ISBLANK(Design!$B$31),Design!$B$30,Design!$B$31)*1000000</f>
        <v>5.2499999999999998E-2</v>
      </c>
      <c r="AO7" s="195">
        <f t="shared" ref="AO7:AO44" ca="1" si="11">SUM(AK7:AN7)</f>
        <v>0.61441756143694315</v>
      </c>
      <c r="AP7" s="195">
        <f t="shared" ca="1" si="9"/>
        <v>0.16650860810589307</v>
      </c>
      <c r="AQ7" s="196">
        <f ca="1">$A7+AP7*Design!$B$18</f>
        <v>94.490990662035898</v>
      </c>
      <c r="AR7" s="196">
        <f ca="1">AO7*Design!$C$11+$A7</f>
        <v>107.7334497731669</v>
      </c>
      <c r="AS7" s="196">
        <f ca="1">Constants!$D$22+Constants!$D$22*Constants!$C$23/100*(AR7-25)</f>
        <v>191.18675981853352</v>
      </c>
      <c r="AT7" s="195">
        <f ca="1">IF(100*(Design!$C$27+AH7+AG7*IF(ISBLANK(Design!$B$41),Constants!$C$6,Design!$B$41)/1000*(1+Constants!$C$32/100*(AR7-25)))/($B7+AH7-AG7*AS7/1000)&gt;Design!$C$34,  (1-Constants!$C$20/1000000000*IF(ISBLANK(Design!$B$31),Design!$B$30/4,Design!$B$31/4)*1000000) * ($B7+AH7-AG7*AS7/1000) - (AH7+AG7*(1+($A7-25)*Constants!$C$32/100)*IF(ISBLANK(Design!$B$41),Constants!$C$6/1000,Design!$B$41/1000)),   (1-Constants!$C$20/1000000000*IF(ISBLANK(Design!$B$31),Design!$B$30,Design!$B$31)*1000000) * ($B7+AH7-AG7*AS7/1000) - (AH7+AG7*(1+($A7-25)*Constants!$C$32/100)*IF(ISBLANK(Design!$B$41),Constants!$C$6/1000,Design!$B$41/1000)) )</f>
        <v>8.8186316180690021</v>
      </c>
      <c r="AU7" s="119">
        <f ca="1">IF(AT7&gt;Design!$C$27,Design!$C$27,AT7)</f>
        <v>4.9936842105263155</v>
      </c>
    </row>
    <row r="8" spans="1:47" s="120" customFormat="1" ht="12.75" customHeight="1" x14ac:dyDescent="0.25">
      <c r="A8" s="112">
        <f>Design!$D$12</f>
        <v>85</v>
      </c>
      <c r="B8" s="113">
        <f t="shared" si="3"/>
        <v>11.139999999999995</v>
      </c>
      <c r="C8" s="114">
        <f>Design!$D$6</f>
        <v>3</v>
      </c>
      <c r="D8" s="114">
        <f ca="1">FORECAST(C8, OFFSET(Design!$C$14:$C$16,MATCH(C8,Design!$B$14:$B$16,1)-1,0,2), OFFSET(Design!$B$14:$B$16,MATCH(C8,Design!$B$14:$B$16,1)-1,0,2))+(M8-25)*Design!$B$17/1000</f>
        <v>0.39265759268503175</v>
      </c>
      <c r="E8" s="173">
        <f ca="1">IF(100*(Design!$C$27+D8+C8*IF(ISBLANK(Design!$B$41),Constants!$C$6,Design!$B$41)/1000*(1+Constants!$C$32/100*(N8-25)))/($B8+D8-C8*O8/1000)&gt;Design!$C$34,Design!$C$35,100*(Design!$C$27+D8+C8*IF(ISBLANK(Design!$B$41),Constants!$C$6,Design!$B$41)/1000*(1+Constants!$C$32/100*(N8-25)))/($B8+D8-C8*O8/1000))</f>
        <v>51.831598724599161</v>
      </c>
      <c r="F8" s="115">
        <f ca="1">IF(($B8-C8*IF(ISBLANK(Design!$B$41),Constants!$C$6,Design!$B$41)/1000*(1+Constants!$C$32/100*(N8-25))-Design!$C$27)/(IF(ISBLANK(Design!$B$40),Design!$B$38,Design!$B$40)/1000000)*E8/100/(IF(ISBLANK(Design!$B$31),Design!$B$30,Design!$B$31)*1000000)&lt;0, 0, ($B8-C8*IF(ISBLANK(Design!$B$41),Constants!$C$6,Design!$B$41)/1000*(1+Constants!$C$32/100*(N8-25))-Design!$C$27)/(IF(ISBLANK(Design!$B$40),Design!$B$38,Design!$B$40)/1000000)*E8/100/(IF(ISBLANK(Design!$B$31),Design!$B$30,Design!$B$31)*1000000))</f>
        <v>0.44374928569251715</v>
      </c>
      <c r="G8" s="165">
        <f>B8*Constants!$C$21/1000+IF(ISBLANK(Design!$B$31),Design!$B$30,Design!$B$31)*1000000*Constants!$D$25/1000000000*(B8-Constants!$C$24)</f>
        <v>9.2319999999999944E-2</v>
      </c>
      <c r="H8" s="165">
        <f>B8*C8*(B8/(Constants!$C$26*1000000000)*IF(ISBLANK(Design!$B$31),Design!$B$30,Design!$B$31)*1000000/2+B8/(Constants!$C$27*1000000000)*IF(ISBLANK(Design!$B$31),Design!$B$30,Design!$B$31)*1000000/2)</f>
        <v>1.0858714999999992</v>
      </c>
      <c r="I8" s="165">
        <f t="shared" ca="1" si="0"/>
        <v>1.1358567060050349</v>
      </c>
      <c r="J8" s="165">
        <f>Constants!$D$25/1000000000*Constants!$C$24*IF(ISBLANK(Design!$B$31),Design!$B$30,Design!$B$31)*1000000</f>
        <v>5.2499999999999998E-2</v>
      </c>
      <c r="K8" s="165">
        <f t="shared" ca="1" si="4"/>
        <v>2.3665482060050342</v>
      </c>
      <c r="L8" s="165">
        <f t="shared" ca="1" si="5"/>
        <v>0.56741065464856522</v>
      </c>
      <c r="M8" s="166">
        <f ca="1">A8+L8*Design!$B$18</f>
        <v>117.34240731496823</v>
      </c>
      <c r="N8" s="166">
        <f ca="1">K8*Design!$C$11+A8</f>
        <v>172.56228362218627</v>
      </c>
      <c r="O8" s="166">
        <f ca="1">Constants!$D$22+Constants!$D$22*Constants!$C$23/100*(N8-25)</f>
        <v>243.04982689774903</v>
      </c>
      <c r="P8" s="165">
        <f ca="1">IF(100*(Design!$C$27+D8+C8*IF(ISBLANK(Design!$B$41),Constants!$C$6,Design!$B$41)/1000*(1+Constants!$C$32/100*(N8-25)))/($B8+D8-C8*O8/1000)&gt;Design!$C$34,  (1-Constants!$C$20/1000000000*IF(ISBLANK(Design!$B$31),Design!$B$30/4,Design!$B$31/4)*1000000) * ($B8+D8-C8*O8/1000) - (D8+C8*(1+($A8-25)*Constants!$C$32/100)*IF(ISBLANK(Design!$B$41),Constants!$C$6/1000,Design!$B$41/1000)),   (1-Constants!$C$20/1000000000*IF(ISBLANK(Design!$B$31),Design!$B$30,Design!$B$31)*1000000) * ($B8+D8-C8*O8/1000) - (D8+C8*(1+($A8-25)*Constants!$C$32/100)*IF(ISBLANK(Design!$B$41),Constants!$C$6/1000,Design!$B$41/1000)) )</f>
        <v>8.0887176509643872</v>
      </c>
      <c r="Q8" s="171">
        <f ca="1">IF(P8&gt;Design!$C$27,Design!$C$27,P8)</f>
        <v>4.9936842105263155</v>
      </c>
      <c r="R8" s="181">
        <f>2*Design!$D$6/3</f>
        <v>2</v>
      </c>
      <c r="S8" s="116">
        <f ca="1">FORECAST(R8, OFFSET(Design!$C$14:$C$16,MATCH(R8,Design!$B$14:$B$16,1)-1,0,2), OFFSET(Design!$B$14:$B$16,MATCH(R8,Design!$B$14:$B$16,1)-1,0,2))+(AB8-25)*Design!$B$17/1000</f>
        <v>0.37825324838728269</v>
      </c>
      <c r="T8" s="182">
        <f ca="1">IF(100*(Design!$C$27+S8+R8*IF(ISBLANK(Design!$B$41),Constants!$C$6,Design!$B$41)/1000*(1+Constants!$C$32/100*(AC8-25)))/($B8+S8-R8*AD8/1000)&gt;Design!$C$34,Design!$C$35,100*(Design!$C$27+S8+R8*IF(ISBLANK(Design!$B$41),Constants!$C$6,Design!$B$41)/1000*(1+Constants!$C$32/100*(AC8-25)))/($B8+S8-R8*AD8/1000))</f>
        <v>49.567920468032817</v>
      </c>
      <c r="U8" s="117">
        <f ca="1">IF(($B8-R8*IF(ISBLANK(Design!$B$41),Constants!$C$6,Design!$B$41)/1000*(1+Constants!$C$32/100*(AC8-25))-Design!$C$27)/(Design!$B$40/1000000)*T8/100/(IF(ISBLANK(IF(ISBLANK(Design!$B$40),Design!$B$38,Design!$B$40)),Design!$B$30,Design!$B$31)*1000000)&lt;0,0,($B8-R8*IF(ISBLANK(Design!$B$41),Constants!$C$6,Design!$B$41)/1000*(1+Constants!$C$32/100*(AC8-25))-Design!$C$27)/(IF(ISBLANK(Design!$B$40),Design!$B$38,Design!$B$40)/1000000)*T8/100/(IF(ISBLANK(Design!$B$31),Design!$B$30,Design!$B$31)*1000000))</f>
        <v>0.43046303059275831</v>
      </c>
      <c r="V8" s="183">
        <f>$B8*Constants!$C$21/1000+IF(ISBLANK(Design!$B$31),Design!$B$30,Design!$B$31)*1000000*Constants!$D$25/1000000000*($B8-Constants!$C$24)</f>
        <v>9.2319999999999944E-2</v>
      </c>
      <c r="W8" s="183">
        <f>$B8*R8*($B8/(Constants!$C$26*1000000000)*IF(ISBLANK(Design!$B$31),Design!$B$30,Design!$B$31)*1000000/2+$B8/(Constants!$C$27*1000000000)*IF(ISBLANK(Design!$B$31),Design!$B$30,Design!$B$31)*1000000/2)</f>
        <v>0.72391433333333277</v>
      </c>
      <c r="X8" s="183">
        <f t="shared" ca="1" si="1"/>
        <v>0.42027618583814064</v>
      </c>
      <c r="Y8" s="183">
        <f>Constants!$D$25/1000000000*Constants!$C$24*IF(ISBLANK(Design!$B$31),Design!$B$30,Design!$B$31)*1000000</f>
        <v>5.2499999999999998E-2</v>
      </c>
      <c r="Z8" s="183">
        <f t="shared" ca="1" si="10"/>
        <v>1.2890105191714734</v>
      </c>
      <c r="AA8" s="183">
        <f t="shared" ca="1" si="7"/>
        <v>0.3815219581178475</v>
      </c>
      <c r="AB8" s="184">
        <f ca="1">$A8+AA8*Design!$B$18</f>
        <v>106.7467516127173</v>
      </c>
      <c r="AC8" s="184">
        <f ca="1">Z8*Design!$C$11+$A8</f>
        <v>132.6933892093445</v>
      </c>
      <c r="AD8" s="184">
        <f ca="1">Constants!$D$22+Constants!$D$22*Constants!$C$23/100*(AC8-25)</f>
        <v>211.15471136747561</v>
      </c>
      <c r="AE8" s="183">
        <f ca="1">IF(100*(Design!$C$27+S8+R8*IF(ISBLANK(Design!$B$41),Constants!$C$6,Design!$B$41)/1000*(1+Constants!$C$32/100*(AC8-25)))/($B8+S8-R8*AD8/1000)&gt;Design!$C$34,  (1-Constants!$C$20/1000000000*IF(ISBLANK(Design!$B$31),Design!$B$30/4,Design!$B$31/4)*1000000) * ($B8+S8-R8*AD8/1000) - (S8+R8*(1+($A8-25)*Constants!$C$32/100)*IF(ISBLANK(Design!$B$41),Constants!$C$6/1000,Design!$B$41/1000)),   (1-Constants!$C$20/1000000000*IF(ISBLANK(Design!$B$31),Design!$B$30,Design!$B$31)*1000000) * ($B8+S8-R8*AD8/1000) - (S8+R8*(1+($A8-25)*Constants!$C$32/100)*IF(ISBLANK(Design!$B$41),Constants!$C$6/1000,Design!$B$41/1000)) )</f>
        <v>8.3928277840474053</v>
      </c>
      <c r="AF8" s="117">
        <f ca="1">IF(AE8&gt;Design!$C$27,Design!$C$27,AE8)</f>
        <v>4.9936842105263155</v>
      </c>
      <c r="AG8" s="118">
        <f>Design!$D$6/3</f>
        <v>1</v>
      </c>
      <c r="AH8" s="118">
        <f ca="1">FORECAST(AG8, OFFSET(Design!$C$14:$C$16,MATCH(AG8,Design!$B$14:$B$16,1)-1,0,2), OFFSET(Design!$B$14:$B$16,MATCH(AG8,Design!$B$14:$B$16,1)-1,0,2))+(AQ8-25)*Design!$B$17/1000</f>
        <v>0.31288537682662176</v>
      </c>
      <c r="AI8" s="194">
        <f ca="1">IF(100*(Design!$C$27+AH8+AG8*IF(ISBLANK(Design!$B$41),Constants!$C$6,Design!$B$41)/1000*(1+Constants!$C$32/100*(AR8-25)))/($B8+AH8-AG8*AS8/1000)&gt;Design!$C$34,Design!$C$35,100*(Design!$C$27+AH8+AG8*IF(ISBLANK(Design!$B$41),Constants!$C$6,Design!$B$41)/1000*(1+Constants!$C$32/100*(AR8-25)))/($B8+AH8-AG8*AS8/1000))</f>
        <v>47.64718413902051</v>
      </c>
      <c r="AJ8" s="119">
        <f ca="1">IF(($B8-AG8*IF(ISBLANK(Design!$B$41),Constants!$C$6,Design!$B$41)/1000*(1+Constants!$C$32/100*(AR8-25))-Design!$C$27)/(IF(ISBLANK(Design!$B$40),Design!$B$38,Design!$B$40)/1000000)*AI8/100/(IF(ISBLANK(Design!$B$31),Design!$B$30,Design!$B$31)*1000000)&lt;0,0,($B8-AG8*IF(ISBLANK(Design!$B$41),Constants!$C$6,Design!$B$41)/1000*(1+Constants!$C$32/100*(AR8-25))-Design!$C$27)/(IF(ISBLANK(Design!$B$40),Design!$B$38,Design!$B$40)/1000000)*AI8/100/(IF(ISBLANK(Design!$B$31),Design!$B$30,Design!$B$31)*1000000))</f>
        <v>0.4184966582796964</v>
      </c>
      <c r="AK8" s="195">
        <f>$B8*Constants!$C$21/1000+IF(ISBLANK(Design!$B$31),Design!$B$30,Design!$B$31)*1000000*Constants!$D$25/1000000000*($B8-Constants!$C$24)</f>
        <v>9.2319999999999944E-2</v>
      </c>
      <c r="AL8" s="195">
        <f>$B8*AG8*($B8/(Constants!$C$26*1000000000)*IF(ISBLANK(Design!$B$31),Design!$B$30,Design!$B$31)*1000000/2+$B8/(Constants!$C$27*1000000000)*IF(ISBLANK(Design!$B$31),Design!$B$30,Design!$B$31)*1000000/2)</f>
        <v>0.36195716666666639</v>
      </c>
      <c r="AM8" s="195">
        <f t="shared" ca="1" si="2"/>
        <v>9.2203747161887187E-2</v>
      </c>
      <c r="AN8" s="195">
        <f>Constants!$D$25/1000000000*Constants!$C$24*IF(ISBLANK(Design!$B$31),Design!$B$30,Design!$B$31)*1000000</f>
        <v>5.2499999999999998E-2</v>
      </c>
      <c r="AO8" s="195">
        <f t="shared" ca="1" si="11"/>
        <v>0.59898091382855356</v>
      </c>
      <c r="AP8" s="195">
        <f t="shared" ca="1" si="9"/>
        <v>0.16380430518597308</v>
      </c>
      <c r="AQ8" s="196">
        <f ca="1">$A8+AP8*Design!$B$18</f>
        <v>94.336845395600463</v>
      </c>
      <c r="AR8" s="196">
        <f ca="1">AO8*Design!$C$11+$A8</f>
        <v>107.16229381165648</v>
      </c>
      <c r="AS8" s="196">
        <f ca="1">Constants!$D$22+Constants!$D$22*Constants!$C$23/100*(AR8-25)</f>
        <v>190.72983504932517</v>
      </c>
      <c r="AT8" s="195">
        <f ca="1">IF(100*(Design!$C$27+AH8+AG8*IF(ISBLANK(Design!$B$41),Constants!$C$6,Design!$B$41)/1000*(1+Constants!$C$32/100*(AR8-25)))/($B8+AH8-AG8*AS8/1000)&gt;Design!$C$34,  (1-Constants!$C$20/1000000000*IF(ISBLANK(Design!$B$31),Design!$B$30/4,Design!$B$31/4)*1000000) * ($B8+AH8-AG8*AS8/1000) - (AH8+AG8*(1+($A8-25)*Constants!$C$32/100)*IF(ISBLANK(Design!$B$41),Constants!$C$6/1000,Design!$B$41/1000)),   (1-Constants!$C$20/1000000000*IF(ISBLANK(Design!$B$31),Design!$B$30,Design!$B$31)*1000000) * ($B8+AH8-AG8*AS8/1000) - (AH8+AG8*(1+($A8-25)*Constants!$C$32/100)*IF(ISBLANK(Design!$B$41),Constants!$C$6/1000,Design!$B$41/1000)) )</f>
        <v>8.6468591343660997</v>
      </c>
      <c r="AU8" s="119">
        <f ca="1">IF(AT8&gt;Design!$C$27,Design!$C$27,AT8)</f>
        <v>4.9936842105263155</v>
      </c>
    </row>
    <row r="9" spans="1:47" s="120" customFormat="1" ht="12.75" customHeight="1" x14ac:dyDescent="0.25">
      <c r="A9" s="112">
        <f>Design!$D$12</f>
        <v>85</v>
      </c>
      <c r="B9" s="113">
        <f t="shared" si="3"/>
        <v>10.924999999999995</v>
      </c>
      <c r="C9" s="114">
        <f>Design!$D$6</f>
        <v>3</v>
      </c>
      <c r="D9" s="114">
        <f ca="1">FORECAST(C9, OFFSET(Design!$C$14:$C$16,MATCH(C9,Design!$B$14:$B$16,1)-1,0,2), OFFSET(Design!$B$14:$B$16,MATCH(C9,Design!$B$14:$B$16,1)-1,0,2))+(M9-25)*Design!$B$17/1000</f>
        <v>0.39330350972804662</v>
      </c>
      <c r="E9" s="173">
        <f ca="1">IF(100*(Design!$C$27+D9+C9*IF(ISBLANK(Design!$B$41),Constants!$C$6,Design!$B$41)/1000*(1+Constants!$C$32/100*(N9-25)))/($B9+D9-C9*O9/1000)&gt;Design!$C$34,Design!$C$35,100*(Design!$C$27+D9+C9*IF(ISBLANK(Design!$B$41),Constants!$C$6,Design!$B$41)/1000*(1+Constants!$C$32/100*(N9-25)))/($B9+D9-C9*O9/1000))</f>
        <v>52.871106499452843</v>
      </c>
      <c r="F9" s="115">
        <f ca="1">IF(($B9-C9*IF(ISBLANK(Design!$B$41),Constants!$C$6,Design!$B$41)/1000*(1+Constants!$C$32/100*(N9-25))-Design!$C$27)/(IF(ISBLANK(Design!$B$40),Design!$B$38,Design!$B$40)/1000000)*E9/100/(IF(ISBLANK(Design!$B$31),Design!$B$30,Design!$B$31)*1000000)&lt;0, 0, ($B9-C9*IF(ISBLANK(Design!$B$41),Constants!$C$6,Design!$B$41)/1000*(1+Constants!$C$32/100*(N9-25))-Design!$C$27)/(IF(ISBLANK(Design!$B$40),Design!$B$38,Design!$B$40)/1000000)*E9/100/(IF(ISBLANK(Design!$B$31),Design!$B$30,Design!$B$31)*1000000))</f>
        <v>0.43628353427934186</v>
      </c>
      <c r="G9" s="165">
        <f>B9*Constants!$C$21/1000+IF(ISBLANK(Design!$B$31),Design!$B$30,Design!$B$31)*1000000*Constants!$D$25/1000000000*(B9-Constants!$C$24)</f>
        <v>8.9524999999999938E-2</v>
      </c>
      <c r="H9" s="165">
        <f>B9*C9*(B9/(Constants!$C$26*1000000000)*IF(ISBLANK(Design!$B$31),Design!$B$30,Design!$B$31)*1000000/2+B9/(Constants!$C$27*1000000000)*IF(ISBLANK(Design!$B$31),Design!$B$30,Design!$B$31)*1000000/2)</f>
        <v>1.0443617187499992</v>
      </c>
      <c r="I9" s="165">
        <f t="shared" ca="1" si="0"/>
        <v>1.1550189752537199</v>
      </c>
      <c r="J9" s="165">
        <f>Constants!$D$25/1000000000*Constants!$C$24*IF(ISBLANK(Design!$B$31),Design!$B$30,Design!$B$31)*1000000</f>
        <v>5.2499999999999998E-2</v>
      </c>
      <c r="K9" s="165">
        <f t="shared" ca="1" si="4"/>
        <v>2.3414056940037193</v>
      </c>
      <c r="L9" s="165">
        <f t="shared" ca="1" si="5"/>
        <v>0.55607877670093564</v>
      </c>
      <c r="M9" s="166">
        <f ca="1">A9+L9*Design!$B$18</f>
        <v>116.69649027195334</v>
      </c>
      <c r="N9" s="166">
        <f ca="1">K9*Design!$C$11+A9</f>
        <v>171.63201067813762</v>
      </c>
      <c r="O9" s="166">
        <f ca="1">Constants!$D$22+Constants!$D$22*Constants!$C$23/100*(N9-25)</f>
        <v>242.3056085425101</v>
      </c>
      <c r="P9" s="165">
        <f ca="1">IF(100*(Design!$C$27+D9+C9*IF(ISBLANK(Design!$B$41),Constants!$C$6,Design!$B$41)/1000*(1+Constants!$C$32/100*(N9-25)))/($B9+D9-C9*O9/1000)&gt;Design!$C$34,  (1-Constants!$C$20/1000000000*IF(ISBLANK(Design!$B$31),Design!$B$30/4,Design!$B$31/4)*1000000) * ($B9+D9-C9*O9/1000) - (D9+C9*(1+($A9-25)*Constants!$C$32/100)*IF(ISBLANK(Design!$B$41),Constants!$C$6/1000,Design!$B$41/1000)),   (1-Constants!$C$20/1000000000*IF(ISBLANK(Design!$B$31),Design!$B$30,Design!$B$31)*1000000) * ($B9+D9-C9*O9/1000) - (D9+C9*(1+($A9-25)*Constants!$C$32/100)*IF(ISBLANK(Design!$B$41),Constants!$C$6/1000,Design!$B$41/1000)) )</f>
        <v>7.9182685308944123</v>
      </c>
      <c r="Q9" s="171">
        <f ca="1">IF(P9&gt;Design!$C$27,Design!$C$27,P9)</f>
        <v>4.9936842105263155</v>
      </c>
      <c r="R9" s="181">
        <f>2*Design!$D$6/3</f>
        <v>2</v>
      </c>
      <c r="S9" s="116">
        <f ca="1">FORECAST(R9, OFFSET(Design!$C$14:$C$16,MATCH(R9,Design!$B$14:$B$16,1)-1,0,2), OFFSET(Design!$B$14:$B$16,MATCH(R9,Design!$B$14:$B$16,1)-1,0,2))+(AB9-25)*Design!$B$17/1000</f>
        <v>0.37864995533660162</v>
      </c>
      <c r="T9" s="182">
        <f ca="1">IF(100*(Design!$C$27+S9+R9*IF(ISBLANK(Design!$B$41),Constants!$C$6,Design!$B$41)/1000*(1+Constants!$C$32/100*(AC9-25)))/($B9+S9-R9*AD9/1000)&gt;Design!$C$34,Design!$C$35,100*(Design!$C$27+S9+R9*IF(ISBLANK(Design!$B$41),Constants!$C$6,Design!$B$41)/1000*(1+Constants!$C$32/100*(AC9-25)))/($B9+S9-R9*AD9/1000))</f>
        <v>50.539781954523541</v>
      </c>
      <c r="U9" s="117">
        <f ca="1">IF(($B9-R9*IF(ISBLANK(Design!$B$41),Constants!$C$6,Design!$B$41)/1000*(1+Constants!$C$32/100*(AC9-25))-Design!$C$27)/(Design!$B$40/1000000)*T9/100/(IF(ISBLANK(IF(ISBLANK(Design!$B$40),Design!$B$38,Design!$B$40)),Design!$B$30,Design!$B$31)*1000000)&lt;0,0,($B9-R9*IF(ISBLANK(Design!$B$41),Constants!$C$6,Design!$B$41)/1000*(1+Constants!$C$32/100*(AC9-25))-Design!$C$27)/(IF(ISBLANK(Design!$B$40),Design!$B$38,Design!$B$40)/1000000)*T9/100/(IF(ISBLANK(Design!$B$31),Design!$B$30,Design!$B$31)*1000000))</f>
        <v>0.42324586957277766</v>
      </c>
      <c r="V9" s="183">
        <f>$B9*Constants!$C$21/1000+IF(ISBLANK(Design!$B$31),Design!$B$30,Design!$B$31)*1000000*Constants!$D$25/1000000000*($B9-Constants!$C$24)</f>
        <v>8.9524999999999938E-2</v>
      </c>
      <c r="W9" s="183">
        <f>$B9*R9*($B9/(Constants!$C$26*1000000000)*IF(ISBLANK(Design!$B$31),Design!$B$30,Design!$B$31)*1000000/2+$B9/(Constants!$C$27*1000000000)*IF(ISBLANK(Design!$B$31),Design!$B$30,Design!$B$31)*1000000/2)</f>
        <v>0.69624114583333274</v>
      </c>
      <c r="X9" s="183">
        <f t="shared" ca="1" si="1"/>
        <v>0.42703772704536008</v>
      </c>
      <c r="Y9" s="183">
        <f>Constants!$D$25/1000000000*Constants!$C$24*IF(ISBLANK(Design!$B$31),Design!$B$30,Design!$B$31)*1000000</f>
        <v>5.2499999999999998E-2</v>
      </c>
      <c r="Z9" s="183">
        <f t="shared" ca="1" si="10"/>
        <v>1.2653038728786927</v>
      </c>
      <c r="AA9" s="183">
        <f t="shared" ca="1" si="7"/>
        <v>0.37456218707716477</v>
      </c>
      <c r="AB9" s="184">
        <f ca="1">$A9+AA9*Design!$B$18</f>
        <v>106.35004466339839</v>
      </c>
      <c r="AC9" s="184">
        <f ca="1">Z9*Design!$C$11+$A9</f>
        <v>131.81624329651163</v>
      </c>
      <c r="AD9" s="184">
        <f ca="1">Constants!$D$22+Constants!$D$22*Constants!$C$23/100*(AC9-25)</f>
        <v>210.45299463720931</v>
      </c>
      <c r="AE9" s="183">
        <f ca="1">IF(100*(Design!$C$27+S9+R9*IF(ISBLANK(Design!$B$41),Constants!$C$6,Design!$B$41)/1000*(1+Constants!$C$32/100*(AC9-25)))/($B9+S9-R9*AD9/1000)&gt;Design!$C$34,  (1-Constants!$C$20/1000000000*IF(ISBLANK(Design!$B$31),Design!$B$30/4,Design!$B$31/4)*1000000) * ($B9+S9-R9*AD9/1000) - (S9+R9*(1+($A9-25)*Constants!$C$32/100)*IF(ISBLANK(Design!$B$41),Constants!$C$6/1000,Design!$B$41/1000)),   (1-Constants!$C$20/1000000000*IF(ISBLANK(Design!$B$31),Design!$B$30,Design!$B$31)*1000000) * ($B9+S9-R9*AD9/1000) - (S9+R9*(1+($A9-25)*Constants!$C$32/100)*IF(ISBLANK(Design!$B$41),Constants!$C$6/1000,Design!$B$41/1000)) )</f>
        <v>8.2217645894961731</v>
      </c>
      <c r="AF9" s="117">
        <f ca="1">IF(AE9&gt;Design!$C$27,Design!$C$27,AE9)</f>
        <v>4.9936842105263155</v>
      </c>
      <c r="AG9" s="118">
        <f>Design!$D$6/3</f>
        <v>1</v>
      </c>
      <c r="AH9" s="118">
        <f ca="1">FORECAST(AG9, OFFSET(Design!$C$14:$C$16,MATCH(AG9,Design!$B$14:$B$16,1)-1,0,2), OFFSET(Design!$B$14:$B$16,MATCH(AG9,Design!$B$14:$B$16,1)-1,0,2))+(AQ9-25)*Design!$B$17/1000</f>
        <v>0.31304568149419282</v>
      </c>
      <c r="AI9" s="194">
        <f ca="1">IF(100*(Design!$C$27+AH9+AG9*IF(ISBLANK(Design!$B$41),Constants!$C$6,Design!$B$41)/1000*(1+Constants!$C$32/100*(AR9-25)))/($B9+AH9-AG9*AS9/1000)&gt;Design!$C$34,Design!$C$35,100*(Design!$C$27+AH9+AG9*IF(ISBLANK(Design!$B$41),Constants!$C$6,Design!$B$41)/1000*(1+Constants!$C$32/100*(AR9-25)))/($B9+AH9-AG9*AS9/1000))</f>
        <v>48.572380290129061</v>
      </c>
      <c r="AJ9" s="119">
        <f ca="1">IF(($B9-AG9*IF(ISBLANK(Design!$B$41),Constants!$C$6,Design!$B$41)/1000*(1+Constants!$C$32/100*(AR9-25))-Design!$C$27)/(IF(ISBLANK(Design!$B$40),Design!$B$38,Design!$B$40)/1000000)*AI9/100/(IF(ISBLANK(Design!$B$31),Design!$B$30,Design!$B$31)*1000000)&lt;0,0,($B9-AG9*IF(ISBLANK(Design!$B$41),Constants!$C$6,Design!$B$41)/1000*(1+Constants!$C$32/100*(AR9-25))-Design!$C$27)/(IF(ISBLANK(Design!$B$40),Design!$B$38,Design!$B$40)/1000000)*AI9/100/(IF(ISBLANK(Design!$B$31),Design!$B$30,Design!$B$31)*1000000))</f>
        <v>0.41156045305220745</v>
      </c>
      <c r="AK9" s="195">
        <f>$B9*Constants!$C$21/1000+IF(ISBLANK(Design!$B$31),Design!$B$30,Design!$B$31)*1000000*Constants!$D$25/1000000000*($B9-Constants!$C$24)</f>
        <v>8.9524999999999938E-2</v>
      </c>
      <c r="AL9" s="195">
        <f>$B9*AG9*($B9/(Constants!$C$26*1000000000)*IF(ISBLANK(Design!$B$31),Design!$B$30,Design!$B$31)*1000000/2+$B9/(Constants!$C$27*1000000000)*IF(ISBLANK(Design!$B$31),Design!$B$30,Design!$B$31)*1000000/2)</f>
        <v>0.34812057291666637</v>
      </c>
      <c r="AM9" s="195">
        <f t="shared" ca="1" si="2"/>
        <v>9.3729428718092714E-2</v>
      </c>
      <c r="AN9" s="195">
        <f>Constants!$D$25/1000000000*Constants!$C$24*IF(ISBLANK(Design!$B$31),Design!$B$30,Design!$B$31)*1000000</f>
        <v>5.2499999999999998E-2</v>
      </c>
      <c r="AO9" s="195">
        <f t="shared" ca="1" si="11"/>
        <v>0.58387500163475903</v>
      </c>
      <c r="AP9" s="195">
        <f t="shared" ca="1" si="9"/>
        <v>0.16099194259700728</v>
      </c>
      <c r="AQ9" s="196">
        <f ca="1">$A9+AP9*Design!$B$18</f>
        <v>94.176540728029408</v>
      </c>
      <c r="AR9" s="196">
        <f ca="1">AO9*Design!$C$11+$A9</f>
        <v>106.60337506048609</v>
      </c>
      <c r="AS9" s="196">
        <f ca="1">Constants!$D$22+Constants!$D$22*Constants!$C$23/100*(AR9-25)</f>
        <v>190.28270004838888</v>
      </c>
      <c r="AT9" s="195">
        <f ca="1">IF(100*(Design!$C$27+AH9+AG9*IF(ISBLANK(Design!$B$41),Constants!$C$6,Design!$B$41)/1000*(1+Constants!$C$32/100*(AR9-25)))/($B9+AH9-AG9*AS9/1000)&gt;Design!$C$34,  (1-Constants!$C$20/1000000000*IF(ISBLANK(Design!$B$31),Design!$B$30/4,Design!$B$31/4)*1000000) * ($B9+AH9-AG9*AS9/1000) - (AH9+AG9*(1+($A9-25)*Constants!$C$32/100)*IF(ISBLANK(Design!$B$41),Constants!$C$6/1000,Design!$B$41/1000)),   (1-Constants!$C$20/1000000000*IF(ISBLANK(Design!$B$31),Design!$B$30,Design!$B$31)*1000000) * ($B9+AH9-AG9*AS9/1000) - (AH9+AG9*(1+($A9-25)*Constants!$C$32/100)*IF(ISBLANK(Design!$B$41),Constants!$C$6/1000,Design!$B$41/1000)) )</f>
        <v>8.475077585153171</v>
      </c>
      <c r="AU9" s="119">
        <f ca="1">IF(AT9&gt;Design!$C$27,Design!$C$27,AT9)</f>
        <v>4.9936842105263155</v>
      </c>
    </row>
    <row r="10" spans="1:47" s="120" customFormat="1" ht="12.75" customHeight="1" x14ac:dyDescent="0.25">
      <c r="A10" s="112">
        <f>Design!$D$12</f>
        <v>85</v>
      </c>
      <c r="B10" s="113">
        <f t="shared" si="3"/>
        <v>10.709999999999996</v>
      </c>
      <c r="C10" s="114">
        <f>Design!$D$6</f>
        <v>3</v>
      </c>
      <c r="D10" s="114">
        <f ca="1">FORECAST(C10, OFFSET(Design!$C$14:$C$16,MATCH(C10,Design!$B$14:$B$16,1)-1,0,2), OFFSET(Design!$B$14:$B$16,MATCH(C10,Design!$B$14:$B$16,1)-1,0,2))+(M10-25)*Design!$B$17/1000</f>
        <v>0.39397894015293311</v>
      </c>
      <c r="E10" s="173">
        <f ca="1">IF(100*(Design!$C$27+D10+C10*IF(ISBLANK(Design!$B$41),Constants!$C$6,Design!$B$41)/1000*(1+Constants!$C$32/100*(N10-25)))/($B10+D10-C10*O10/1000)&gt;Design!$C$34,Design!$C$35,100*(Design!$C$27+D10+C10*IF(ISBLANK(Design!$B$41),Constants!$C$6,Design!$B$41)/1000*(1+Constants!$C$32/100*(N10-25)))/($B10+D10-C10*O10/1000))</f>
        <v>53.954466033749306</v>
      </c>
      <c r="F10" s="115">
        <f ca="1">IF(($B10-C10*IF(ISBLANK(Design!$B$41),Constants!$C$6,Design!$B$41)/1000*(1+Constants!$C$32/100*(N10-25))-Design!$C$27)/(IF(ISBLANK(Design!$B$40),Design!$B$38,Design!$B$40)/1000000)*E10/100/(IF(ISBLANK(Design!$B$31),Design!$B$30,Design!$B$31)*1000000)&lt;0, 0, ($B10-C10*IF(ISBLANK(Design!$B$41),Constants!$C$6,Design!$B$41)/1000*(1+Constants!$C$32/100*(N10-25))-Design!$C$27)/(IF(ISBLANK(Design!$B$40),Design!$B$38,Design!$B$40)/1000000)*E10/100/(IF(ISBLANK(Design!$B$31),Design!$B$30,Design!$B$31)*1000000))</f>
        <v>0.42851964923035596</v>
      </c>
      <c r="G10" s="165">
        <f>B10*Constants!$C$21/1000+IF(ISBLANK(Design!$B$31),Design!$B$30,Design!$B$31)*1000000*Constants!$D$25/1000000000*(B10-Constants!$C$24)</f>
        <v>8.6729999999999946E-2</v>
      </c>
      <c r="H10" s="165">
        <f>B10*C10*(B10/(Constants!$C$26*1000000000)*IF(ISBLANK(Design!$B$31),Design!$B$30,Design!$B$31)*1000000/2+B10/(Constants!$C$27*1000000000)*IF(ISBLANK(Design!$B$31),Design!$B$30,Design!$B$31)*1000000/2)</f>
        <v>1.0036608749999993</v>
      </c>
      <c r="I10" s="165">
        <f t="shared" ca="1" si="0"/>
        <v>1.1752654035499592</v>
      </c>
      <c r="J10" s="165">
        <f>Constants!$D$25/1000000000*Constants!$C$24*IF(ISBLANK(Design!$B$31),Design!$B$30,Design!$B$31)*1000000</f>
        <v>5.2499999999999998E-2</v>
      </c>
      <c r="K10" s="165">
        <f t="shared" ca="1" si="4"/>
        <v>2.3181562785499588</v>
      </c>
      <c r="L10" s="165">
        <f t="shared" ca="1" si="5"/>
        <v>0.54422912012397995</v>
      </c>
      <c r="M10" s="166">
        <f ca="1">A10+L10*Design!$B$18</f>
        <v>116.02105984706685</v>
      </c>
      <c r="N10" s="166">
        <f ca="1">K10*Design!$C$11+A10</f>
        <v>170.77178230634848</v>
      </c>
      <c r="O10" s="166">
        <f ca="1">Constants!$D$22+Constants!$D$22*Constants!$C$23/100*(N10-25)</f>
        <v>241.6174258450788</v>
      </c>
      <c r="P10" s="165">
        <f ca="1">IF(100*(Design!$C$27+D10+C10*IF(ISBLANK(Design!$B$41),Constants!$C$6,Design!$B$41)/1000*(1+Constants!$C$32/100*(N10-25)))/($B10+D10-C10*O10/1000)&gt;Design!$C$34,  (1-Constants!$C$20/1000000000*IF(ISBLANK(Design!$B$31),Design!$B$30/4,Design!$B$31/4)*1000000) * ($B10+D10-C10*O10/1000) - (D10+C10*(1+($A10-25)*Constants!$C$32/100)*IF(ISBLANK(Design!$B$41),Constants!$C$6/1000,Design!$B$41/1000)),   (1-Constants!$C$20/1000000000*IF(ISBLANK(Design!$B$31),Design!$B$30,Design!$B$31)*1000000) * ($B10+D10-C10*O10/1000) - (D10+C10*(1+($A10-25)*Constants!$C$32/100)*IF(ISBLANK(Design!$B$41),Constants!$C$6/1000,Design!$B$41/1000)) )</f>
        <v>7.7476789532725308</v>
      </c>
      <c r="Q10" s="171">
        <f ca="1">IF(P10&gt;Design!$C$27,Design!$C$27,P10)</f>
        <v>4.9936842105263155</v>
      </c>
      <c r="R10" s="181">
        <f>2*Design!$D$6/3</f>
        <v>2</v>
      </c>
      <c r="S10" s="116">
        <f ca="1">FORECAST(R10, OFFSET(Design!$C$14:$C$16,MATCH(R10,Design!$B$14:$B$16,1)-1,0,2), OFFSET(Design!$B$14:$B$16,MATCH(R10,Design!$B$14:$B$16,1)-1,0,2))+(AB10-25)*Design!$B$17/1000</f>
        <v>0.37906357625583625</v>
      </c>
      <c r="T10" s="182">
        <f ca="1">IF(100*(Design!$C$27+S10+R10*IF(ISBLANK(Design!$B$41),Constants!$C$6,Design!$B$41)/1000*(1+Constants!$C$32/100*(AC10-25)))/($B10+S10-R10*AD10/1000)&gt;Design!$C$34,Design!$C$35,100*(Design!$C$27+S10+R10*IF(ISBLANK(Design!$B$41),Constants!$C$6,Design!$B$41)/1000*(1+Constants!$C$32/100*(AC10-25)))/($B10+S10-R10*AD10/1000))</f>
        <v>51.550913523504768</v>
      </c>
      <c r="U10" s="117">
        <f ca="1">IF(($B10-R10*IF(ISBLANK(Design!$B$41),Constants!$C$6,Design!$B$41)/1000*(1+Constants!$C$32/100*(AC10-25))-Design!$C$27)/(Design!$B$40/1000000)*T10/100/(IF(ISBLANK(IF(ISBLANK(Design!$B$40),Design!$B$38,Design!$B$40)),Design!$B$30,Design!$B$31)*1000000)&lt;0,0,($B10-R10*IF(ISBLANK(Design!$B$41),Constants!$C$6,Design!$B$41)/1000*(1+Constants!$C$32/100*(AC10-25))-Design!$C$27)/(IF(ISBLANK(Design!$B$40),Design!$B$38,Design!$B$40)/1000000)*T10/100/(IF(ISBLANK(Design!$B$31),Design!$B$30,Design!$B$31)*1000000))</f>
        <v>0.41574240735026696</v>
      </c>
      <c r="V10" s="183">
        <f>$B10*Constants!$C$21/1000+IF(ISBLANK(Design!$B$31),Design!$B$30,Design!$B$31)*1000000*Constants!$D$25/1000000000*($B10-Constants!$C$24)</f>
        <v>8.6729999999999946E-2</v>
      </c>
      <c r="W10" s="183">
        <f>$B10*R10*($B10/(Constants!$C$26*1000000000)*IF(ISBLANK(Design!$B$31),Design!$B$30,Design!$B$31)*1000000/2+$B10/(Constants!$C$27*1000000000)*IF(ISBLANK(Design!$B$31),Design!$B$30,Design!$B$31)*1000000/2)</f>
        <v>0.66910724999999949</v>
      </c>
      <c r="X10" s="183">
        <f t="shared" ca="1" si="1"/>
        <v>0.43412523111024898</v>
      </c>
      <c r="Y10" s="183">
        <f>Constants!$D$25/1000000000*Constants!$C$24*IF(ISBLANK(Design!$B$31),Design!$B$30,Design!$B$31)*1000000</f>
        <v>5.2499999999999998E-2</v>
      </c>
      <c r="Z10" s="183">
        <f t="shared" ca="1" si="10"/>
        <v>1.2424624811102485</v>
      </c>
      <c r="AA10" s="183">
        <f t="shared" ca="1" si="7"/>
        <v>0.3673056797221711</v>
      </c>
      <c r="AB10" s="184">
        <f ca="1">$A10+AA10*Design!$B$18</f>
        <v>105.93642374416376</v>
      </c>
      <c r="AC10" s="184">
        <f ca="1">Z10*Design!$C$11+$A10</f>
        <v>130.97111180107919</v>
      </c>
      <c r="AD10" s="184">
        <f ca="1">Constants!$D$22+Constants!$D$22*Constants!$C$23/100*(AC10-25)</f>
        <v>209.77688944086336</v>
      </c>
      <c r="AE10" s="183">
        <f ca="1">IF(100*(Design!$C$27+S10+R10*IF(ISBLANK(Design!$B$41),Constants!$C$6,Design!$B$41)/1000*(1+Constants!$C$32/100*(AC10-25)))/($B10+S10-R10*AD10/1000)&gt;Design!$C$34,  (1-Constants!$C$20/1000000000*IF(ISBLANK(Design!$B$31),Design!$B$30/4,Design!$B$31/4)*1000000) * ($B10+S10-R10*AD10/1000) - (S10+R10*(1+($A10-25)*Constants!$C$32/100)*IF(ISBLANK(Design!$B$41),Constants!$C$6/1000,Design!$B$41/1000)),   (1-Constants!$C$20/1000000000*IF(ISBLANK(Design!$B$31),Design!$B$30,Design!$B$31)*1000000) * ($B10+S10-R10*AD10/1000) - (S10+R10*(1+($A10-25)*Constants!$C$32/100)*IF(ISBLANK(Design!$B$41),Constants!$C$6/1000,Design!$B$41/1000)) )</f>
        <v>8.0506570165421341</v>
      </c>
      <c r="AF10" s="117">
        <f ca="1">IF(AE10&gt;Design!$C$27,Design!$C$27,AE10)</f>
        <v>4.9936842105263155</v>
      </c>
      <c r="AG10" s="118">
        <f>Design!$D$6/3</f>
        <v>1</v>
      </c>
      <c r="AH10" s="118">
        <f ca="1">FORECAST(AG10, OFFSET(Design!$C$14:$C$16,MATCH(AG10,Design!$B$14:$B$16,1)-1,0,2), OFFSET(Design!$B$14:$B$16,MATCH(AG10,Design!$B$14:$B$16,1)-1,0,2))+(AQ10-25)*Design!$B$17/1000</f>
        <v>0.31321252190404075</v>
      </c>
      <c r="AI10" s="194">
        <f ca="1">IF(100*(Design!$C$27+AH10+AG10*IF(ISBLANK(Design!$B$41),Constants!$C$6,Design!$B$41)/1000*(1+Constants!$C$32/100*(AR10-25)))/($B10+AH10-AG10*AS10/1000)&gt;Design!$C$34,Design!$C$35,100*(Design!$C$27+AH10+AG10*IF(ISBLANK(Design!$B$41),Constants!$C$6,Design!$B$41)/1000*(1+Constants!$C$32/100*(AR10-25)))/($B10+AH10-AG10*AS10/1000))</f>
        <v>49.534291636252036</v>
      </c>
      <c r="AJ10" s="119">
        <f ca="1">IF(($B10-AG10*IF(ISBLANK(Design!$B$41),Constants!$C$6,Design!$B$41)/1000*(1+Constants!$C$32/100*(AR10-25))-Design!$C$27)/(IF(ISBLANK(Design!$B$40),Design!$B$38,Design!$B$40)/1000000)*AI10/100/(IF(ISBLANK(Design!$B$31),Design!$B$30,Design!$B$31)*1000000)&lt;0,0,($B10-AG10*IF(ISBLANK(Design!$B$41),Constants!$C$6,Design!$B$41)/1000*(1+Constants!$C$32/100*(AR10-25))-Design!$C$27)/(IF(ISBLANK(Design!$B$40),Design!$B$38,Design!$B$40)/1000000)*AI10/100/(IF(ISBLANK(Design!$B$31),Design!$B$30,Design!$B$31)*1000000))</f>
        <v>0.40434998722339383</v>
      </c>
      <c r="AK10" s="195">
        <f>$B10*Constants!$C$21/1000+IF(ISBLANK(Design!$B$31),Design!$B$30,Design!$B$31)*1000000*Constants!$D$25/1000000000*($B10-Constants!$C$24)</f>
        <v>8.6729999999999946E-2</v>
      </c>
      <c r="AL10" s="195">
        <f>$B10*AG10*($B10/(Constants!$C$26*1000000000)*IF(ISBLANK(Design!$B$31),Design!$B$30,Design!$B$31)*1000000/2+$B10/(Constants!$C$27*1000000000)*IF(ISBLANK(Design!$B$31),Design!$B$30,Design!$B$31)*1000000/2)</f>
        <v>0.33455362499999974</v>
      </c>
      <c r="AM10" s="195">
        <f t="shared" ca="1" si="2"/>
        <v>9.5319873045182815E-2</v>
      </c>
      <c r="AN10" s="195">
        <f>Constants!$D$25/1000000000*Constants!$C$24*IF(ISBLANK(Design!$B$31),Design!$B$30,Design!$B$31)*1000000</f>
        <v>5.2499999999999998E-2</v>
      </c>
      <c r="AO10" s="195">
        <f t="shared" ca="1" si="11"/>
        <v>0.56910349804518257</v>
      </c>
      <c r="AP10" s="195">
        <f t="shared" ca="1" si="9"/>
        <v>0.15806491786283342</v>
      </c>
      <c r="AQ10" s="196">
        <f ca="1">$A10+AP10*Design!$B$18</f>
        <v>94.009700318181501</v>
      </c>
      <c r="AR10" s="196">
        <f ca="1">AO10*Design!$C$11+$A10</f>
        <v>106.05682942767176</v>
      </c>
      <c r="AS10" s="196">
        <f ca="1">Constants!$D$22+Constants!$D$22*Constants!$C$23/100*(AR10-25)</f>
        <v>189.8454635421374</v>
      </c>
      <c r="AT10" s="195">
        <f ca="1">IF(100*(Design!$C$27+AH10+AG10*IF(ISBLANK(Design!$B$41),Constants!$C$6,Design!$B$41)/1000*(1+Constants!$C$32/100*(AR10-25)))/($B10+AH10-AG10*AS10/1000)&gt;Design!$C$34,  (1-Constants!$C$20/1000000000*IF(ISBLANK(Design!$B$31),Design!$B$30/4,Design!$B$31/4)*1000000) * ($B10+AH10-AG10*AS10/1000) - (AH10+AG10*(1+($A10-25)*Constants!$C$32/100)*IF(ISBLANK(Design!$B$41),Constants!$C$6/1000,Design!$B$41/1000)),   (1-Constants!$C$20/1000000000*IF(ISBLANK(Design!$B$31),Design!$B$30,Design!$B$31)*1000000) * ($B10+AH10-AG10*AS10/1000) - (AH10+AG10*(1+($A10-25)*Constants!$C$32/100)*IF(ISBLANK(Design!$B$41),Constants!$C$6/1000,Design!$B$41/1000)) )</f>
        <v>8.3032868083146578</v>
      </c>
      <c r="AU10" s="119">
        <f ca="1">IF(AT10&gt;Design!$C$27,Design!$C$27,AT10)</f>
        <v>4.9936842105263155</v>
      </c>
    </row>
    <row r="11" spans="1:47" s="120" customFormat="1" ht="12.75" customHeight="1" x14ac:dyDescent="0.25">
      <c r="A11" s="112">
        <f>Design!$D$12</f>
        <v>85</v>
      </c>
      <c r="B11" s="113">
        <f t="shared" si="3"/>
        <v>10.494999999999996</v>
      </c>
      <c r="C11" s="114">
        <f>Design!$D$6</f>
        <v>3</v>
      </c>
      <c r="D11" s="114">
        <f ca="1">FORECAST(C11, OFFSET(Design!$C$14:$C$16,MATCH(C11,Design!$B$14:$B$16,1)-1,0,2), OFFSET(Design!$B$14:$B$16,MATCH(C11,Design!$B$14:$B$16,1)-1,0,2))+(M11-25)*Design!$B$17/1000</f>
        <v>0.39468596708209536</v>
      </c>
      <c r="E11" s="173">
        <f ca="1">IF(100*(Design!$C$27+D11+C11*IF(ISBLANK(Design!$B$41),Constants!$C$6,Design!$B$41)/1000*(1+Constants!$C$32/100*(N11-25)))/($B11+D11-C11*O11/1000)&gt;Design!$C$34,Design!$C$35,100*(Design!$C$27+D11+C11*IF(ISBLANK(Design!$B$41),Constants!$C$6,Design!$B$41)/1000*(1+Constants!$C$32/100*(N11-25)))/($B11+D11-C11*O11/1000))</f>
        <v>55.084532745330094</v>
      </c>
      <c r="F11" s="115">
        <f ca="1">IF(($B11-C11*IF(ISBLANK(Design!$B$41),Constants!$C$6,Design!$B$41)/1000*(1+Constants!$C$32/100*(N11-25))-Design!$C$27)/(IF(ISBLANK(Design!$B$40),Design!$B$38,Design!$B$40)/1000000)*E11/100/(IF(ISBLANK(Design!$B$31),Design!$B$30,Design!$B$31)*1000000)&lt;0, 0, ($B11-C11*IF(ISBLANK(Design!$B$41),Constants!$C$6,Design!$B$41)/1000*(1+Constants!$C$32/100*(N11-25))-Design!$C$27)/(IF(ISBLANK(Design!$B$40),Design!$B$38,Design!$B$40)/1000000)*E11/100/(IF(ISBLANK(Design!$B$31),Design!$B$30,Design!$B$31)*1000000))</f>
        <v>0.42043839476275047</v>
      </c>
      <c r="G11" s="165">
        <f>B11*Constants!$C$21/1000+IF(ISBLANK(Design!$B$31),Design!$B$30,Design!$B$31)*1000000*Constants!$D$25/1000000000*(B11-Constants!$C$24)</f>
        <v>8.3934999999999954E-2</v>
      </c>
      <c r="H11" s="165">
        <f>B11*C11*(B11/(Constants!$C$26*1000000000)*IF(ISBLANK(Design!$B$31),Design!$B$30,Design!$B$31)*1000000/2+B11/(Constants!$C$27*1000000000)*IF(ISBLANK(Design!$B$31),Design!$B$30,Design!$B$31)*1000000/2)</f>
        <v>0.96376896874999918</v>
      </c>
      <c r="I11" s="165">
        <f t="shared" ca="1" si="0"/>
        <v>1.1966780278861995</v>
      </c>
      <c r="J11" s="165">
        <f>Constants!$D$25/1000000000*Constants!$C$24*IF(ISBLANK(Design!$B$31),Design!$B$30,Design!$B$31)*1000000</f>
        <v>5.2499999999999998E-2</v>
      </c>
      <c r="K11" s="165">
        <f t="shared" ca="1" si="4"/>
        <v>2.2968819966361989</v>
      </c>
      <c r="L11" s="165">
        <f t="shared" ca="1" si="5"/>
        <v>0.53182513891060734</v>
      </c>
      <c r="M11" s="166">
        <f ca="1">A11+L11*Design!$B$18</f>
        <v>115.31403291790463</v>
      </c>
      <c r="N11" s="166">
        <f ca="1">K11*Design!$C$11+A11</f>
        <v>169.98463387553937</v>
      </c>
      <c r="O11" s="166">
        <f ca="1">Constants!$D$22+Constants!$D$22*Constants!$C$23/100*(N11-25)</f>
        <v>240.98770710043152</v>
      </c>
      <c r="P11" s="165">
        <f ca="1">IF(100*(Design!$C$27+D11+C11*IF(ISBLANK(Design!$B$41),Constants!$C$6,Design!$B$41)/1000*(1+Constants!$C$32/100*(N11-25)))/($B11+D11-C11*O11/1000)&gt;Design!$C$34,  (1-Constants!$C$20/1000000000*IF(ISBLANK(Design!$B$31),Design!$B$30/4,Design!$B$31/4)*1000000) * ($B11+D11-C11*O11/1000) - (D11+C11*(1+($A11-25)*Constants!$C$32/100)*IF(ISBLANK(Design!$B$41),Constants!$C$6/1000,Design!$B$41/1000)),   (1-Constants!$C$20/1000000000*IF(ISBLANK(Design!$B$31),Design!$B$30,Design!$B$31)*1000000) * ($B11+D11-C11*O11/1000) - (D11+C11*(1+($A11-25)*Constants!$C$32/100)*IF(ISBLANK(Design!$B$41),Constants!$C$6/1000,Design!$B$41/1000)) )</f>
        <v>7.5769426709654315</v>
      </c>
      <c r="Q11" s="171">
        <f ca="1">IF(P11&gt;Design!$C$27,Design!$C$27,P11)</f>
        <v>4.9936842105263155</v>
      </c>
      <c r="R11" s="181">
        <f>2*Design!$D$6/3</f>
        <v>2</v>
      </c>
      <c r="S11" s="116">
        <f ca="1">FORECAST(R11, OFFSET(Design!$C$14:$C$16,MATCH(R11,Design!$B$14:$B$16,1)-1,0,2), OFFSET(Design!$B$14:$B$16,MATCH(R11,Design!$B$14:$B$16,1)-1,0,2))+(AB11-25)*Design!$B$17/1000</f>
        <v>0.37949521529769481</v>
      </c>
      <c r="T11" s="182">
        <f ca="1">IF(100*(Design!$C$27+S11+R11*IF(ISBLANK(Design!$B$41),Constants!$C$6,Design!$B$41)/1000*(1+Constants!$C$32/100*(AC11-25)))/($B11+S11-R11*AD11/1000)&gt;Design!$C$34,Design!$C$35,100*(Design!$C$27+S11+R11*IF(ISBLANK(Design!$B$41),Constants!$C$6,Design!$B$41)/1000*(1+Constants!$C$32/100*(AC11-25)))/($B11+S11-R11*AD11/1000))</f>
        <v>52.603741700599421</v>
      </c>
      <c r="U11" s="117">
        <f ca="1">IF(($B11-R11*IF(ISBLANK(Design!$B$41),Constants!$C$6,Design!$B$41)/1000*(1+Constants!$C$32/100*(AC11-25))-Design!$C$27)/(Design!$B$40/1000000)*T11/100/(IF(ISBLANK(IF(ISBLANK(Design!$B$40),Design!$B$38,Design!$B$40)),Design!$B$30,Design!$B$31)*1000000)&lt;0,0,($B11-R11*IF(ISBLANK(Design!$B$41),Constants!$C$6,Design!$B$41)/1000*(1+Constants!$C$32/100*(AC11-25))-Design!$C$27)/(IF(ISBLANK(Design!$B$40),Design!$B$38,Design!$B$40)/1000000)*T11/100/(IF(ISBLANK(Design!$B$31),Design!$B$30,Design!$B$31)*1000000))</f>
        <v>0.40793489119487958</v>
      </c>
      <c r="V11" s="183">
        <f>$B11*Constants!$C$21/1000+IF(ISBLANK(Design!$B$31),Design!$B$30,Design!$B$31)*1000000*Constants!$D$25/1000000000*($B11-Constants!$C$24)</f>
        <v>8.3934999999999954E-2</v>
      </c>
      <c r="W11" s="183">
        <f>$B11*R11*($B11/(Constants!$C$26*1000000000)*IF(ISBLANK(Design!$B$31),Design!$B$30,Design!$B$31)*1000000/2+$B11/(Constants!$C$27*1000000000)*IF(ISBLANK(Design!$B$31),Design!$B$30,Design!$B$31)*1000000/2)</f>
        <v>0.64251264583333279</v>
      </c>
      <c r="X11" s="183">
        <f t="shared" ca="1" si="1"/>
        <v>0.44156012357346841</v>
      </c>
      <c r="Y11" s="183">
        <f>Constants!$D$25/1000000000*Constants!$C$24*IF(ISBLANK(Design!$B$31),Design!$B$30,Design!$B$31)*1000000</f>
        <v>5.2499999999999998E-2</v>
      </c>
      <c r="Z11" s="183">
        <f t="shared" ca="1" si="10"/>
        <v>1.2205077694068012</v>
      </c>
      <c r="AA11" s="183">
        <f t="shared" ca="1" si="7"/>
        <v>0.3597330649527235</v>
      </c>
      <c r="AB11" s="184">
        <f ca="1">$A11+AA11*Design!$B$18</f>
        <v>105.50478470230524</v>
      </c>
      <c r="AC11" s="184">
        <f ca="1">Z11*Design!$C$11+$A11</f>
        <v>130.15878746805163</v>
      </c>
      <c r="AD11" s="184">
        <f ca="1">Constants!$D$22+Constants!$D$22*Constants!$C$23/100*(AC11-25)</f>
        <v>209.12702997444131</v>
      </c>
      <c r="AE11" s="183">
        <f ca="1">IF(100*(Design!$C$27+S11+R11*IF(ISBLANK(Design!$B$41),Constants!$C$6,Design!$B$41)/1000*(1+Constants!$C$32/100*(AC11-25)))/($B11+S11-R11*AD11/1000)&gt;Design!$C$34,  (1-Constants!$C$20/1000000000*IF(ISBLANK(Design!$B$31),Design!$B$30/4,Design!$B$31/4)*1000000) * ($B11+S11-R11*AD11/1000) - (S11+R11*(1+($A11-25)*Constants!$C$32/100)*IF(ISBLANK(Design!$B$41),Constants!$C$6/1000,Design!$B$41/1000)),   (1-Constants!$C$20/1000000000*IF(ISBLANK(Design!$B$31),Design!$B$30,Design!$B$31)*1000000) * ($B11+S11-R11*AD11/1000) - (S11+R11*(1+($A11-25)*Constants!$C$32/100)*IF(ISBLANK(Design!$B$41),Constants!$C$6/1000,Design!$B$41/1000)) )</f>
        <v>7.8795038295590256</v>
      </c>
      <c r="AF11" s="117">
        <f ca="1">IF(AE11&gt;Design!$C$27,Design!$C$27,AE11)</f>
        <v>4.9936842105263155</v>
      </c>
      <c r="AG11" s="118">
        <f>Design!$D$6/3</f>
        <v>1</v>
      </c>
      <c r="AH11" s="118">
        <f ca="1">FORECAST(AG11, OFFSET(Design!$C$14:$C$16,MATCH(AG11,Design!$B$14:$B$16,1)-1,0,2), OFFSET(Design!$B$14:$B$16,MATCH(AG11,Design!$B$14:$B$16,1)-1,0,2))+(AQ11-25)*Design!$B$17/1000</f>
        <v>0.31338630567716741</v>
      </c>
      <c r="AI11" s="194">
        <f ca="1">IF(100*(Design!$C$27+AH11+AG11*IF(ISBLANK(Design!$B$41),Constants!$C$6,Design!$B$41)/1000*(1+Constants!$C$32/100*(AR11-25)))/($B11+AH11-AG11*AS11/1000)&gt;Design!$C$34,Design!$C$35,100*(Design!$C$27+AH11+AG11*IF(ISBLANK(Design!$B$41),Constants!$C$6,Design!$B$41)/1000*(1+Constants!$C$32/100*(AR11-25)))/($B11+AH11-AG11*AS11/1000))</f>
        <v>50.535145623914985</v>
      </c>
      <c r="AJ11" s="119">
        <f ca="1">IF(($B11-AG11*IF(ISBLANK(Design!$B$41),Constants!$C$6,Design!$B$41)/1000*(1+Constants!$C$32/100*(AR11-25))-Design!$C$27)/(IF(ISBLANK(Design!$B$40),Design!$B$38,Design!$B$40)/1000000)*AI11/100/(IF(ISBLANK(Design!$B$31),Design!$B$30,Design!$B$31)*1000000)&lt;0,0,($B11-AG11*IF(ISBLANK(Design!$B$41),Constants!$C$6,Design!$B$41)/1000*(1+Constants!$C$32/100*(AR11-25))-Design!$C$27)/(IF(ISBLANK(Design!$B$40),Design!$B$38,Design!$B$40)/1000000)*AI11/100/(IF(ISBLANK(Design!$B$31),Design!$B$30,Design!$B$31)*1000000))</f>
        <v>0.39684858496021463</v>
      </c>
      <c r="AK11" s="195">
        <f>$B11*Constants!$C$21/1000+IF(ISBLANK(Design!$B$31),Design!$B$30,Design!$B$31)*1000000*Constants!$D$25/1000000000*($B11-Constants!$C$24)</f>
        <v>8.3934999999999954E-2</v>
      </c>
      <c r="AL11" s="195">
        <f>$B11*AG11*($B11/(Constants!$C$26*1000000000)*IF(ISBLANK(Design!$B$31),Design!$B$30,Design!$B$31)*1000000/2+$B11/(Constants!$C$27*1000000000)*IF(ISBLANK(Design!$B$31),Design!$B$30,Design!$B$31)*1000000/2)</f>
        <v>0.32125632291666639</v>
      </c>
      <c r="AM11" s="195">
        <f t="shared" ca="1" si="2"/>
        <v>9.6979057274320477E-2</v>
      </c>
      <c r="AN11" s="195">
        <f>Constants!$D$25/1000000000*Constants!$C$24*IF(ISBLANK(Design!$B$31),Design!$B$30,Design!$B$31)*1000000</f>
        <v>5.2499999999999998E-2</v>
      </c>
      <c r="AO11" s="195">
        <f t="shared" ca="1" si="11"/>
        <v>0.5546703801909868</v>
      </c>
      <c r="AP11" s="195">
        <f t="shared" ca="1" si="9"/>
        <v>0.15501607973780349</v>
      </c>
      <c r="AQ11" s="196">
        <f ca="1">$A11+AP11*Design!$B$18</f>
        <v>93.835916545054801</v>
      </c>
      <c r="AR11" s="196">
        <f ca="1">AO11*Design!$C$11+$A11</f>
        <v>105.52280406706652</v>
      </c>
      <c r="AS11" s="196">
        <f ca="1">Constants!$D$22+Constants!$D$22*Constants!$C$23/100*(AR11-25)</f>
        <v>189.4182432536532</v>
      </c>
      <c r="AT11" s="195">
        <f ca="1">IF(100*(Design!$C$27+AH11+AG11*IF(ISBLANK(Design!$B$41),Constants!$C$6,Design!$B$41)/1000*(1+Constants!$C$32/100*(AR11-25)))/($B11+AH11-AG11*AS11/1000)&gt;Design!$C$34,  (1-Constants!$C$20/1000000000*IF(ISBLANK(Design!$B$31),Design!$B$30/4,Design!$B$31/4)*1000000) * ($B11+AH11-AG11*AS11/1000) - (AH11+AG11*(1+($A11-25)*Constants!$C$32/100)*IF(ISBLANK(Design!$B$41),Constants!$C$6/1000,Design!$B$41/1000)),   (1-Constants!$C$20/1000000000*IF(ISBLANK(Design!$B$31),Design!$B$30,Design!$B$31)*1000000) * ($B11+AH11-AG11*AS11/1000) - (AH11+AG11*(1+($A11-25)*Constants!$C$32/100)*IF(ISBLANK(Design!$B$41),Constants!$C$6/1000,Design!$B$41/1000)) )</f>
        <v>8.1314866282928513</v>
      </c>
      <c r="AU11" s="119">
        <f ca="1">IF(AT11&gt;Design!$C$27,Design!$C$27,AT11)</f>
        <v>4.9936842105263155</v>
      </c>
    </row>
    <row r="12" spans="1:47" s="120" customFormat="1" ht="12.75" customHeight="1" x14ac:dyDescent="0.25">
      <c r="A12" s="112">
        <f>Design!$D$12</f>
        <v>85</v>
      </c>
      <c r="B12" s="113">
        <f t="shared" si="3"/>
        <v>10.279999999999996</v>
      </c>
      <c r="C12" s="114">
        <f>Design!$D$6</f>
        <v>3</v>
      </c>
      <c r="D12" s="114">
        <f ca="1">FORECAST(C12, OFFSET(Design!$C$14:$C$16,MATCH(C12,Design!$B$14:$B$16,1)-1,0,2), OFFSET(Design!$B$14:$B$16,MATCH(C12,Design!$B$14:$B$16,1)-1,0,2))+(M12-25)*Design!$B$17/1000</f>
        <v>0.39542687660339088</v>
      </c>
      <c r="E12" s="173">
        <f ca="1">IF(100*(Design!$C$27+D12+C12*IF(ISBLANK(Design!$B$41),Constants!$C$6,Design!$B$41)/1000*(1+Constants!$C$32/100*(N12-25)))/($B12+D12-C12*O12/1000)&gt;Design!$C$34,Design!$C$35,100*(Design!$C$27+D12+C12*IF(ISBLANK(Design!$B$41),Constants!$C$6,Design!$B$41)/1000*(1+Constants!$C$32/100*(N12-25)))/($B12+D12-C12*O12/1000))</f>
        <v>56.264418956303622</v>
      </c>
      <c r="F12" s="115">
        <f ca="1">IF(($B12-C12*IF(ISBLANK(Design!$B$41),Constants!$C$6,Design!$B$41)/1000*(1+Constants!$C$32/100*(N12-25))-Design!$C$27)/(IF(ISBLANK(Design!$B$40),Design!$B$38,Design!$B$40)/1000000)*E12/100/(IF(ISBLANK(Design!$B$31),Design!$B$30,Design!$B$31)*1000000)&lt;0, 0, ($B12-C12*IF(ISBLANK(Design!$B$41),Constants!$C$6,Design!$B$41)/1000*(1+Constants!$C$32/100*(N12-25))-Design!$C$27)/(IF(ISBLANK(Design!$B$40),Design!$B$38,Design!$B$40)/1000000)*E12/100/(IF(ISBLANK(Design!$B$31),Design!$B$30,Design!$B$31)*1000000))</f>
        <v>0.41201884037447684</v>
      </c>
      <c r="G12" s="165">
        <f>B12*Constants!$C$21/1000+IF(ISBLANK(Design!$B$31),Design!$B$30,Design!$B$31)*1000000*Constants!$D$25/1000000000*(B12-Constants!$C$24)</f>
        <v>8.1139999999999948E-2</v>
      </c>
      <c r="H12" s="165">
        <f>B12*C12*(B12/(Constants!$C$26*1000000000)*IF(ISBLANK(Design!$B$31),Design!$B$30,Design!$B$31)*1000000/2+B12/(Constants!$C$27*1000000000)*IF(ISBLANK(Design!$B$31),Design!$B$30,Design!$B$31)*1000000/2)</f>
        <v>0.92468599999999923</v>
      </c>
      <c r="I12" s="165">
        <f t="shared" ca="1" si="0"/>
        <v>1.2193474854901425</v>
      </c>
      <c r="J12" s="165">
        <f>Constants!$D$25/1000000000*Constants!$C$24*IF(ISBLANK(Design!$B$31),Design!$B$30,Design!$B$31)*1000000</f>
        <v>5.2499999999999998E-2</v>
      </c>
      <c r="K12" s="165">
        <f t="shared" ca="1" si="4"/>
        <v>2.2776734854901419</v>
      </c>
      <c r="L12" s="165">
        <f t="shared" ca="1" si="5"/>
        <v>0.51882672625629989</v>
      </c>
      <c r="M12" s="166">
        <f ca="1">A12+L12*Design!$B$18</f>
        <v>114.57312339660909</v>
      </c>
      <c r="N12" s="166">
        <f ca="1">K12*Design!$C$11+A12</f>
        <v>169.27391896313526</v>
      </c>
      <c r="O12" s="166">
        <f ca="1">Constants!$D$22+Constants!$D$22*Constants!$C$23/100*(N12-25)</f>
        <v>240.41913517050821</v>
      </c>
      <c r="P12" s="165">
        <f ca="1">IF(100*(Design!$C$27+D12+C12*IF(ISBLANK(Design!$B$41),Constants!$C$6,Design!$B$41)/1000*(1+Constants!$C$32/100*(N12-25)))/($B12+D12-C12*O12/1000)&gt;Design!$C$34,  (1-Constants!$C$20/1000000000*IF(ISBLANK(Design!$B$31),Design!$B$30/4,Design!$B$31/4)*1000000) * ($B12+D12-C12*O12/1000) - (D12+C12*(1+($A12-25)*Constants!$C$32/100)*IF(ISBLANK(Design!$B$41),Constants!$C$6/1000,Design!$B$41/1000)),   (1-Constants!$C$20/1000000000*IF(ISBLANK(Design!$B$31),Design!$B$30,Design!$B$31)*1000000) * ($B12+D12-C12*O12/1000) - (D12+C12*(1+($A12-25)*Constants!$C$32/100)*IF(ISBLANK(Design!$B$41),Constants!$C$6/1000,Design!$B$41/1000)) )</f>
        <v>7.4060527850056452</v>
      </c>
      <c r="Q12" s="171">
        <f ca="1">IF(P12&gt;Design!$C$27,Design!$C$27,P12)</f>
        <v>4.9936842105263155</v>
      </c>
      <c r="R12" s="181">
        <f>2*Design!$D$6/3</f>
        <v>2</v>
      </c>
      <c r="S12" s="116">
        <f ca="1">FORECAST(R12, OFFSET(Design!$C$14:$C$16,MATCH(R12,Design!$B$14:$B$16,1)-1,0,2), OFFSET(Design!$B$14:$B$16,MATCH(R12,Design!$B$14:$B$16,1)-1,0,2))+(AB12-25)*Design!$B$17/1000</f>
        <v>0.37994607492171317</v>
      </c>
      <c r="T12" s="182">
        <f ca="1">IF(100*(Design!$C$27+S12+R12*IF(ISBLANK(Design!$B$41),Constants!$C$6,Design!$B$41)/1000*(1+Constants!$C$32/100*(AC12-25)))/($B12+S12-R12*AD12/1000)&gt;Design!$C$34,Design!$C$35,100*(Design!$C$27+S12+R12*IF(ISBLANK(Design!$B$41),Constants!$C$6,Design!$B$41)/1000*(1+Constants!$C$32/100*(AC12-25)))/($B12+S12-R12*AD12/1000))</f>
        <v>53.700897283913122</v>
      </c>
      <c r="U12" s="117">
        <f ca="1">IF(($B12-R12*IF(ISBLANK(Design!$B$41),Constants!$C$6,Design!$B$41)/1000*(1+Constants!$C$32/100*(AC12-25))-Design!$C$27)/(Design!$B$40/1000000)*T12/100/(IF(ISBLANK(IF(ISBLANK(Design!$B$40),Design!$B$38,Design!$B$40)),Design!$B$30,Design!$B$31)*1000000)&lt;0,0,($B12-R12*IF(ISBLANK(Design!$B$41),Constants!$C$6,Design!$B$41)/1000*(1+Constants!$C$32/100*(AC12-25))-Design!$C$27)/(IF(ISBLANK(Design!$B$40),Design!$B$38,Design!$B$40)/1000000)*T12/100/(IF(ISBLANK(Design!$B$31),Design!$B$30,Design!$B$31)*1000000))</f>
        <v>0.39980407420378411</v>
      </c>
      <c r="V12" s="183">
        <f>$B12*Constants!$C$21/1000+IF(ISBLANK(Design!$B$31),Design!$B$30,Design!$B$31)*1000000*Constants!$D$25/1000000000*($B12-Constants!$C$24)</f>
        <v>8.1139999999999948E-2</v>
      </c>
      <c r="W12" s="183">
        <f>$B12*R12*($B12/(Constants!$C$26*1000000000)*IF(ISBLANK(Design!$B$31),Design!$B$30,Design!$B$31)*1000000/2+$B12/(Constants!$C$27*1000000000)*IF(ISBLANK(Design!$B$31),Design!$B$30,Design!$B$31)*1000000/2)</f>
        <v>0.61645733333333286</v>
      </c>
      <c r="X12" s="183">
        <f t="shared" ca="1" si="1"/>
        <v>0.44936575866590434</v>
      </c>
      <c r="Y12" s="183">
        <f>Constants!$D$25/1000000000*Constants!$C$24*IF(ISBLANK(Design!$B$31),Design!$B$30,Design!$B$31)*1000000</f>
        <v>5.2499999999999998E-2</v>
      </c>
      <c r="Z12" s="183">
        <f t="shared" ca="1" si="10"/>
        <v>1.1994630919992371</v>
      </c>
      <c r="AA12" s="183">
        <f t="shared" ca="1" si="7"/>
        <v>0.35182324698748879</v>
      </c>
      <c r="AB12" s="184">
        <f ca="1">$A12+AA12*Design!$B$18</f>
        <v>105.05392507828687</v>
      </c>
      <c r="AC12" s="184">
        <f ca="1">Z12*Design!$C$11+$A12</f>
        <v>129.38013440397177</v>
      </c>
      <c r="AD12" s="184">
        <f ca="1">Constants!$D$22+Constants!$D$22*Constants!$C$23/100*(AC12-25)</f>
        <v>208.50410752317742</v>
      </c>
      <c r="AE12" s="183">
        <f ca="1">IF(100*(Design!$C$27+S12+R12*IF(ISBLANK(Design!$B$41),Constants!$C$6,Design!$B$41)/1000*(1+Constants!$C$32/100*(AC12-25)))/($B12+S12-R12*AD12/1000)&gt;Design!$C$34,  (1-Constants!$C$20/1000000000*IF(ISBLANK(Design!$B$31),Design!$B$30/4,Design!$B$31/4)*1000000) * ($B12+S12-R12*AD12/1000) - (S12+R12*(1+($A12-25)*Constants!$C$32/100)*IF(ISBLANK(Design!$B$41),Constants!$C$6/1000,Design!$B$41/1000)),   (1-Constants!$C$20/1000000000*IF(ISBLANK(Design!$B$31),Design!$B$30,Design!$B$31)*1000000) * ($B12+S12-R12*AD12/1000) - (S12+R12*(1+($A12-25)*Constants!$C$32/100)*IF(ISBLANK(Design!$B$41),Constants!$C$6/1000,Design!$B$41/1000)) )</f>
        <v>7.7083036819085073</v>
      </c>
      <c r="AF12" s="117">
        <f ca="1">IF(AE12&gt;Design!$C$27,Design!$C$27,AE12)</f>
        <v>4.9936842105263155</v>
      </c>
      <c r="AG12" s="118">
        <f>Design!$D$6/3</f>
        <v>1</v>
      </c>
      <c r="AH12" s="118">
        <f ca="1">FORECAST(AG12, OFFSET(Design!$C$14:$C$16,MATCH(AG12,Design!$B$14:$B$16,1)-1,0,2), OFFSET(Design!$B$14:$B$16,MATCH(AG12,Design!$B$14:$B$16,1)-1,0,2))+(AQ12-25)*Design!$B$17/1000</f>
        <v>0.31356747503133664</v>
      </c>
      <c r="AI12" s="194">
        <f ca="1">IF(100*(Design!$C$27+AH12+AG12*IF(ISBLANK(Design!$B$41),Constants!$C$6,Design!$B$41)/1000*(1+Constants!$C$32/100*(AR12-25)))/($B12+AH12-AG12*AS12/1000)&gt;Design!$C$34,Design!$C$35,100*(Design!$C$27+AH12+AG12*IF(ISBLANK(Design!$B$41),Constants!$C$6,Design!$B$41)/1000*(1+Constants!$C$32/100*(AR12-25)))/($B12+AH12-AG12*AS12/1000))</f>
        <v>51.577353486561911</v>
      </c>
      <c r="AJ12" s="119">
        <f ca="1">IF(($B12-AG12*IF(ISBLANK(Design!$B$41),Constants!$C$6,Design!$B$41)/1000*(1+Constants!$C$32/100*(AR12-25))-Design!$C$27)/(IF(ISBLANK(Design!$B$40),Design!$B$38,Design!$B$40)/1000000)*AI12/100/(IF(ISBLANK(Design!$B$31),Design!$B$30,Design!$B$31)*1000000)&lt;0,0,($B12-AG12*IF(ISBLANK(Design!$B$41),Constants!$C$6,Design!$B$41)/1000*(1+Constants!$C$32/100*(AR12-25))-Design!$C$27)/(IF(ISBLANK(Design!$B$40),Design!$B$38,Design!$B$40)/1000000)*AI12/100/(IF(ISBLANK(Design!$B$31),Design!$B$30,Design!$B$31)*1000000))</f>
        <v>0.38903819265063189</v>
      </c>
      <c r="AK12" s="195">
        <f>$B12*Constants!$C$21/1000+IF(ISBLANK(Design!$B$31),Design!$B$30,Design!$B$31)*1000000*Constants!$D$25/1000000000*($B12-Constants!$C$24)</f>
        <v>8.1139999999999948E-2</v>
      </c>
      <c r="AL12" s="195">
        <f>$B12*AG12*($B12/(Constants!$C$26*1000000000)*IF(ISBLANK(Design!$B$31),Design!$B$30,Design!$B$31)*1000000/2+$B12/(Constants!$C$27*1000000000)*IF(ISBLANK(Design!$B$31),Design!$B$30,Design!$B$31)*1000000/2)</f>
        <v>0.30822866666666643</v>
      </c>
      <c r="AM12" s="195">
        <f t="shared" ca="1" si="2"/>
        <v>9.8711294939575339E-2</v>
      </c>
      <c r="AN12" s="195">
        <f>Constants!$D$25/1000000000*Constants!$C$24*IF(ISBLANK(Design!$B$31),Design!$B$30,Design!$B$31)*1000000</f>
        <v>5.2499999999999998E-2</v>
      </c>
      <c r="AO12" s="195">
        <f t="shared" ca="1" si="11"/>
        <v>0.54057996160624167</v>
      </c>
      <c r="AP12" s="195">
        <f t="shared" ca="1" si="9"/>
        <v>0.15183767001553736</v>
      </c>
      <c r="AQ12" s="196">
        <f ca="1">$A12+AP12*Design!$B$18</f>
        <v>93.654747190885629</v>
      </c>
      <c r="AR12" s="196">
        <f ca="1">AO12*Design!$C$11+$A12</f>
        <v>105.00145857943095</v>
      </c>
      <c r="AS12" s="196">
        <f ca="1">Constants!$D$22+Constants!$D$22*Constants!$C$23/100*(AR12-25)</f>
        <v>189.00116686354477</v>
      </c>
      <c r="AT12" s="195">
        <f ca="1">IF(100*(Design!$C$27+AH12+AG12*IF(ISBLANK(Design!$B$41),Constants!$C$6,Design!$B$41)/1000*(1+Constants!$C$32/100*(AR12-25)))/($B12+AH12-AG12*AS12/1000)&gt;Design!$C$34,  (1-Constants!$C$20/1000000000*IF(ISBLANK(Design!$B$31),Design!$B$30/4,Design!$B$31/4)*1000000) * ($B12+AH12-AG12*AS12/1000) - (AH12+AG12*(1+($A12-25)*Constants!$C$32/100)*IF(ISBLANK(Design!$B$41),Constants!$C$6/1000,Design!$B$41/1000)),   (1-Constants!$C$20/1000000000*IF(ISBLANK(Design!$B$31),Design!$B$30,Design!$B$31)*1000000) * ($B12+AH12-AG12*AS12/1000) - (AH12+AG12*(1+($A12-25)*Constants!$C$32/100)*IF(ISBLANK(Design!$B$41),Constants!$C$6/1000,Design!$B$41/1000)) )</f>
        <v>7.9596768546569763</v>
      </c>
      <c r="AU12" s="119">
        <f ca="1">IF(AT12&gt;Design!$C$27,Design!$C$27,AT12)</f>
        <v>4.9936842105263155</v>
      </c>
    </row>
    <row r="13" spans="1:47" s="120" customFormat="1" ht="12.75" customHeight="1" x14ac:dyDescent="0.25">
      <c r="A13" s="112">
        <f>Design!$D$12</f>
        <v>85</v>
      </c>
      <c r="B13" s="113">
        <f t="shared" si="3"/>
        <v>10.064999999999996</v>
      </c>
      <c r="C13" s="114">
        <f>Design!$D$6</f>
        <v>3</v>
      </c>
      <c r="D13" s="114">
        <f ca="1">FORECAST(C13, OFFSET(Design!$C$14:$C$16,MATCH(C13,Design!$B$14:$B$16,1)-1,0,2), OFFSET(Design!$B$14:$B$16,MATCH(C13,Design!$B$14:$B$16,1)-1,0,2))+(M13-25)*Design!$B$17/1000</f>
        <v>0.39620418341797448</v>
      </c>
      <c r="E13" s="173">
        <f ca="1">IF(100*(Design!$C$27+D13+C13*IF(ISBLANK(Design!$B$41),Constants!$C$6,Design!$B$41)/1000*(1+Constants!$C$32/100*(N13-25)))/($B13+D13-C13*O13/1000)&gt;Design!$C$34,Design!$C$35,100*(Design!$C$27+D13+C13*IF(ISBLANK(Design!$B$41),Constants!$C$6,Design!$B$41)/1000*(1+Constants!$C$32/100*(N13-25)))/($B13+D13-C13*O13/1000))</f>
        <v>57.497523941757521</v>
      </c>
      <c r="F13" s="115">
        <f ca="1">IF(($B13-C13*IF(ISBLANK(Design!$B$41),Constants!$C$6,Design!$B$41)/1000*(1+Constants!$C$32/100*(N13-25))-Design!$C$27)/(IF(ISBLANK(Design!$B$40),Design!$B$38,Design!$B$40)/1000000)*E13/100/(IF(ISBLANK(Design!$B$31),Design!$B$30,Design!$B$31)*1000000)&lt;0, 0, ($B13-C13*IF(ISBLANK(Design!$B$41),Constants!$C$6,Design!$B$41)/1000*(1+Constants!$C$32/100*(N13-25))-Design!$C$27)/(IF(ISBLANK(Design!$B$40),Design!$B$38,Design!$B$40)/1000000)*E13/100/(IF(ISBLANK(Design!$B$31),Design!$B$30,Design!$B$31)*1000000))</f>
        <v>0.40323816753019759</v>
      </c>
      <c r="G13" s="165">
        <f>B13*Constants!$C$21/1000+IF(ISBLANK(Design!$B$31),Design!$B$30,Design!$B$31)*1000000*Constants!$D$25/1000000000*(B13-Constants!$C$24)</f>
        <v>7.8344999999999942E-2</v>
      </c>
      <c r="H13" s="165">
        <f>B13*C13*(B13/(Constants!$C$26*1000000000)*IF(ISBLANK(Design!$B$31),Design!$B$30,Design!$B$31)*1000000/2+B13/(Constants!$C$27*1000000000)*IF(ISBLANK(Design!$B$31),Design!$B$30,Design!$B$31)*1000000/2)</f>
        <v>0.88641196874999928</v>
      </c>
      <c r="I13" s="165">
        <f t="shared" ca="1" si="0"/>
        <v>1.2433741823813611</v>
      </c>
      <c r="J13" s="165">
        <f>Constants!$D$25/1000000000*Constants!$C$24*IF(ISBLANK(Design!$B$31),Design!$B$30,Design!$B$31)*1000000</f>
        <v>5.2499999999999998E-2</v>
      </c>
      <c r="K13" s="165">
        <f t="shared" ca="1" si="4"/>
        <v>2.2606311511313608</v>
      </c>
      <c r="L13" s="165">
        <f t="shared" ca="1" si="5"/>
        <v>0.50518976459693909</v>
      </c>
      <c r="M13" s="166">
        <f ca="1">A13+L13*Design!$B$18</f>
        <v>113.79581658202552</v>
      </c>
      <c r="N13" s="166">
        <f ca="1">K13*Design!$C$11+A13</f>
        <v>168.64335259186035</v>
      </c>
      <c r="O13" s="166">
        <f ca="1">Constants!$D$22+Constants!$D$22*Constants!$C$23/100*(N13-25)</f>
        <v>239.91468207348828</v>
      </c>
      <c r="P13" s="165">
        <f ca="1">IF(100*(Design!$C$27+D13+C13*IF(ISBLANK(Design!$B$41),Constants!$C$6,Design!$B$41)/1000*(1+Constants!$C$32/100*(N13-25)))/($B13+D13-C13*O13/1000)&gt;Design!$C$34,  (1-Constants!$C$20/1000000000*IF(ISBLANK(Design!$B$31),Design!$B$30/4,Design!$B$31/4)*1000000) * ($B13+D13-C13*O13/1000) - (D13+C13*(1+($A13-25)*Constants!$C$32/100)*IF(ISBLANK(Design!$B$41),Constants!$C$6/1000,Design!$B$41/1000)),   (1-Constants!$C$20/1000000000*IF(ISBLANK(Design!$B$31),Design!$B$30,Design!$B$31)*1000000) * ($B13+D13-C13*O13/1000) - (D13+C13*(1+($A13-25)*Constants!$C$32/100)*IF(ISBLANK(Design!$B$41),Constants!$C$6/1000,Design!$B$41/1000)) )</f>
        <v>7.2350016564086292</v>
      </c>
      <c r="Q13" s="171">
        <f ca="1">IF(P13&gt;Design!$C$27,Design!$C$27,P13)</f>
        <v>4.9936842105263155</v>
      </c>
      <c r="R13" s="181">
        <f>2*Design!$D$6/3</f>
        <v>2</v>
      </c>
      <c r="S13" s="116">
        <f ca="1">FORECAST(R13, OFFSET(Design!$C$14:$C$16,MATCH(R13,Design!$B$14:$B$16,1)-1,0,2), OFFSET(Design!$B$14:$B$16,MATCH(R13,Design!$B$14:$B$16,1)-1,0,2))+(AB13-25)*Design!$B$17/1000</f>
        <v>0.38041746709194513</v>
      </c>
      <c r="T13" s="182">
        <f ca="1">IF(100*(Design!$C$27+S13+R13*IF(ISBLANK(Design!$B$41),Constants!$C$6,Design!$B$41)/1000*(1+Constants!$C$32/100*(AC13-25)))/($B13+S13-R13*AD13/1000)&gt;Design!$C$34,Design!$C$35,100*(Design!$C$27+S13+R13*IF(ISBLANK(Design!$B$41),Constants!$C$6,Design!$B$41)/1000*(1+Constants!$C$32/100*(AC13-25)))/($B13+S13-R13*AD13/1000))</f>
        <v>54.845237320529165</v>
      </c>
      <c r="U13" s="117">
        <f ca="1">IF(($B13-R13*IF(ISBLANK(Design!$B$41),Constants!$C$6,Design!$B$41)/1000*(1+Constants!$C$32/100*(AC13-25))-Design!$C$27)/(Design!$B$40/1000000)*T13/100/(IF(ISBLANK(IF(ISBLANK(Design!$B$40),Design!$B$38,Design!$B$40)),Design!$B$30,Design!$B$31)*1000000)&lt;0,0,($B13-R13*IF(ISBLANK(Design!$B$41),Constants!$C$6,Design!$B$41)/1000*(1+Constants!$C$32/100*(AC13-25))-Design!$C$27)/(IF(ISBLANK(Design!$B$40),Design!$B$38,Design!$B$40)/1000000)*T13/100/(IF(ISBLANK(Design!$B$31),Design!$B$30,Design!$B$31)*1000000))</f>
        <v>0.39132905459850587</v>
      </c>
      <c r="V13" s="183">
        <f>$B13*Constants!$C$21/1000+IF(ISBLANK(Design!$B$31),Design!$B$30,Design!$B$31)*1000000*Constants!$D$25/1000000000*($B13-Constants!$C$24)</f>
        <v>7.8344999999999942E-2</v>
      </c>
      <c r="W13" s="183">
        <f>$B13*R13*($B13/(Constants!$C$26*1000000000)*IF(ISBLANK(Design!$B$31),Design!$B$30,Design!$B$31)*1000000/2+$B13/(Constants!$C$27*1000000000)*IF(ISBLANK(Design!$B$31),Design!$B$30,Design!$B$31)*1000000/2)</f>
        <v>0.59094131249999959</v>
      </c>
      <c r="X13" s="183">
        <f t="shared" ca="1" si="1"/>
        <v>0.45756764201372302</v>
      </c>
      <c r="Y13" s="183">
        <f>Constants!$D$25/1000000000*Constants!$C$24*IF(ISBLANK(Design!$B$31),Design!$B$30,Design!$B$31)*1000000</f>
        <v>5.2499999999999998E-2</v>
      </c>
      <c r="Z13" s="183">
        <f t="shared" ca="1" si="10"/>
        <v>1.1793539545137224</v>
      </c>
      <c r="AA13" s="183">
        <f t="shared" ca="1" si="7"/>
        <v>0.34355320891324381</v>
      </c>
      <c r="AB13" s="184">
        <f ca="1">$A13+AA13*Design!$B$18</f>
        <v>104.5825329080549</v>
      </c>
      <c r="AC13" s="184">
        <f ca="1">Z13*Design!$C$11+$A13</f>
        <v>128.63609631700774</v>
      </c>
      <c r="AD13" s="184">
        <f ca="1">Constants!$D$22+Constants!$D$22*Constants!$C$23/100*(AC13-25)</f>
        <v>207.9088770536062</v>
      </c>
      <c r="AE13" s="183">
        <f ca="1">IF(100*(Design!$C$27+S13+R13*IF(ISBLANK(Design!$B$41),Constants!$C$6,Design!$B$41)/1000*(1+Constants!$C$32/100*(AC13-25)))/($B13+S13-R13*AD13/1000)&gt;Design!$C$34,  (1-Constants!$C$20/1000000000*IF(ISBLANK(Design!$B$31),Design!$B$30/4,Design!$B$31/4)*1000000) * ($B13+S13-R13*AD13/1000) - (S13+R13*(1+($A13-25)*Constants!$C$32/100)*IF(ISBLANK(Design!$B$41),Constants!$C$6/1000,Design!$B$41/1000)),   (1-Constants!$C$20/1000000000*IF(ISBLANK(Design!$B$31),Design!$B$30,Design!$B$31)*1000000) * ($B13+S13-R13*AD13/1000) - (S13+R13*(1+($A13-25)*Constants!$C$32/100)*IF(ISBLANK(Design!$B$41),Constants!$C$6/1000,Design!$B$41/1000)) )</f>
        <v>7.5370551031523298</v>
      </c>
      <c r="AF13" s="117">
        <f ca="1">IF(AE13&gt;Design!$C$27,Design!$C$27,AE13)</f>
        <v>4.9936842105263155</v>
      </c>
      <c r="AG13" s="118">
        <f>Design!$D$6/3</f>
        <v>1</v>
      </c>
      <c r="AH13" s="118">
        <f ca="1">FORECAST(AG13, OFFSET(Design!$C$14:$C$16,MATCH(AG13,Design!$B$14:$B$16,1)-1,0,2), OFFSET(Design!$B$14:$B$16,MATCH(AG13,Design!$B$14:$B$16,1)-1,0,2))+(AQ13-25)*Design!$B$17/1000</f>
        <v>0.31375651052893549</v>
      </c>
      <c r="AI13" s="194">
        <f ca="1">IF(100*(Design!$C$27+AH13+AG13*IF(ISBLANK(Design!$B$41),Constants!$C$6,Design!$B$41)/1000*(1+Constants!$C$32/100*(AR13-25)))/($B13+AH13-AG13*AS13/1000)&gt;Design!$C$34,Design!$C$35,100*(Design!$C$27+AH13+AG13*IF(ISBLANK(Design!$B$41),Constants!$C$6,Design!$B$41)/1000*(1+Constants!$C$32/100*(AR13-25)))/($B13+AH13-AG13*AS13/1000))</f>
        <v>52.663529586499735</v>
      </c>
      <c r="AJ13" s="119">
        <f ca="1">IF(($B13-AG13*IF(ISBLANK(Design!$B$41),Constants!$C$6,Design!$B$41)/1000*(1+Constants!$C$32/100*(AR13-25))-Design!$C$27)/(IF(ISBLANK(Design!$B$40),Design!$B$38,Design!$B$40)/1000000)*AI13/100/(IF(ISBLANK(Design!$B$31),Design!$B$30,Design!$B$31)*1000000)&lt;0,0,($B13-AG13*IF(ISBLANK(Design!$B$41),Constants!$C$6,Design!$B$41)/1000*(1+Constants!$C$32/100*(AR13-25))-Design!$C$27)/(IF(ISBLANK(Design!$B$40),Design!$B$38,Design!$B$40)/1000000)*AI13/100/(IF(ISBLANK(Design!$B$31),Design!$B$30,Design!$B$31)*1000000))</f>
        <v>0.3808992336999415</v>
      </c>
      <c r="AK13" s="195">
        <f>$B13*Constants!$C$21/1000+IF(ISBLANK(Design!$B$31),Design!$B$30,Design!$B$31)*1000000*Constants!$D$25/1000000000*($B13-Constants!$C$24)</f>
        <v>7.8344999999999942E-2</v>
      </c>
      <c r="AL13" s="195">
        <f>$B13*AG13*($B13/(Constants!$C$26*1000000000)*IF(ISBLANK(Design!$B$31),Design!$B$30,Design!$B$31)*1000000/2+$B13/(Constants!$C$27*1000000000)*IF(ISBLANK(Design!$B$31),Design!$B$30,Design!$B$31)*1000000/2)</f>
        <v>0.2954706562499998</v>
      </c>
      <c r="AM13" s="195">
        <f t="shared" ca="1" si="2"/>
        <v>0.1005212727367381</v>
      </c>
      <c r="AN13" s="195">
        <f>Constants!$D$25/1000000000*Constants!$C$24*IF(ISBLANK(Design!$B$31),Design!$B$30,Design!$B$31)*1000000</f>
        <v>5.2499999999999998E-2</v>
      </c>
      <c r="AO13" s="195">
        <f t="shared" ca="1" si="11"/>
        <v>0.52683692898673784</v>
      </c>
      <c r="AP13" s="195">
        <f t="shared" ca="1" si="9"/>
        <v>0.1485212577769604</v>
      </c>
      <c r="AQ13" s="196">
        <f ca="1">$A13+AP13*Design!$B$18</f>
        <v>93.46571169328675</v>
      </c>
      <c r="AR13" s="196">
        <f ca="1">AO13*Design!$C$11+$A13</f>
        <v>104.4929663725093</v>
      </c>
      <c r="AS13" s="196">
        <f ca="1">Constants!$D$22+Constants!$D$22*Constants!$C$23/100*(AR13-25)</f>
        <v>188.59437309800745</v>
      </c>
      <c r="AT13" s="195">
        <f ca="1">IF(100*(Design!$C$27+AH13+AG13*IF(ISBLANK(Design!$B$41),Constants!$C$6,Design!$B$41)/1000*(1+Constants!$C$32/100*(AR13-25)))/($B13+AH13-AG13*AS13/1000)&gt;Design!$C$34,  (1-Constants!$C$20/1000000000*IF(ISBLANK(Design!$B$31),Design!$B$30/4,Design!$B$31/4)*1000000) * ($B13+AH13-AG13*AS13/1000) - (AH13+AG13*(1+($A13-25)*Constants!$C$32/100)*IF(ISBLANK(Design!$B$41),Constants!$C$6/1000,Design!$B$41/1000)),   (1-Constants!$C$20/1000000000*IF(ISBLANK(Design!$B$31),Design!$B$30,Design!$B$31)*1000000) * ($B13+AH13-AG13*AS13/1000) - (AH13+AG13*(1+($A13-25)*Constants!$C$32/100)*IF(ISBLANK(Design!$B$41),Constants!$C$6/1000,Design!$B$41/1000)) )</f>
        <v>7.7878572804845199</v>
      </c>
      <c r="AU13" s="119">
        <f ca="1">IF(AT13&gt;Design!$C$27,Design!$C$27,AT13)</f>
        <v>4.9936842105263155</v>
      </c>
    </row>
    <row r="14" spans="1:47" s="120" customFormat="1" ht="12.75" customHeight="1" x14ac:dyDescent="0.25">
      <c r="A14" s="112">
        <f>Design!$D$12</f>
        <v>85</v>
      </c>
      <c r="B14" s="113">
        <f t="shared" si="3"/>
        <v>9.8499999999999961</v>
      </c>
      <c r="C14" s="114">
        <f>Design!$D$6</f>
        <v>3</v>
      </c>
      <c r="D14" s="114">
        <f ca="1">FORECAST(C14, OFFSET(Design!$C$14:$C$16,MATCH(C14,Design!$B$14:$B$16,1)-1,0,2), OFFSET(Design!$B$14:$B$16,MATCH(C14,Design!$B$14:$B$16,1)-1,0,2))+(M14-25)*Design!$B$17/1000</f>
        <v>0.39702066053256357</v>
      </c>
      <c r="E14" s="173">
        <f ca="1">IF(100*(Design!$C$27+D14+C14*IF(ISBLANK(Design!$B$41),Constants!$C$6,Design!$B$41)/1000*(1+Constants!$C$32/100*(N14-25)))/($B14+D14-C14*O14/1000)&gt;Design!$C$34,Design!$C$35,100*(Design!$C$27+D14+C14*IF(ISBLANK(Design!$B$41),Constants!$C$6,Design!$B$41)/1000*(1+Constants!$C$32/100*(N14-25)))/($B14+D14-C14*O14/1000))</f>
        <v>58.787568382174371</v>
      </c>
      <c r="F14" s="115">
        <f ca="1">IF(($B14-C14*IF(ISBLANK(Design!$B$41),Constants!$C$6,Design!$B$41)/1000*(1+Constants!$C$32/100*(N14-25))-Design!$C$27)/(IF(ISBLANK(Design!$B$40),Design!$B$38,Design!$B$40)/1000000)*E14/100/(IF(ISBLANK(Design!$B$31),Design!$B$30,Design!$B$31)*1000000)&lt;0, 0, ($B14-C14*IF(ISBLANK(Design!$B$41),Constants!$C$6,Design!$B$41)/1000*(1+Constants!$C$32/100*(N14-25))-Design!$C$27)/(IF(ISBLANK(Design!$B$40),Design!$B$38,Design!$B$40)/1000000)*E14/100/(IF(ISBLANK(Design!$B$31),Design!$B$30,Design!$B$31)*1000000))</f>
        <v>0.39407144883873674</v>
      </c>
      <c r="G14" s="165">
        <f>B14*Constants!$C$21/1000+IF(ISBLANK(Design!$B$31),Design!$B$30,Design!$B$31)*1000000*Constants!$D$25/1000000000*(B14-Constants!$C$24)</f>
        <v>7.5549999999999951E-2</v>
      </c>
      <c r="H14" s="165">
        <f>B14*C14*(B14/(Constants!$C$26*1000000000)*IF(ISBLANK(Design!$B$31),Design!$B$30,Design!$B$31)*1000000/2+B14/(Constants!$C$27*1000000000)*IF(ISBLANK(Design!$B$31),Design!$B$30,Design!$B$31)*1000000/2)</f>
        <v>0.84894687499999943</v>
      </c>
      <c r="I14" s="165">
        <f t="shared" ca="1" si="0"/>
        <v>1.2688696597948281</v>
      </c>
      <c r="J14" s="165">
        <f>Constants!$D$25/1000000000*Constants!$C$24*IF(ISBLANK(Design!$B$31),Design!$B$30,Design!$B$31)*1000000</f>
        <v>5.2499999999999998E-2</v>
      </c>
      <c r="K14" s="165">
        <f t="shared" ca="1" si="4"/>
        <v>2.2458665347948275</v>
      </c>
      <c r="L14" s="165">
        <f t="shared" ca="1" si="5"/>
        <v>0.49086560469186713</v>
      </c>
      <c r="M14" s="166">
        <f ca="1">A14+L14*Design!$B$18</f>
        <v>112.97933946743643</v>
      </c>
      <c r="N14" s="166">
        <f ca="1">K14*Design!$C$11+A14</f>
        <v>168.09706178740862</v>
      </c>
      <c r="O14" s="166">
        <f ca="1">Constants!$D$22+Constants!$D$22*Constants!$C$23/100*(N14-25)</f>
        <v>239.47764942992688</v>
      </c>
      <c r="P14" s="165">
        <f ca="1">IF(100*(Design!$C$27+D14+C14*IF(ISBLANK(Design!$B$41),Constants!$C$6,Design!$B$41)/1000*(1+Constants!$C$32/100*(N14-25)))/($B14+D14-C14*O14/1000)&gt;Design!$C$34,  (1-Constants!$C$20/1000000000*IF(ISBLANK(Design!$B$31),Design!$B$30/4,Design!$B$31/4)*1000000) * ($B14+D14-C14*O14/1000) - (D14+C14*(1+($A14-25)*Constants!$C$32/100)*IF(ISBLANK(Design!$B$41),Constants!$C$6/1000,Design!$B$41/1000)),   (1-Constants!$C$20/1000000000*IF(ISBLANK(Design!$B$31),Design!$B$30,Design!$B$31)*1000000) * ($B14+D14-C14*O14/1000) - (D14+C14*(1+($A14-25)*Constants!$C$32/100)*IF(ISBLANK(Design!$B$41),Constants!$C$6/1000,Design!$B$41/1000)) )</f>
        <v>7.0637808031177807</v>
      </c>
      <c r="Q14" s="171">
        <f ca="1">IF(P14&gt;Design!$C$27,Design!$C$27,P14)</f>
        <v>4.9936842105263155</v>
      </c>
      <c r="R14" s="181">
        <f>2*Design!$D$6/3</f>
        <v>2</v>
      </c>
      <c r="S14" s="116">
        <f ca="1">FORECAST(R14, OFFSET(Design!$C$14:$C$16,MATCH(R14,Design!$B$14:$B$16,1)-1,0,2), OFFSET(Design!$B$14:$B$16,MATCH(R14,Design!$B$14:$B$16,1)-1,0,2))+(AB14-25)*Design!$B$17/1000</f>
        <v>0.38091082604213194</v>
      </c>
      <c r="T14" s="182">
        <f ca="1">IF(100*(Design!$C$27+S14+R14*IF(ISBLANK(Design!$B$41),Constants!$C$6,Design!$B$41)/1000*(1+Constants!$C$32/100*(AC14-25)))/($B14+S14-R14*AD14/1000)&gt;Design!$C$34,Design!$C$35,100*(Design!$C$27+S14+R14*IF(ISBLANK(Design!$B$41),Constants!$C$6,Design!$B$41)/1000*(1+Constants!$C$32/100*(AC14-25)))/($B14+S14-R14*AD14/1000))</f>
        <v>56.039869985542907</v>
      </c>
      <c r="U14" s="117">
        <f ca="1">IF(($B14-R14*IF(ISBLANK(Design!$B$41),Constants!$C$6,Design!$B$41)/1000*(1+Constants!$C$32/100*(AC14-25))-Design!$C$27)/(Design!$B$40/1000000)*T14/100/(IF(ISBLANK(IF(ISBLANK(Design!$B$40),Design!$B$38,Design!$B$40)),Design!$B$30,Design!$B$31)*1000000)&lt;0,0,($B14-R14*IF(ISBLANK(Design!$B$41),Constants!$C$6,Design!$B$41)/1000*(1+Constants!$C$32/100*(AC14-25))-Design!$C$27)/(IF(ISBLANK(Design!$B$40),Design!$B$38,Design!$B$40)/1000000)*T14/100/(IF(ISBLANK(Design!$B$31),Design!$B$30,Design!$B$31)*1000000))</f>
        <v>0.38248709380565504</v>
      </c>
      <c r="V14" s="183">
        <f>$B14*Constants!$C$21/1000+IF(ISBLANK(Design!$B$31),Design!$B$30,Design!$B$31)*1000000*Constants!$D$25/1000000000*($B14-Constants!$C$24)</f>
        <v>7.5549999999999951E-2</v>
      </c>
      <c r="W14" s="183">
        <f>$B14*R14*($B14/(Constants!$C$26*1000000000)*IF(ISBLANK(Design!$B$31),Design!$B$30,Design!$B$31)*1000000/2+$B14/(Constants!$C$27*1000000000)*IF(ISBLANK(Design!$B$31),Design!$B$30,Design!$B$31)*1000000/2)</f>
        <v>0.56596458333333288</v>
      </c>
      <c r="X14" s="183">
        <f t="shared" ca="1" si="1"/>
        <v>0.46619368503334424</v>
      </c>
      <c r="Y14" s="183">
        <f>Constants!$D$25/1000000000*Constants!$C$24*IF(ISBLANK(Design!$B$31),Design!$B$30,Design!$B$31)*1000000</f>
        <v>5.2499999999999998E-2</v>
      </c>
      <c r="Z14" s="183">
        <f t="shared" ca="1" si="10"/>
        <v>1.160208268366677</v>
      </c>
      <c r="AA14" s="183">
        <f t="shared" ca="1" si="7"/>
        <v>0.33489778873452736</v>
      </c>
      <c r="AB14" s="184">
        <f ca="1">$A14+AA14*Design!$B$18</f>
        <v>104.08917395786806</v>
      </c>
      <c r="AC14" s="184">
        <f ca="1">Z14*Design!$C$11+$A14</f>
        <v>127.92770592956705</v>
      </c>
      <c r="AD14" s="184">
        <f ca="1">Constants!$D$22+Constants!$D$22*Constants!$C$23/100*(AC14-25)</f>
        <v>207.34216474365365</v>
      </c>
      <c r="AE14" s="183">
        <f ca="1">IF(100*(Design!$C$27+S14+R14*IF(ISBLANK(Design!$B$41),Constants!$C$6,Design!$B$41)/1000*(1+Constants!$C$32/100*(AC14-25)))/($B14+S14-R14*AD14/1000)&gt;Design!$C$34,  (1-Constants!$C$20/1000000000*IF(ISBLANK(Design!$B$31),Design!$B$30/4,Design!$B$31/4)*1000000) * ($B14+S14-R14*AD14/1000) - (S14+R14*(1+($A14-25)*Constants!$C$32/100)*IF(ISBLANK(Design!$B$41),Constants!$C$6/1000,Design!$B$41/1000)),   (1-Constants!$C$20/1000000000*IF(ISBLANK(Design!$B$31),Design!$B$30,Design!$B$31)*1000000) * ($B14+S14-R14*AD14/1000) - (S14+R14*(1+($A14-25)*Constants!$C$32/100)*IF(ISBLANK(Design!$B$41),Constants!$C$6/1000,Design!$B$41/1000)) )</f>
        <v>7.3657564844500012</v>
      </c>
      <c r="AF14" s="117">
        <f ca="1">IF(AE14&gt;Design!$C$27,Design!$C$27,AE14)</f>
        <v>4.9936842105263155</v>
      </c>
      <c r="AG14" s="118">
        <f>Design!$D$6/3</f>
        <v>1</v>
      </c>
      <c r="AH14" s="118">
        <f ca="1">FORECAST(AG14, OFFSET(Design!$C$14:$C$16,MATCH(AG14,Design!$B$14:$B$16,1)-1,0,2), OFFSET(Design!$B$14:$B$16,MATCH(AG14,Design!$B$14:$B$16,1)-1,0,2))+(AQ14-25)*Design!$B$17/1000</f>
        <v>0.31395393532252996</v>
      </c>
      <c r="AI14" s="194">
        <f ca="1">IF(100*(Design!$C$27+AH14+AG14*IF(ISBLANK(Design!$B$41),Constants!$C$6,Design!$B$41)/1000*(1+Constants!$C$32/100*(AR14-25)))/($B14+AH14-AG14*AS14/1000)&gt;Design!$C$34,Design!$C$35,100*(Design!$C$27+AH14+AG14*IF(ISBLANK(Design!$B$41),Constants!$C$6,Design!$B$41)/1000*(1+Constants!$C$32/100*(AR14-25)))/($B14+AH14-AG14*AS14/1000))</f>
        <v>53.796513250308017</v>
      </c>
      <c r="AJ14" s="119">
        <f ca="1">IF(($B14-AG14*IF(ISBLANK(Design!$B$41),Constants!$C$6,Design!$B$41)/1000*(1+Constants!$C$32/100*(AR14-25))-Design!$C$27)/(IF(ISBLANK(Design!$B$40),Design!$B$38,Design!$B$40)/1000000)*AI14/100/(IF(ISBLANK(Design!$B$31),Design!$B$30,Design!$B$31)*1000000)&lt;0,0,($B14-AG14*IF(ISBLANK(Design!$B$41),Constants!$C$6,Design!$B$41)/1000*(1+Constants!$C$32/100*(AR14-25))-Design!$C$27)/(IF(ISBLANK(Design!$B$40),Design!$B$38,Design!$B$40)/1000000)*AI14/100/(IF(ISBLANK(Design!$B$31),Design!$B$30,Design!$B$31)*1000000))</f>
        <v>0.37241044458058575</v>
      </c>
      <c r="AK14" s="195">
        <f>$B14*Constants!$C$21/1000+IF(ISBLANK(Design!$B$31),Design!$B$30,Design!$B$31)*1000000*Constants!$D$25/1000000000*($B14-Constants!$C$24)</f>
        <v>7.5549999999999951E-2</v>
      </c>
      <c r="AL14" s="195">
        <f>$B14*AG14*($B14/(Constants!$C$26*1000000000)*IF(ISBLANK(Design!$B$31),Design!$B$30,Design!$B$31)*1000000/2+$B14/(Constants!$C$27*1000000000)*IF(ISBLANK(Design!$B$31),Design!$B$30,Design!$B$31)*1000000/2)</f>
        <v>0.28298229166666644</v>
      </c>
      <c r="AM14" s="195">
        <f t="shared" ca="1" si="2"/>
        <v>0.10241409226520878</v>
      </c>
      <c r="AN14" s="195">
        <f>Constants!$D$25/1000000000*Constants!$C$24*IF(ISBLANK(Design!$B$31),Design!$B$30,Design!$B$31)*1000000</f>
        <v>5.2499999999999998E-2</v>
      </c>
      <c r="AO14" s="195">
        <f t="shared" ca="1" si="11"/>
        <v>0.51344638393187514</v>
      </c>
      <c r="AP14" s="195">
        <f t="shared" ca="1" si="9"/>
        <v>0.14505766490688166</v>
      </c>
      <c r="AQ14" s="196">
        <f ca="1">$A14+AP14*Design!$B$18</f>
        <v>93.268286899692256</v>
      </c>
      <c r="AR14" s="196">
        <f ca="1">AO14*Design!$C$11+$A14</f>
        <v>103.99751620547937</v>
      </c>
      <c r="AS14" s="196">
        <f ca="1">Constants!$D$22+Constants!$D$22*Constants!$C$23/100*(AR14-25)</f>
        <v>188.19801296438351</v>
      </c>
      <c r="AT14" s="195">
        <f ca="1">IF(100*(Design!$C$27+AH14+AG14*IF(ISBLANK(Design!$B$41),Constants!$C$6,Design!$B$41)/1000*(1+Constants!$C$32/100*(AR14-25)))/($B14+AH14-AG14*AS14/1000)&gt;Design!$C$34,  (1-Constants!$C$20/1000000000*IF(ISBLANK(Design!$B$31),Design!$B$30/4,Design!$B$31/4)*1000000) * ($B14+AH14-AG14*AS14/1000) - (AH14+AG14*(1+($A14-25)*Constants!$C$32/100)*IF(ISBLANK(Design!$B$41),Constants!$C$6/1000,Design!$B$41/1000)),   (1-Constants!$C$20/1000000000*IF(ISBLANK(Design!$B$31),Design!$B$30,Design!$B$31)*1000000) * ($B14+AH14-AG14*AS14/1000) - (AH14+AG14*(1+($A14-25)*Constants!$C$32/100)*IF(ISBLANK(Design!$B$41),Constants!$C$6/1000,Design!$B$41/1000)) )</f>
        <v>7.6160276805251632</v>
      </c>
      <c r="AU14" s="119">
        <f ca="1">IF(AT14&gt;Design!$C$27,Design!$C$27,AT14)</f>
        <v>4.9936842105263155</v>
      </c>
    </row>
    <row r="15" spans="1:47" s="120" customFormat="1" ht="12.75" customHeight="1" x14ac:dyDescent="0.25">
      <c r="A15" s="112">
        <f>Design!$D$12</f>
        <v>85</v>
      </c>
      <c r="B15" s="113">
        <f t="shared" si="3"/>
        <v>9.6349999999999962</v>
      </c>
      <c r="C15" s="114">
        <f>Design!$D$6</f>
        <v>3</v>
      </c>
      <c r="D15" s="114">
        <f ca="1">FORECAST(C15, OFFSET(Design!$C$14:$C$16,MATCH(C15,Design!$B$14:$B$16,1)-1,0,2), OFFSET(Design!$B$14:$B$16,MATCH(C15,Design!$B$14:$B$16,1)-1,0,2))+(M15-25)*Design!$B$17/1000</f>
        <v>0.39787937377165306</v>
      </c>
      <c r="E15" s="173">
        <f ca="1">IF(100*(Design!$C$27+D15+C15*IF(ISBLANK(Design!$B$41),Constants!$C$6,Design!$B$41)/1000*(1+Constants!$C$32/100*(N15-25)))/($B15+D15-C15*O15/1000)&gt;Design!$C$34,Design!$C$35,100*(Design!$C$27+D15+C15*IF(ISBLANK(Design!$B$41),Constants!$C$6,Design!$B$41)/1000*(1+Constants!$C$32/100*(N15-25)))/($B15+D15-C15*O15/1000))</f>
        <v>60.138634008917428</v>
      </c>
      <c r="F15" s="115">
        <f ca="1">IF(($B15-C15*IF(ISBLANK(Design!$B$41),Constants!$C$6,Design!$B$41)/1000*(1+Constants!$C$32/100*(N15-25))-Design!$C$27)/(IF(ISBLANK(Design!$B$40),Design!$B$38,Design!$B$40)/1000000)*E15/100/(IF(ISBLANK(Design!$B$31),Design!$B$30,Design!$B$31)*1000000)&lt;0, 0, ($B15-C15*IF(ISBLANK(Design!$B$41),Constants!$C$6,Design!$B$41)/1000*(1+Constants!$C$32/100*(N15-25))-Design!$C$27)/(IF(ISBLANK(Design!$B$40),Design!$B$38,Design!$B$40)/1000000)*E15/100/(IF(ISBLANK(Design!$B$31),Design!$B$30,Design!$B$31)*1000000))</f>
        <v>0.38449139495462203</v>
      </c>
      <c r="G15" s="165">
        <f>B15*Constants!$C$21/1000+IF(ISBLANK(Design!$B$31),Design!$B$30,Design!$B$31)*1000000*Constants!$D$25/1000000000*(B15-Constants!$C$24)</f>
        <v>7.2754999999999959E-2</v>
      </c>
      <c r="H15" s="165">
        <f>B15*C15*(B15/(Constants!$C$26*1000000000)*IF(ISBLANK(Design!$B$31),Design!$B$30,Design!$B$31)*1000000/2+B15/(Constants!$C$27*1000000000)*IF(ISBLANK(Design!$B$31),Design!$B$30,Design!$B$31)*1000000/2)</f>
        <v>0.81229071874999947</v>
      </c>
      <c r="I15" s="165">
        <f t="shared" ca="1" si="0"/>
        <v>1.2959581991137012</v>
      </c>
      <c r="J15" s="165">
        <f>Constants!$D$25/1000000000*Constants!$C$24*IF(ISBLANK(Design!$B$31),Design!$B$30,Design!$B$31)*1000000</f>
        <v>5.2499999999999998E-2</v>
      </c>
      <c r="K15" s="165">
        <f t="shared" ca="1" si="4"/>
        <v>2.2335039178637008</v>
      </c>
      <c r="L15" s="165">
        <f t="shared" ca="1" si="5"/>
        <v>0.47580046014643812</v>
      </c>
      <c r="M15" s="166">
        <f ca="1">A15+L15*Design!$B$18</f>
        <v>112.12062622834696</v>
      </c>
      <c r="N15" s="166">
        <f ca="1">K15*Design!$C$11+A15</f>
        <v>167.63964496095693</v>
      </c>
      <c r="O15" s="166">
        <f ca="1">Constants!$D$22+Constants!$D$22*Constants!$C$23/100*(N15-25)</f>
        <v>239.11171596876557</v>
      </c>
      <c r="P15" s="165">
        <f ca="1">IF(100*(Design!$C$27+D15+C15*IF(ISBLANK(Design!$B$41),Constants!$C$6,Design!$B$41)/1000*(1+Constants!$C$32/100*(N15-25)))/($B15+D15-C15*O15/1000)&gt;Design!$C$34,  (1-Constants!$C$20/1000000000*IF(ISBLANK(Design!$B$31),Design!$B$30/4,Design!$B$31/4)*1000000) * ($B15+D15-C15*O15/1000) - (D15+C15*(1+($A15-25)*Constants!$C$32/100)*IF(ISBLANK(Design!$B$41),Constants!$C$6/1000,Design!$B$41/1000)),   (1-Constants!$C$20/1000000000*IF(ISBLANK(Design!$B$31),Design!$B$30,Design!$B$31)*1000000) * ($B15+D15-C15*O15/1000) - (D15+C15*(1+($A15-25)*Constants!$C$32/100)*IF(ISBLANK(Design!$B$41),Constants!$C$6/1000,Design!$B$41/1000)) )</f>
        <v>6.8923807790335614</v>
      </c>
      <c r="Q15" s="171">
        <f ca="1">IF(P15&gt;Design!$C$27,Design!$C$27,P15)</f>
        <v>4.9936842105263155</v>
      </c>
      <c r="R15" s="181">
        <f>2*Design!$D$6/3</f>
        <v>2</v>
      </c>
      <c r="S15" s="116">
        <f ca="1">FORECAST(R15, OFFSET(Design!$C$14:$C$16,MATCH(R15,Design!$B$14:$B$16,1)-1,0,2), OFFSET(Design!$B$14:$B$16,MATCH(R15,Design!$B$14:$B$16,1)-1,0,2))+(AB15-25)*Design!$B$17/1000</f>
        <v>0.38142772287068694</v>
      </c>
      <c r="T15" s="182">
        <f ca="1">IF(100*(Design!$C$27+S15+R15*IF(ISBLANK(Design!$B$41),Constants!$C$6,Design!$B$41)/1000*(1+Constants!$C$32/100*(AC15-25)))/($B15+S15-R15*AD15/1000)&gt;Design!$C$34,Design!$C$35,100*(Design!$C$27+S15+R15*IF(ISBLANK(Design!$B$41),Constants!$C$6,Design!$B$41)/1000*(1+Constants!$C$32/100*(AC15-25)))/($B15+S15-R15*AD15/1000))</f>
        <v>57.288182821500705</v>
      </c>
      <c r="U15" s="117">
        <f ca="1">IF(($B15-R15*IF(ISBLANK(Design!$B$41),Constants!$C$6,Design!$B$41)/1000*(1+Constants!$C$32/100*(AC15-25))-Design!$C$27)/(Design!$B$40/1000000)*T15/100/(IF(ISBLANK(IF(ISBLANK(Design!$B$40),Design!$B$38,Design!$B$40)),Design!$B$30,Design!$B$31)*1000000)&lt;0,0,($B15-R15*IF(ISBLANK(Design!$B$41),Constants!$C$6,Design!$B$41)/1000*(1+Constants!$C$32/100*(AC15-25))-Design!$C$27)/(IF(ISBLANK(Design!$B$40),Design!$B$38,Design!$B$40)/1000000)*T15/100/(IF(ISBLANK(Design!$B$31),Design!$B$30,Design!$B$31)*1000000))</f>
        <v>0.37325340997668183</v>
      </c>
      <c r="V15" s="183">
        <f>$B15*Constants!$C$21/1000+IF(ISBLANK(Design!$B$31),Design!$B$30,Design!$B$31)*1000000*Constants!$D$25/1000000000*($B15-Constants!$C$24)</f>
        <v>7.2754999999999959E-2</v>
      </c>
      <c r="W15" s="183">
        <f>$B15*R15*($B15/(Constants!$C$26*1000000000)*IF(ISBLANK(Design!$B$31),Design!$B$30,Design!$B$31)*1000000/2+$B15/(Constants!$C$27*1000000000)*IF(ISBLANK(Design!$B$31),Design!$B$30,Design!$B$31)*1000000/2)</f>
        <v>0.54152714583333295</v>
      </c>
      <c r="X15" s="183">
        <f t="shared" ca="1" si="1"/>
        <v>0.47527449642206687</v>
      </c>
      <c r="Y15" s="183">
        <f>Constants!$D$25/1000000000*Constants!$C$24*IF(ISBLANK(Design!$B$31),Design!$B$30,Design!$B$31)*1000000</f>
        <v>5.2499999999999998E-2</v>
      </c>
      <c r="Z15" s="183">
        <f t="shared" ca="1" si="10"/>
        <v>1.1420566422553999</v>
      </c>
      <c r="AA15" s="183">
        <f t="shared" ca="1" si="7"/>
        <v>0.32582942332128156</v>
      </c>
      <c r="AB15" s="184">
        <f ca="1">$A15+AA15*Design!$B$18</f>
        <v>103.57227712931305</v>
      </c>
      <c r="AC15" s="184">
        <f ca="1">Z15*Design!$C$11+$A15</f>
        <v>127.25609576344979</v>
      </c>
      <c r="AD15" s="184">
        <f ca="1">Constants!$D$22+Constants!$D$22*Constants!$C$23/100*(AC15-25)</f>
        <v>206.80487661075983</v>
      </c>
      <c r="AE15" s="183">
        <f ca="1">IF(100*(Design!$C$27+S15+R15*IF(ISBLANK(Design!$B$41),Constants!$C$6,Design!$B$41)/1000*(1+Constants!$C$32/100*(AC15-25)))/($B15+S15-R15*AD15/1000)&gt;Design!$C$34,  (1-Constants!$C$20/1000000000*IF(ISBLANK(Design!$B$31),Design!$B$30/4,Design!$B$31/4)*1000000) * ($B15+S15-R15*AD15/1000) - (S15+R15*(1+($A15-25)*Constants!$C$32/100)*IF(ISBLANK(Design!$B$41),Constants!$C$6/1000,Design!$B$41/1000)),   (1-Constants!$C$20/1000000000*IF(ISBLANK(Design!$B$31),Design!$B$30,Design!$B$31)*1000000) * ($B15+S15-R15*AD15/1000) - (S15+R15*(1+($A15-25)*Constants!$C$32/100)*IF(ISBLANK(Design!$B$41),Constants!$C$6/1000,Design!$B$41/1000)) )</f>
        <v>7.194406061833468</v>
      </c>
      <c r="AF15" s="117">
        <f ca="1">IF(AE15&gt;Design!$C$27,Design!$C$27,AE15)</f>
        <v>4.9936842105263155</v>
      </c>
      <c r="AG15" s="118">
        <f>Design!$D$6/3</f>
        <v>1</v>
      </c>
      <c r="AH15" s="118">
        <f ca="1">FORECAST(AG15, OFFSET(Design!$C$14:$C$16,MATCH(AG15,Design!$B$14:$B$16,1)-1,0,2), OFFSET(Design!$B$14:$B$16,MATCH(AG15,Design!$B$14:$B$16,1)-1,0,2))+(AQ15-25)*Design!$B$17/1000</f>
        <v>0.31416031997691429</v>
      </c>
      <c r="AI15" s="194">
        <f ca="1">IF(100*(Design!$C$27+AH15+AG15*IF(ISBLANK(Design!$B$41),Constants!$C$6,Design!$B$41)/1000*(1+Constants!$C$32/100*(AR15-25)))/($B15+AH15-AG15*AS15/1000)&gt;Design!$C$34,Design!$C$35,100*(Design!$C$27+AH15+AG15*IF(ISBLANK(Design!$B$41),Constants!$C$6,Design!$B$41)/1000*(1+Constants!$C$32/100*(AR15-25)))/($B15+AH15-AG15*AS15/1000))</f>
        <v>54.979393480684067</v>
      </c>
      <c r="AJ15" s="119">
        <f ca="1">IF(($B15-AG15*IF(ISBLANK(Design!$B$41),Constants!$C$6,Design!$B$41)/1000*(1+Constants!$C$32/100*(AR15-25))-Design!$C$27)/(IF(ISBLANK(Design!$B$40),Design!$B$38,Design!$B$40)/1000000)*AI15/100/(IF(ISBLANK(Design!$B$31),Design!$B$30,Design!$B$31)*1000000)&lt;0,0,($B15-AG15*IF(ISBLANK(Design!$B$41),Constants!$C$6,Design!$B$41)/1000*(1+Constants!$C$32/100*(AR15-25))-Design!$C$27)/(IF(ISBLANK(Design!$B$40),Design!$B$38,Design!$B$40)/1000000)*AI15/100/(IF(ISBLANK(Design!$B$31),Design!$B$30,Design!$B$31)*1000000))</f>
        <v>0.36354868925174677</v>
      </c>
      <c r="AK15" s="195">
        <f>$B15*Constants!$C$21/1000+IF(ISBLANK(Design!$B$31),Design!$B$30,Design!$B$31)*1000000*Constants!$D$25/1000000000*($B15-Constants!$C$24)</f>
        <v>7.2754999999999959E-2</v>
      </c>
      <c r="AL15" s="195">
        <f>$B15*AG15*($B15/(Constants!$C$26*1000000000)*IF(ISBLANK(Design!$B$31),Design!$B$30,Design!$B$31)*1000000/2+$B15/(Constants!$C$27*1000000000)*IF(ISBLANK(Design!$B$31),Design!$B$30,Design!$B$31)*1000000/2)</f>
        <v>0.27076357291666647</v>
      </c>
      <c r="AM15" s="195">
        <f t="shared" ca="1" si="2"/>
        <v>0.10439531756767842</v>
      </c>
      <c r="AN15" s="195">
        <f>Constants!$D$25/1000000000*Constants!$C$24*IF(ISBLANK(Design!$B$31),Design!$B$30,Design!$B$31)*1000000</f>
        <v>5.2499999999999998E-2</v>
      </c>
      <c r="AO15" s="195">
        <f t="shared" ca="1" si="11"/>
        <v>0.50041389048434481</v>
      </c>
      <c r="AP15" s="195">
        <f t="shared" ca="1" si="9"/>
        <v>0.14143688149663047</v>
      </c>
      <c r="AQ15" s="196">
        <f ca="1">$A15+AP15*Design!$B$18</f>
        <v>93.061902245307934</v>
      </c>
      <c r="AR15" s="196">
        <f ca="1">AO15*Design!$C$11+$A15</f>
        <v>103.51531394792076</v>
      </c>
      <c r="AS15" s="196">
        <f ca="1">Constants!$D$22+Constants!$D$22*Constants!$C$23/100*(AR15-25)</f>
        <v>187.81225115833661</v>
      </c>
      <c r="AT15" s="195">
        <f ca="1">IF(100*(Design!$C$27+AH15+AG15*IF(ISBLANK(Design!$B$41),Constants!$C$6,Design!$B$41)/1000*(1+Constants!$C$32/100*(AR15-25)))/($B15+AH15-AG15*AS15/1000)&gt;Design!$C$34,  (1-Constants!$C$20/1000000000*IF(ISBLANK(Design!$B$31),Design!$B$30/4,Design!$B$31/4)*1000000) * ($B15+AH15-AG15*AS15/1000) - (AH15+AG15*(1+($A15-25)*Constants!$C$32/100)*IF(ISBLANK(Design!$B$41),Constants!$C$6/1000,Design!$B$41/1000)),   (1-Constants!$C$20/1000000000*IF(ISBLANK(Design!$B$31),Design!$B$30,Design!$B$31)*1000000) * ($B15+AH15-AG15*AS15/1000) - (AH15+AG15*(1+($A15-25)*Constants!$C$32/100)*IF(ISBLANK(Design!$B$41),Constants!$C$6/1000,Design!$B$41/1000)) )</f>
        <v>7.4441878091123543</v>
      </c>
      <c r="AU15" s="119">
        <f ca="1">IF(AT15&gt;Design!$C$27,Design!$C$27,AT15)</f>
        <v>4.9936842105263155</v>
      </c>
    </row>
    <row r="16" spans="1:47" s="120" customFormat="1" ht="12.75" customHeight="1" x14ac:dyDescent="0.25">
      <c r="A16" s="112">
        <f>Design!$D$12</f>
        <v>85</v>
      </c>
      <c r="B16" s="113">
        <f t="shared" si="3"/>
        <v>9.4199999999999964</v>
      </c>
      <c r="C16" s="114">
        <f>Design!$D$6</f>
        <v>3</v>
      </c>
      <c r="D16" s="114">
        <f ca="1">FORECAST(C16, OFFSET(Design!$C$14:$C$16,MATCH(C16,Design!$B$14:$B$16,1)-1,0,2), OFFSET(Design!$B$14:$B$16,MATCH(C16,Design!$B$14:$B$16,1)-1,0,2))+(M16-25)*Design!$B$17/1000</f>
        <v>0.39878372206274287</v>
      </c>
      <c r="E16" s="173">
        <f ca="1">IF(100*(Design!$C$27+D16+C16*IF(ISBLANK(Design!$B$41),Constants!$C$6,Design!$B$41)/1000*(1+Constants!$C$32/100*(N16-25)))/($B16+D16-C16*O16/1000)&gt;Design!$C$34,Design!$C$35,100*(Design!$C$27+D16+C16*IF(ISBLANK(Design!$B$41),Constants!$C$6,Design!$B$41)/1000*(1+Constants!$C$32/100*(N16-25)))/($B16+D16-C16*O16/1000))</f>
        <v>61.555209402347856</v>
      </c>
      <c r="F16" s="115">
        <f ca="1">IF(($B16-C16*IF(ISBLANK(Design!$B$41),Constants!$C$6,Design!$B$41)/1000*(1+Constants!$C$32/100*(N16-25))-Design!$C$27)/(IF(ISBLANK(Design!$B$40),Design!$B$38,Design!$B$40)/1000000)*E16/100/(IF(ISBLANK(Design!$B$31),Design!$B$30,Design!$B$31)*1000000)&lt;0, 0, ($B16-C16*IF(ISBLANK(Design!$B$41),Constants!$C$6,Design!$B$41)/1000*(1+Constants!$C$32/100*(N16-25))-Design!$C$27)/(IF(ISBLANK(Design!$B$40),Design!$B$38,Design!$B$40)/1000000)*E16/100/(IF(ISBLANK(Design!$B$31),Design!$B$30,Design!$B$31)*1000000))</f>
        <v>0.37446806344617889</v>
      </c>
      <c r="G16" s="165">
        <f>B16*Constants!$C$21/1000+IF(ISBLANK(Design!$B$31),Design!$B$30,Design!$B$31)*1000000*Constants!$D$25/1000000000*(B16-Constants!$C$24)</f>
        <v>6.9959999999999953E-2</v>
      </c>
      <c r="H16" s="165">
        <f>B16*C16*(B16/(Constants!$C$26*1000000000)*IF(ISBLANK(Design!$B$31),Design!$B$30,Design!$B$31)*1000000/2+B16/(Constants!$C$27*1000000000)*IF(ISBLANK(Design!$B$31),Design!$B$30,Design!$B$31)*1000000/2)</f>
        <v>0.7764434999999994</v>
      </c>
      <c r="I16" s="165">
        <f t="shared" ca="1" si="0"/>
        <v>1.3247787158859288</v>
      </c>
      <c r="J16" s="165">
        <f>Constants!$D$25/1000000000*Constants!$C$24*IF(ISBLANK(Design!$B$31),Design!$B$30,Design!$B$31)*1000000</f>
        <v>5.2499999999999998E-2</v>
      </c>
      <c r="K16" s="165">
        <f t="shared" ca="1" si="4"/>
        <v>2.2236822158859284</v>
      </c>
      <c r="L16" s="165">
        <f t="shared" ca="1" si="5"/>
        <v>0.45993470065363395</v>
      </c>
      <c r="M16" s="166">
        <f ca="1">A16+L16*Design!$B$18</f>
        <v>111.21627793725713</v>
      </c>
      <c r="N16" s="166">
        <f ca="1">K16*Design!$C$11+A16</f>
        <v>167.27624198777937</v>
      </c>
      <c r="O16" s="166">
        <f ca="1">Constants!$D$22+Constants!$D$22*Constants!$C$23/100*(N16-25)</f>
        <v>238.82099359022351</v>
      </c>
      <c r="P16" s="165">
        <f ca="1">IF(100*(Design!$C$27+D16+C16*IF(ISBLANK(Design!$B$41),Constants!$C$6,Design!$B$41)/1000*(1+Constants!$C$32/100*(N16-25)))/($B16+D16-C16*O16/1000)&gt;Design!$C$34,  (1-Constants!$C$20/1000000000*IF(ISBLANK(Design!$B$31),Design!$B$30/4,Design!$B$31/4)*1000000) * ($B16+D16-C16*O16/1000) - (D16+C16*(1+($A16-25)*Constants!$C$32/100)*IF(ISBLANK(Design!$B$41),Constants!$C$6/1000,Design!$B$41/1000)),   (1-Constants!$C$20/1000000000*IF(ISBLANK(Design!$B$31),Design!$B$30,Design!$B$31)*1000000) * ($B16+D16-C16*O16/1000) - (D16+C16*(1+($A16-25)*Constants!$C$32/100)*IF(ISBLANK(Design!$B$41),Constants!$C$6/1000,Design!$B$41/1000)) )</f>
        <v>6.7207910313415589</v>
      </c>
      <c r="Q16" s="171">
        <f ca="1">IF(P16&gt;Design!$C$27,Design!$C$27,P16)</f>
        <v>4.9936842105263155</v>
      </c>
      <c r="R16" s="181">
        <f>2*Design!$D$6/3</f>
        <v>2</v>
      </c>
      <c r="S16" s="116">
        <f ca="1">FORECAST(R16, OFFSET(Design!$C$14:$C$16,MATCH(R16,Design!$B$14:$B$16,1)-1,0,2), OFFSET(Design!$B$14:$B$16,MATCH(R16,Design!$B$14:$B$16,1)-1,0,2))+(AB16-25)*Design!$B$17/1000</f>
        <v>0.3819698822792858</v>
      </c>
      <c r="T16" s="182">
        <f ca="1">IF(100*(Design!$C$27+S16+R16*IF(ISBLANK(Design!$B$41),Constants!$C$6,Design!$B$41)/1000*(1+Constants!$C$32/100*(AC16-25)))/($B16+S16-R16*AD16/1000)&gt;Design!$C$34,Design!$C$35,100*(Design!$C$27+S16+R16*IF(ISBLANK(Design!$B$41),Constants!$C$6,Design!$B$41)/1000*(1+Constants!$C$32/100*(AC16-25)))/($B16+S16-R16*AD16/1000))</f>
        <v>58.593874880678491</v>
      </c>
      <c r="U16" s="117">
        <f ca="1">IF(($B16-R16*IF(ISBLANK(Design!$B$41),Constants!$C$6,Design!$B$41)/1000*(1+Constants!$C$32/100*(AC16-25))-Design!$C$27)/(Design!$B$40/1000000)*T16/100/(IF(ISBLANK(IF(ISBLANK(Design!$B$40),Design!$B$38,Design!$B$40)),Design!$B$30,Design!$B$31)*1000000)&lt;0,0,($B16-R16*IF(ISBLANK(Design!$B$41),Constants!$C$6,Design!$B$41)/1000*(1+Constants!$C$32/100*(AC16-25))-Design!$C$27)/(IF(ISBLANK(Design!$B$40),Design!$B$38,Design!$B$40)/1000000)*T16/100/(IF(ISBLANK(Design!$B$31),Design!$B$30,Design!$B$31)*1000000))</f>
        <v>0.36360094298446693</v>
      </c>
      <c r="V16" s="183">
        <f>$B16*Constants!$C$21/1000+IF(ISBLANK(Design!$B$31),Design!$B$30,Design!$B$31)*1000000*Constants!$D$25/1000000000*($B16-Constants!$C$24)</f>
        <v>6.9959999999999953E-2</v>
      </c>
      <c r="W16" s="183">
        <f>$B16*R16*($B16/(Constants!$C$26*1000000000)*IF(ISBLANK(Design!$B$31),Design!$B$30,Design!$B$31)*1000000/2+$B16/(Constants!$C$27*1000000000)*IF(ISBLANK(Design!$B$31),Design!$B$30,Design!$B$31)*1000000/2)</f>
        <v>0.51762899999999956</v>
      </c>
      <c r="X16" s="183">
        <f t="shared" ca="1" si="1"/>
        <v>0.48484371723359337</v>
      </c>
      <c r="Y16" s="183">
        <f>Constants!$D$25/1000000000*Constants!$C$24*IF(ISBLANK(Design!$B$31),Design!$B$30,Design!$B$31)*1000000</f>
        <v>5.2499999999999998E-2</v>
      </c>
      <c r="Z16" s="183">
        <f t="shared" ca="1" si="10"/>
        <v>1.1249327172335928</v>
      </c>
      <c r="AA16" s="183">
        <f t="shared" ca="1" si="7"/>
        <v>0.31631785474937235</v>
      </c>
      <c r="AB16" s="184">
        <f ca="1">$A16+AA16*Design!$B$18</f>
        <v>103.03011772071423</v>
      </c>
      <c r="AC16" s="184">
        <f ca="1">Z16*Design!$C$11+$A16</f>
        <v>126.62251053764294</v>
      </c>
      <c r="AD16" s="184">
        <f ca="1">Constants!$D$22+Constants!$D$22*Constants!$C$23/100*(AC16-25)</f>
        <v>206.29800843011435</v>
      </c>
      <c r="AE16" s="183">
        <f ca="1">IF(100*(Design!$C$27+S16+R16*IF(ISBLANK(Design!$B$41),Constants!$C$6,Design!$B$41)/1000*(1+Constants!$C$32/100*(AC16-25)))/($B16+S16-R16*AD16/1000)&gt;Design!$C$34,  (1-Constants!$C$20/1000000000*IF(ISBLANK(Design!$B$31),Design!$B$30/4,Design!$B$31/4)*1000000) * ($B16+S16-R16*AD16/1000) - (S16+R16*(1+($A16-25)*Constants!$C$32/100)*IF(ISBLANK(Design!$B$41),Constants!$C$6/1000,Design!$B$41/1000)),   (1-Constants!$C$20/1000000000*IF(ISBLANK(Design!$B$31),Design!$B$30,Design!$B$31)*1000000) * ($B16+S16-R16*AD16/1000) - (S16+R16*(1+($A16-25)*Constants!$C$32/100)*IF(ISBLANK(Design!$B$41),Constants!$C$6/1000,Design!$B$41/1000)) )</f>
        <v>7.0230018969886663</v>
      </c>
      <c r="AF16" s="117">
        <f ca="1">IF(AE16&gt;Design!$C$27,Design!$C$27,AE16)</f>
        <v>4.9936842105263155</v>
      </c>
      <c r="AG16" s="118">
        <f>Design!$D$6/3</f>
        <v>1</v>
      </c>
      <c r="AH16" s="118">
        <f ca="1">FORECAST(AG16, OFFSET(Design!$C$14:$C$16,MATCH(AG16,Design!$B$14:$B$16,1)-1,0,2), OFFSET(Design!$B$14:$B$16,MATCH(AG16,Design!$B$14:$B$16,1)-1,0,2))+(AQ16-25)*Design!$B$17/1000</f>
        <v>0.31437628796103689</v>
      </c>
      <c r="AI16" s="194">
        <f ca="1">IF(100*(Design!$C$27+AH16+AG16*IF(ISBLANK(Design!$B$41),Constants!$C$6,Design!$B$41)/1000*(1+Constants!$C$32/100*(AR16-25)))/($B16+AH16-AG16*AS16/1000)&gt;Design!$C$34,Design!$C$35,100*(Design!$C$27+AH16+AG16*IF(ISBLANK(Design!$B$41),Constants!$C$6,Design!$B$41)/1000*(1+Constants!$C$32/100*(AR16-25)))/($B16+AH16-AG16*AS16/1000))</f>
        <v>56.21553699637176</v>
      </c>
      <c r="AJ16" s="119">
        <f ca="1">IF(($B16-AG16*IF(ISBLANK(Design!$B$41),Constants!$C$6,Design!$B$41)/1000*(1+Constants!$C$32/100*(AR16-25))-Design!$C$27)/(IF(ISBLANK(Design!$B$40),Design!$B$38,Design!$B$40)/1000000)*AI16/100/(IF(ISBLANK(Design!$B$31),Design!$B$30,Design!$B$31)*1000000)&lt;0,0,($B16-AG16*IF(ISBLANK(Design!$B$41),Constants!$C$6,Design!$B$41)/1000*(1+Constants!$C$32/100*(AR16-25))-Design!$C$27)/(IF(ISBLANK(Design!$B$40),Design!$B$38,Design!$B$40)/1000000)*AI16/100/(IF(ISBLANK(Design!$B$31),Design!$B$30,Design!$B$31)*1000000))</f>
        <v>0.35428874854707065</v>
      </c>
      <c r="AK16" s="195">
        <f>$B16*Constants!$C$21/1000+IF(ISBLANK(Design!$B$31),Design!$B$30,Design!$B$31)*1000000*Constants!$D$25/1000000000*($B16-Constants!$C$24)</f>
        <v>6.9959999999999953E-2</v>
      </c>
      <c r="AL16" s="195">
        <f>$B16*AG16*($B16/(Constants!$C$26*1000000000)*IF(ISBLANK(Design!$B$31),Design!$B$30,Design!$B$31)*1000000/2+$B16/(Constants!$C$27*1000000000)*IF(ISBLANK(Design!$B$31),Design!$B$30,Design!$B$31)*1000000/2)</f>
        <v>0.25881449999999978</v>
      </c>
      <c r="AM16" s="195">
        <f t="shared" ca="1" si="2"/>
        <v>0.10647102943964355</v>
      </c>
      <c r="AN16" s="195">
        <f>Constants!$D$25/1000000000*Constants!$C$24*IF(ISBLANK(Design!$B$31),Design!$B$30,Design!$B$31)*1000000</f>
        <v>5.2499999999999998E-2</v>
      </c>
      <c r="AO16" s="195">
        <f t="shared" ca="1" si="11"/>
        <v>0.48774552943964328</v>
      </c>
      <c r="AP16" s="195">
        <f t="shared" ca="1" si="9"/>
        <v>0.13764796949447997</v>
      </c>
      <c r="AQ16" s="196">
        <f ca="1">$A16+AP16*Design!$B$18</f>
        <v>92.845934261185363</v>
      </c>
      <c r="AR16" s="196">
        <f ca="1">AO16*Design!$C$11+$A16</f>
        <v>103.0465845892668</v>
      </c>
      <c r="AS16" s="196">
        <f ca="1">Constants!$D$22+Constants!$D$22*Constants!$C$23/100*(AR16-25)</f>
        <v>187.43726767141345</v>
      </c>
      <c r="AT16" s="195">
        <f ca="1">IF(100*(Design!$C$27+AH16+AG16*IF(ISBLANK(Design!$B$41),Constants!$C$6,Design!$B$41)/1000*(1+Constants!$C$32/100*(AR16-25)))/($B16+AH16-AG16*AS16/1000)&gt;Design!$C$34,  (1-Constants!$C$20/1000000000*IF(ISBLANK(Design!$B$31),Design!$B$30/4,Design!$B$31/4)*1000000) * ($B16+AH16-AG16*AS16/1000) - (AH16+AG16*(1+($A16-25)*Constants!$C$32/100)*IF(ISBLANK(Design!$B$41),Constants!$C$6/1000,Design!$B$41/1000)),   (1-Constants!$C$20/1000000000*IF(ISBLANK(Design!$B$31),Design!$B$30,Design!$B$31)*1000000) * ($B16+AH16-AG16*AS16/1000) - (AH16+AG16*(1+($A16-25)*Constants!$C$32/100)*IF(ISBLANK(Design!$B$41),Constants!$C$6/1000,Design!$B$41/1000)) )</f>
        <v>7.2723373977808041</v>
      </c>
      <c r="AU16" s="119">
        <f ca="1">IF(AT16&gt;Design!$C$27,Design!$C$27,AT16)</f>
        <v>4.9936842105263155</v>
      </c>
    </row>
    <row r="17" spans="1:47" s="120" customFormat="1" ht="12.75" customHeight="1" x14ac:dyDescent="0.25">
      <c r="A17" s="112">
        <f>Design!$D$12</f>
        <v>85</v>
      </c>
      <c r="B17" s="113">
        <f t="shared" si="3"/>
        <v>9.2049999999999965</v>
      </c>
      <c r="C17" s="114">
        <f>Design!$D$6</f>
        <v>3</v>
      </c>
      <c r="D17" s="114">
        <f ca="1">FORECAST(C17, OFFSET(Design!$C$14:$C$16,MATCH(C17,Design!$B$14:$B$16,1)-1,0,2), OFFSET(Design!$B$14:$B$16,MATCH(C17,Design!$B$14:$B$16,1)-1,0,2))+(M17-25)*Design!$B$17/1000</f>
        <v>0.39973748467304598</v>
      </c>
      <c r="E17" s="173">
        <f ca="1">IF(100*(Design!$C$27+D17+C17*IF(ISBLANK(Design!$B$41),Constants!$C$6,Design!$B$41)/1000*(1+Constants!$C$32/100*(N17-25)))/($B17+D17-C17*O17/1000)&gt;Design!$C$34,Design!$C$35,100*(Design!$C$27+D17+C17*IF(ISBLANK(Design!$B$41),Constants!$C$6,Design!$B$41)/1000*(1+Constants!$C$32/100*(N17-25)))/($B17+D17-C17*O17/1000))</f>
        <v>63.042243115929004</v>
      </c>
      <c r="F17" s="115">
        <f ca="1">IF(($B17-C17*IF(ISBLANK(Design!$B$41),Constants!$C$6,Design!$B$41)/1000*(1+Constants!$C$32/100*(N17-25))-Design!$C$27)/(IF(ISBLANK(Design!$B$40),Design!$B$38,Design!$B$40)/1000000)*E17/100/(IF(ISBLANK(Design!$B$31),Design!$B$30,Design!$B$31)*1000000)&lt;0, 0, ($B17-C17*IF(ISBLANK(Design!$B$41),Constants!$C$6,Design!$B$41)/1000*(1+Constants!$C$32/100*(N17-25))-Design!$C$27)/(IF(ISBLANK(Design!$B$40),Design!$B$38,Design!$B$40)/1000000)*E17/100/(IF(ISBLANK(Design!$B$31),Design!$B$30,Design!$B$31)*1000000))</f>
        <v>0.3639685226388466</v>
      </c>
      <c r="G17" s="165">
        <f>B17*Constants!$C$21/1000+IF(ISBLANK(Design!$B$31),Design!$B$30,Design!$B$31)*1000000*Constants!$D$25/1000000000*(B17-Constants!$C$24)</f>
        <v>6.7164999999999961E-2</v>
      </c>
      <c r="H17" s="165">
        <f>B17*C17*(B17/(Constants!$C$26*1000000000)*IF(ISBLANK(Design!$B$31),Design!$B$30,Design!$B$31)*1000000/2+B17/(Constants!$C$27*1000000000)*IF(ISBLANK(Design!$B$31),Design!$B$30,Design!$B$31)*1000000/2)</f>
        <v>0.74140521874999943</v>
      </c>
      <c r="I17" s="165">
        <f t="shared" ca="1" si="0"/>
        <v>1.3554870062777946</v>
      </c>
      <c r="J17" s="165">
        <f>Constants!$D$25/1000000000*Constants!$C$24*IF(ISBLANK(Design!$B$31),Design!$B$30,Design!$B$31)*1000000</f>
        <v>5.2499999999999998E-2</v>
      </c>
      <c r="K17" s="165">
        <f t="shared" ca="1" si="4"/>
        <v>2.2165572250277941</v>
      </c>
      <c r="L17" s="165">
        <f t="shared" ca="1" si="5"/>
        <v>0.44320202327989466</v>
      </c>
      <c r="M17" s="166">
        <f ca="1">A17+L17*Design!$B$18</f>
        <v>110.262515326954</v>
      </c>
      <c r="N17" s="166">
        <f ca="1">K17*Design!$C$11+A17</f>
        <v>167.01261732602836</v>
      </c>
      <c r="O17" s="166">
        <f ca="1">Constants!$D$22+Constants!$D$22*Constants!$C$23/100*(N17-25)</f>
        <v>238.6100938608227</v>
      </c>
      <c r="P17" s="165">
        <f ca="1">IF(100*(Design!$C$27+D17+C17*IF(ISBLANK(Design!$B$41),Constants!$C$6,Design!$B$41)/1000*(1+Constants!$C$32/100*(N17-25)))/($B17+D17-C17*O17/1000)&gt;Design!$C$34,  (1-Constants!$C$20/1000000000*IF(ISBLANK(Design!$B$31),Design!$B$30/4,Design!$B$31/4)*1000000) * ($B17+D17-C17*O17/1000) - (D17+C17*(1+($A17-25)*Constants!$C$32/100)*IF(ISBLANK(Design!$B$41),Constants!$C$6/1000,Design!$B$41/1000)),   (1-Constants!$C$20/1000000000*IF(ISBLANK(Design!$B$31),Design!$B$30,Design!$B$31)*1000000) * ($B17+D17-C17*O17/1000) - (D17+C17*(1+($A17-25)*Constants!$C$32/100)*IF(ISBLANK(Design!$B$41),Constants!$C$6/1000,Design!$B$41/1000)) )</f>
        <v>6.5489997314009587</v>
      </c>
      <c r="Q17" s="171">
        <f ca="1">IF(P17&gt;Design!$C$27,Design!$C$27,P17)</f>
        <v>4.9936842105263155</v>
      </c>
      <c r="R17" s="181">
        <f>2*Design!$D$6/3</f>
        <v>2</v>
      </c>
      <c r="S17" s="116">
        <f ca="1">FORECAST(R17, OFFSET(Design!$C$14:$C$16,MATCH(R17,Design!$B$14:$B$16,1)-1,0,2), OFFSET(Design!$B$14:$B$16,MATCH(R17,Design!$B$14:$B$16,1)-1,0,2))+(AB17-25)*Design!$B$17/1000</f>
        <v>0.38253920183196377</v>
      </c>
      <c r="T17" s="182">
        <f ca="1">IF(100*(Design!$C$27+S17+R17*IF(ISBLANK(Design!$B$41),Constants!$C$6,Design!$B$41)/1000*(1+Constants!$C$32/100*(AC17-25)))/($B17+S17-R17*AD17/1000)&gt;Design!$C$34,Design!$C$35,100*(Design!$C$27+S17+R17*IF(ISBLANK(Design!$B$41),Constants!$C$6,Design!$B$41)/1000*(1+Constants!$C$32/100*(AC17-25)))/($B17+S17-R17*AD17/1000))</f>
        <v>59.960993415225303</v>
      </c>
      <c r="U17" s="117">
        <f ca="1">IF(($B17-R17*IF(ISBLANK(Design!$B$41),Constants!$C$6,Design!$B$41)/1000*(1+Constants!$C$32/100*(AC17-25))-Design!$C$27)/(Design!$B$40/1000000)*T17/100/(IF(ISBLANK(IF(ISBLANK(Design!$B$40),Design!$B$38,Design!$B$40)),Design!$B$30,Design!$B$31)*1000000)&lt;0,0,($B17-R17*IF(ISBLANK(Design!$B$41),Constants!$C$6,Design!$B$41)/1000*(1+Constants!$C$32/100*(AC17-25))-Design!$C$27)/(IF(ISBLANK(Design!$B$40),Design!$B$38,Design!$B$40)/1000000)*T17/100/(IF(ISBLANK(Design!$B$31),Design!$B$30,Design!$B$31)*1000000))</f>
        <v>0.35350008618581474</v>
      </c>
      <c r="V17" s="183">
        <f>$B17*Constants!$C$21/1000+IF(ISBLANK(Design!$B$31),Design!$B$30,Design!$B$31)*1000000*Constants!$D$25/1000000000*($B17-Constants!$C$24)</f>
        <v>6.7164999999999961E-2</v>
      </c>
      <c r="W17" s="183">
        <f>$B17*R17*($B17/(Constants!$C$26*1000000000)*IF(ISBLANK(Design!$B$31),Design!$B$30,Design!$B$31)*1000000/2+$B17/(Constants!$C$27*1000000000)*IF(ISBLANK(Design!$B$31),Design!$B$30,Design!$B$31)*1000000/2)</f>
        <v>0.49427014583333301</v>
      </c>
      <c r="X17" s="183">
        <f t="shared" ca="1" si="1"/>
        <v>0.49493840736259476</v>
      </c>
      <c r="Y17" s="183">
        <f>Constants!$D$25/1000000000*Constants!$C$24*IF(ISBLANK(Design!$B$31),Design!$B$30,Design!$B$31)*1000000</f>
        <v>5.2499999999999998E-2</v>
      </c>
      <c r="Z17" s="183">
        <f t="shared" ca="1" si="10"/>
        <v>1.1088735531959277</v>
      </c>
      <c r="AA17" s="183">
        <f t="shared" ca="1" si="7"/>
        <v>0.30632979242168906</v>
      </c>
      <c r="AB17" s="184">
        <f ca="1">$A17+AA17*Design!$B$18</f>
        <v>102.46079816803628</v>
      </c>
      <c r="AC17" s="184">
        <f ca="1">Z17*Design!$C$11+$A17</f>
        <v>126.02832146824932</v>
      </c>
      <c r="AD17" s="184">
        <f ca="1">Constants!$D$22+Constants!$D$22*Constants!$C$23/100*(AC17-25)</f>
        <v>205.82265717459944</v>
      </c>
      <c r="AE17" s="183">
        <f ca="1">IF(100*(Design!$C$27+S17+R17*IF(ISBLANK(Design!$B$41),Constants!$C$6,Design!$B$41)/1000*(1+Constants!$C$32/100*(AC17-25)))/($B17+S17-R17*AD17/1000)&gt;Design!$C$34,  (1-Constants!$C$20/1000000000*IF(ISBLANK(Design!$B$31),Design!$B$30/4,Design!$B$31/4)*1000000) * ($B17+S17-R17*AD17/1000) - (S17+R17*(1+($A17-25)*Constants!$C$32/100)*IF(ISBLANK(Design!$B$41),Constants!$C$6/1000,Design!$B$41/1000)),   (1-Constants!$C$20/1000000000*IF(ISBLANK(Design!$B$31),Design!$B$30,Design!$B$31)*1000000) * ($B17+S17-R17*AD17/1000) - (S17+R17*(1+($A17-25)*Constants!$C$32/100)*IF(ISBLANK(Design!$B$41),Constants!$C$6/1000,Design!$B$41/1000)) )</f>
        <v>6.8515418550979863</v>
      </c>
      <c r="AF17" s="117">
        <f ca="1">IF(AE17&gt;Design!$C$27,Design!$C$27,AE17)</f>
        <v>4.9936842105263155</v>
      </c>
      <c r="AG17" s="118">
        <f>Design!$D$6/3</f>
        <v>1</v>
      </c>
      <c r="AH17" s="118">
        <f ca="1">FORECAST(AG17, OFFSET(Design!$C$14:$C$16,MATCH(AG17,Design!$B$14:$B$16,1)-1,0,2), OFFSET(Design!$B$14:$B$16,MATCH(AG17,Design!$B$14:$B$16,1)-1,0,2))+(AQ17-25)*Design!$B$17/1000</f>
        <v>0.31460252192086824</v>
      </c>
      <c r="AI17" s="194">
        <f ca="1">IF(100*(Design!$C$27+AH17+AG17*IF(ISBLANK(Design!$B$41),Constants!$C$6,Design!$B$41)/1000*(1+Constants!$C$32/100*(AR17-25)))/($B17+AH17-AG17*AS17/1000)&gt;Design!$C$34,Design!$C$35,100*(Design!$C$27+AH17+AG17*IF(ISBLANK(Design!$B$41),Constants!$C$6,Design!$B$41)/1000*(1+Constants!$C$32/100*(AR17-25)))/($B17+AH17-AG17*AS17/1000))</f>
        <v>57.508620134660632</v>
      </c>
      <c r="AJ17" s="119">
        <f ca="1">IF(($B17-AG17*IF(ISBLANK(Design!$B$41),Constants!$C$6,Design!$B$41)/1000*(1+Constants!$C$32/100*(AR17-25))-Design!$C$27)/(IF(ISBLANK(Design!$B$40),Design!$B$38,Design!$B$40)/1000000)*AI17/100/(IF(ISBLANK(Design!$B$31),Design!$B$30,Design!$B$31)*1000000)&lt;0,0,($B17-AG17*IF(ISBLANK(Design!$B$41),Constants!$C$6,Design!$B$41)/1000*(1+Constants!$C$32/100*(AR17-25))-Design!$C$27)/(IF(ISBLANK(Design!$B$40),Design!$B$38,Design!$B$40)/1000000)*AI17/100/(IF(ISBLANK(Design!$B$31),Design!$B$30,Design!$B$31)*1000000))</f>
        <v>0.34460308050392607</v>
      </c>
      <c r="AK17" s="195">
        <f>$B17*Constants!$C$21/1000+IF(ISBLANK(Design!$B$31),Design!$B$30,Design!$B$31)*1000000*Constants!$D$25/1000000000*($B17-Constants!$C$24)</f>
        <v>6.7164999999999961E-2</v>
      </c>
      <c r="AL17" s="195">
        <f>$B17*AG17*($B17/(Constants!$C$26*1000000000)*IF(ISBLANK(Design!$B$31),Design!$B$30,Design!$B$31)*1000000/2+$B17/(Constants!$C$27*1000000000)*IF(ISBLANK(Design!$B$31),Design!$B$30,Design!$B$31)*1000000/2)</f>
        <v>0.2471350729166665</v>
      </c>
      <c r="AM17" s="195">
        <f t="shared" ca="1" si="2"/>
        <v>0.10864788767340491</v>
      </c>
      <c r="AN17" s="195">
        <f>Constants!$D$25/1000000000*Constants!$C$24*IF(ISBLANK(Design!$B$31),Design!$B$30,Design!$B$31)*1000000</f>
        <v>5.2499999999999998E-2</v>
      </c>
      <c r="AO17" s="195">
        <f t="shared" ca="1" si="11"/>
        <v>0.47544796059007133</v>
      </c>
      <c r="AP17" s="195">
        <f t="shared" ca="1" si="9"/>
        <v>0.13367895265533369</v>
      </c>
      <c r="AQ17" s="196">
        <f ca="1">$A17+AP17*Design!$B$18</f>
        <v>92.619700301354015</v>
      </c>
      <c r="AR17" s="196">
        <f ca="1">AO17*Design!$C$11+$A17</f>
        <v>102.59157454183264</v>
      </c>
      <c r="AS17" s="196">
        <f ca="1">Constants!$D$22+Constants!$D$22*Constants!$C$23/100*(AR17-25)</f>
        <v>187.07325963346611</v>
      </c>
      <c r="AT17" s="195">
        <f ca="1">IF(100*(Design!$C$27+AH17+AG17*IF(ISBLANK(Design!$B$41),Constants!$C$6,Design!$B$41)/1000*(1+Constants!$C$32/100*(AR17-25)))/($B17+AH17-AG17*AS17/1000)&gt;Design!$C$34,  (1-Constants!$C$20/1000000000*IF(ISBLANK(Design!$B$31),Design!$B$30/4,Design!$B$31/4)*1000000) * ($B17+AH17-AG17*AS17/1000) - (AH17+AG17*(1+($A17-25)*Constants!$C$32/100)*IF(ISBLANK(Design!$B$41),Constants!$C$6/1000,Design!$B$41/1000)),   (1-Constants!$C$20/1000000000*IF(ISBLANK(Design!$B$31),Design!$B$30,Design!$B$31)*1000000) * ($B17+AH17-AG17*AS17/1000) - (AH17+AG17*(1+($A17-25)*Constants!$C$32/100)*IF(ISBLANK(Design!$B$41),Constants!$C$6/1000,Design!$B$41/1000)) )</f>
        <v>7.1004761525401943</v>
      </c>
      <c r="AU17" s="119">
        <f ca="1">IF(AT17&gt;Design!$C$27,Design!$C$27,AT17)</f>
        <v>4.9936842105263155</v>
      </c>
    </row>
    <row r="18" spans="1:47" s="120" customFormat="1" ht="12.75" customHeight="1" x14ac:dyDescent="0.25">
      <c r="A18" s="112">
        <f>Design!$D$12</f>
        <v>85</v>
      </c>
      <c r="B18" s="113">
        <f t="shared" si="3"/>
        <v>8.9899999999999967</v>
      </c>
      <c r="C18" s="114">
        <f>Design!$D$6</f>
        <v>3</v>
      </c>
      <c r="D18" s="114">
        <f ca="1">FORECAST(C18, OFFSET(Design!$C$14:$C$16,MATCH(C18,Design!$B$14:$B$16,1)-1,0,2), OFFSET(Design!$B$14:$B$16,MATCH(C18,Design!$B$14:$B$16,1)-1,0,2))+(M18-25)*Design!$B$17/1000</f>
        <v>0.40074487686444815</v>
      </c>
      <c r="E18" s="173">
        <f ca="1">IF(100*(Design!$C$27+D18+C18*IF(ISBLANK(Design!$B$41),Constants!$C$6,Design!$B$41)/1000*(1+Constants!$C$32/100*(N18-25)))/($B18+D18-C18*O18/1000)&gt;Design!$C$34,Design!$C$35,100*(Design!$C$27+D18+C18*IF(ISBLANK(Design!$B$41),Constants!$C$6,Design!$B$41)/1000*(1+Constants!$C$32/100*(N18-25)))/($B18+D18-C18*O18/1000))</f>
        <v>64.605205570205499</v>
      </c>
      <c r="F18" s="115">
        <f ca="1">IF(($B18-C18*IF(ISBLANK(Design!$B$41),Constants!$C$6,Design!$B$41)/1000*(1+Constants!$C$32/100*(N18-25))-Design!$C$27)/(IF(ISBLANK(Design!$B$40),Design!$B$38,Design!$B$40)/1000000)*E18/100/(IF(ISBLANK(Design!$B$31),Design!$B$30,Design!$B$31)*1000000)&lt;0, 0, ($B18-C18*IF(ISBLANK(Design!$B$41),Constants!$C$6,Design!$B$41)/1000*(1+Constants!$C$32/100*(N18-25))-Design!$C$27)/(IF(ISBLANK(Design!$B$40),Design!$B$38,Design!$B$40)/1000000)*E18/100/(IF(ISBLANK(Design!$B$31),Design!$B$30,Design!$B$31)*1000000))</f>
        <v>0.35295646189445662</v>
      </c>
      <c r="G18" s="165">
        <f>B18*Constants!$C$21/1000+IF(ISBLANK(Design!$B$31),Design!$B$30,Design!$B$31)*1000000*Constants!$D$25/1000000000*(B18-Constants!$C$24)</f>
        <v>6.4369999999999955E-2</v>
      </c>
      <c r="H18" s="165">
        <f>B18*C18*(B18/(Constants!$C$26*1000000000)*IF(ISBLANK(Design!$B$31),Design!$B$30,Design!$B$31)*1000000/2+B18/(Constants!$C$27*1000000000)*IF(ISBLANK(Design!$B$31),Design!$B$30,Design!$B$31)*1000000/2)</f>
        <v>0.70717587499999945</v>
      </c>
      <c r="I18" s="165">
        <f t="shared" ca="1" si="0"/>
        <v>1.388258425888212</v>
      </c>
      <c r="J18" s="165">
        <f>Constants!$D$25/1000000000*Constants!$C$24*IF(ISBLANK(Design!$B$31),Design!$B$30,Design!$B$31)*1000000</f>
        <v>5.2499999999999998E-2</v>
      </c>
      <c r="K18" s="165">
        <f t="shared" ca="1" si="4"/>
        <v>2.2123043008882117</v>
      </c>
      <c r="L18" s="165">
        <f t="shared" ca="1" si="5"/>
        <v>0.42552847606231353</v>
      </c>
      <c r="M18" s="166">
        <f ca="1">A18+L18*Design!$B$18</f>
        <v>109.25512313555187</v>
      </c>
      <c r="N18" s="166">
        <f ca="1">K18*Design!$C$11+A18</f>
        <v>166.85525913286384</v>
      </c>
      <c r="O18" s="166">
        <f ca="1">Constants!$D$22+Constants!$D$22*Constants!$C$23/100*(N18-25)</f>
        <v>238.48420730629107</v>
      </c>
      <c r="P18" s="165">
        <f ca="1">IF(100*(Design!$C$27+D18+C18*IF(ISBLANK(Design!$B$41),Constants!$C$6,Design!$B$41)/1000*(1+Constants!$C$32/100*(N18-25)))/($B18+D18-C18*O18/1000)&gt;Design!$C$34,  (1-Constants!$C$20/1000000000*IF(ISBLANK(Design!$B$31),Design!$B$30/4,Design!$B$31/4)*1000000) * ($B18+D18-C18*O18/1000) - (D18+C18*(1+($A18-25)*Constants!$C$32/100)*IF(ISBLANK(Design!$B$41),Constants!$C$6/1000,Design!$B$41/1000)),   (1-Constants!$C$20/1000000000*IF(ISBLANK(Design!$B$31),Design!$B$30,Design!$B$31)*1000000) * ($B18+D18-C18*O18/1000) - (D18+C18*(1+($A18-25)*Constants!$C$32/100)*IF(ISBLANK(Design!$B$41),Constants!$C$6/1000,Design!$B$41/1000)) )</f>
        <v>6.3769935732194831</v>
      </c>
      <c r="Q18" s="171">
        <f ca="1">IF(P18&gt;Design!$C$27,Design!$C$27,P18)</f>
        <v>4.9936842105263155</v>
      </c>
      <c r="R18" s="181">
        <f>2*Design!$D$6/3</f>
        <v>2</v>
      </c>
      <c r="S18" s="116">
        <f ca="1">FORECAST(R18, OFFSET(Design!$C$14:$C$16,MATCH(R18,Design!$B$14:$B$16,1)-1,0,2), OFFSET(Design!$B$14:$B$16,MATCH(R18,Design!$B$14:$B$16,1)-1,0,2))+(AB18-25)*Design!$B$17/1000</f>
        <v>0.38313777418939621</v>
      </c>
      <c r="T18" s="182">
        <f ca="1">IF(100*(Design!$C$27+S18+R18*IF(ISBLANK(Design!$B$41),Constants!$C$6,Design!$B$41)/1000*(1+Constants!$C$32/100*(AC18-25)))/($B18+S18-R18*AD18/1000)&gt;Design!$C$34,Design!$C$35,100*(Design!$C$27+S18+R18*IF(ISBLANK(Design!$B$41),Constants!$C$6,Design!$B$41)/1000*(1+Constants!$C$32/100*(AC18-25)))/($B18+S18-R18*AD18/1000))</f>
        <v>61.393975885184751</v>
      </c>
      <c r="U18" s="117">
        <f ca="1">IF(($B18-R18*IF(ISBLANK(Design!$B$41),Constants!$C$6,Design!$B$41)/1000*(1+Constants!$C$32/100*(AC18-25))-Design!$C$27)/(Design!$B$40/1000000)*T18/100/(IF(ISBLANK(IF(ISBLANK(Design!$B$40),Design!$B$38,Design!$B$40)),Design!$B$30,Design!$B$31)*1000000)&lt;0,0,($B18-R18*IF(ISBLANK(Design!$B$41),Constants!$C$6,Design!$B$41)/1000*(1+Constants!$C$32/100*(AC18-25))-Design!$C$27)/(IF(ISBLANK(Design!$B$40),Design!$B$38,Design!$B$40)/1000000)*T18/100/(IF(ISBLANK(Design!$B$31),Design!$B$30,Design!$B$31)*1000000))</f>
        <v>0.34291837932689273</v>
      </c>
      <c r="V18" s="183">
        <f>$B18*Constants!$C$21/1000+IF(ISBLANK(Design!$B$31),Design!$B$30,Design!$B$31)*1000000*Constants!$D$25/1000000000*($B18-Constants!$C$24)</f>
        <v>6.4369999999999955E-2</v>
      </c>
      <c r="W18" s="183">
        <f>$B18*R18*($B18/(Constants!$C$26*1000000000)*IF(ISBLANK(Design!$B$31),Design!$B$30,Design!$B$31)*1000000/2+$B18/(Constants!$C$27*1000000000)*IF(ISBLANK(Design!$B$31),Design!$B$30,Design!$B$31)*1000000/2)</f>
        <v>0.47145058333333295</v>
      </c>
      <c r="X18" s="183">
        <f t="shared" ca="1" si="1"/>
        <v>0.50559949291541162</v>
      </c>
      <c r="Y18" s="183">
        <f>Constants!$D$25/1000000000*Constants!$C$24*IF(ISBLANK(Design!$B$31),Design!$B$30,Design!$B$31)*1000000</f>
        <v>5.2499999999999998E-2</v>
      </c>
      <c r="Z18" s="183">
        <f t="shared" ca="1" si="10"/>
        <v>1.0939200762487447</v>
      </c>
      <c r="AA18" s="183">
        <f t="shared" ca="1" si="7"/>
        <v>0.2958285229930494</v>
      </c>
      <c r="AB18" s="184">
        <f ca="1">$A18+AA18*Design!$B$18</f>
        <v>101.86222581060382</v>
      </c>
      <c r="AC18" s="184">
        <f ca="1">Z18*Design!$C$11+$A18</f>
        <v>125.47504282120354</v>
      </c>
      <c r="AD18" s="184">
        <f ca="1">Constants!$D$22+Constants!$D$22*Constants!$C$23/100*(AC18-25)</f>
        <v>205.38003425696286</v>
      </c>
      <c r="AE18" s="183">
        <f ca="1">IF(100*(Design!$C$27+S18+R18*IF(ISBLANK(Design!$B$41),Constants!$C$6,Design!$B$41)/1000*(1+Constants!$C$32/100*(AC18-25)))/($B18+S18-R18*AD18/1000)&gt;Design!$C$34,  (1-Constants!$C$20/1000000000*IF(ISBLANK(Design!$B$31),Design!$B$30/4,Design!$B$31/4)*1000000) * ($B18+S18-R18*AD18/1000) - (S18+R18*(1+($A18-25)*Constants!$C$32/100)*IF(ISBLANK(Design!$B$41),Constants!$C$6/1000,Design!$B$41/1000)),   (1-Constants!$C$20/1000000000*IF(ISBLANK(Design!$B$31),Design!$B$30,Design!$B$31)*1000000) * ($B18+S18-R18*AD18/1000) - (S18+R18*(1+($A18-25)*Constants!$C$32/100)*IF(ISBLANK(Design!$B$41),Constants!$C$6/1000,Design!$B$41/1000)) )</f>
        <v>6.6800235792038158</v>
      </c>
      <c r="AF18" s="117">
        <f ca="1">IF(AE18&gt;Design!$C$27,Design!$C$27,AE18)</f>
        <v>4.9936842105263155</v>
      </c>
      <c r="AG18" s="118">
        <f>Design!$D$6/3</f>
        <v>1</v>
      </c>
      <c r="AH18" s="118">
        <f ca="1">FORECAST(AG18, OFFSET(Design!$C$14:$C$16,MATCH(AG18,Design!$B$14:$B$16,1)-1,0,2), OFFSET(Design!$B$14:$B$16,MATCH(AG18,Design!$B$14:$B$16,1)-1,0,2))+(AQ18-25)*Design!$B$17/1000</f>
        <v>0.31483977086581783</v>
      </c>
      <c r="AI18" s="194">
        <f ca="1">IF(100*(Design!$C$27+AH18+AG18*IF(ISBLANK(Design!$B$41),Constants!$C$6,Design!$B$41)/1000*(1+Constants!$C$32/100*(AR18-25)))/($B18+AH18-AG18*AS18/1000)&gt;Design!$C$34,Design!$C$35,100*(Design!$C$27+AH18+AG18*IF(ISBLANK(Design!$B$41),Constants!$C$6,Design!$B$41)/1000*(1+Constants!$C$32/100*(AR18-25)))/($B18+AH18-AG18*AS18/1000))</f>
        <v>58.862665251260516</v>
      </c>
      <c r="AJ18" s="119">
        <f ca="1">IF(($B18-AG18*IF(ISBLANK(Design!$B$41),Constants!$C$6,Design!$B$41)/1000*(1+Constants!$C$32/100*(AR18-25))-Design!$C$27)/(IF(ISBLANK(Design!$B$40),Design!$B$38,Design!$B$40)/1000000)*AI18/100/(IF(ISBLANK(Design!$B$31),Design!$B$30,Design!$B$31)*1000000)&lt;0,0,($B18-AG18*IF(ISBLANK(Design!$B$41),Constants!$C$6,Design!$B$41)/1000*(1+Constants!$C$32/100*(AR18-25))-Design!$C$27)/(IF(ISBLANK(Design!$B$40),Design!$B$38,Design!$B$40)/1000000)*AI18/100/(IF(ISBLANK(Design!$B$31),Design!$B$30,Design!$B$31)*1000000))</f>
        <v>0.3344615468505861</v>
      </c>
      <c r="AK18" s="195">
        <f>$B18*Constants!$C$21/1000+IF(ISBLANK(Design!$B$31),Design!$B$30,Design!$B$31)*1000000*Constants!$D$25/1000000000*($B18-Constants!$C$24)</f>
        <v>6.4369999999999955E-2</v>
      </c>
      <c r="AL18" s="195">
        <f>$B18*AG18*($B18/(Constants!$C$26*1000000000)*IF(ISBLANK(Design!$B$31),Design!$B$30,Design!$B$31)*1000000/2+$B18/(Constants!$C$27*1000000000)*IF(ISBLANK(Design!$B$31),Design!$B$30,Design!$B$31)*1000000/2)</f>
        <v>0.23572529166666648</v>
      </c>
      <c r="AM18" s="195">
        <f t="shared" ca="1" si="2"/>
        <v>0.11093320263819298</v>
      </c>
      <c r="AN18" s="195">
        <f>Constants!$D$25/1000000000*Constants!$C$24*IF(ISBLANK(Design!$B$31),Design!$B$30,Design!$B$31)*1000000</f>
        <v>5.2499999999999998E-2</v>
      </c>
      <c r="AO18" s="195">
        <f t="shared" ca="1" si="11"/>
        <v>0.46352849430485943</v>
      </c>
      <c r="AP18" s="195">
        <f t="shared" ca="1" si="9"/>
        <v>0.12951669046323586</v>
      </c>
      <c r="AQ18" s="196">
        <f ca="1">$A18+AP18*Design!$B$18</f>
        <v>92.382451356404445</v>
      </c>
      <c r="AR18" s="196">
        <f ca="1">AO18*Design!$C$11+$A18</f>
        <v>102.1505542892798</v>
      </c>
      <c r="AS18" s="196">
        <f ca="1">Constants!$D$22+Constants!$D$22*Constants!$C$23/100*(AR18-25)</f>
        <v>186.72044343142383</v>
      </c>
      <c r="AT18" s="195">
        <f ca="1">IF(100*(Design!$C$27+AH18+AG18*IF(ISBLANK(Design!$B$41),Constants!$C$6,Design!$B$41)/1000*(1+Constants!$C$32/100*(AR18-25)))/($B18+AH18-AG18*AS18/1000)&gt;Design!$C$34,  (1-Constants!$C$20/1000000000*IF(ISBLANK(Design!$B$31),Design!$B$30/4,Design!$B$31/4)*1000000) * ($B18+AH18-AG18*AS18/1000) - (AH18+AG18*(1+($A18-25)*Constants!$C$32/100)*IF(ISBLANK(Design!$B$41),Constants!$C$6/1000,Design!$B$41/1000)),   (1-Constants!$C$20/1000000000*IF(ISBLANK(Design!$B$31),Design!$B$30,Design!$B$31)*1000000) * ($B18+AH18-AG18*AS18/1000) - (AH18+AG18*(1+($A18-25)*Constants!$C$32/100)*IF(ISBLANK(Design!$B$41),Constants!$C$6/1000,Design!$B$41/1000)) )</f>
        <v>6.9286037507454115</v>
      </c>
      <c r="AU18" s="119">
        <f ca="1">IF(AT18&gt;Design!$C$27,Design!$C$27,AT18)</f>
        <v>4.9936842105263155</v>
      </c>
    </row>
    <row r="19" spans="1:47" s="120" customFormat="1" ht="12.75" customHeight="1" x14ac:dyDescent="0.25">
      <c r="A19" s="112">
        <f>Design!$D$12</f>
        <v>85</v>
      </c>
      <c r="B19" s="113">
        <f t="shared" si="3"/>
        <v>8.7749999999999968</v>
      </c>
      <c r="C19" s="114">
        <f>Design!$D$6</f>
        <v>3</v>
      </c>
      <c r="D19" s="114">
        <f ca="1">FORECAST(C19, OFFSET(Design!$C$14:$C$16,MATCH(C19,Design!$B$14:$B$16,1)-1,0,2), OFFSET(Design!$B$14:$B$16,MATCH(C19,Design!$B$14:$B$16,1)-1,0,2))+(M19-25)*Design!$B$17/1000</f>
        <v>0.40181061580520372</v>
      </c>
      <c r="E19" s="173">
        <f ca="1">IF(100*(Design!$C$27+D19+C19*IF(ISBLANK(Design!$B$41),Constants!$C$6,Design!$B$41)/1000*(1+Constants!$C$32/100*(N19-25)))/($B19+D19-C19*O19/1000)&gt;Design!$C$34,Design!$C$35,100*(Design!$C$27+D19+C19*IF(ISBLANK(Design!$B$41),Constants!$C$6,Design!$B$41)/1000*(1+Constants!$C$32/100*(N19-25)))/($B19+D19-C19*O19/1000))</f>
        <v>66.250161505578347</v>
      </c>
      <c r="F19" s="115">
        <f ca="1">IF(($B19-C19*IF(ISBLANK(Design!$B$41),Constants!$C$6,Design!$B$41)/1000*(1+Constants!$C$32/100*(N19-25))-Design!$C$27)/(IF(ISBLANK(Design!$B$40),Design!$B$38,Design!$B$40)/1000000)*E19/100/(IF(ISBLANK(Design!$B$31),Design!$B$30,Design!$B$31)*1000000)&lt;0, 0, ($B19-C19*IF(ISBLANK(Design!$B$41),Constants!$C$6,Design!$B$41)/1000*(1+Constants!$C$32/100*(N19-25))-Design!$C$27)/(IF(ISBLANK(Design!$B$40),Design!$B$38,Design!$B$40)/1000000)*E19/100/(IF(ISBLANK(Design!$B$31),Design!$B$30,Design!$B$31)*1000000))</f>
        <v>0.34139173783088755</v>
      </c>
      <c r="G19" s="165">
        <f>B19*Constants!$C$21/1000+IF(ISBLANK(Design!$B$31),Design!$B$30,Design!$B$31)*1000000*Constants!$D$25/1000000000*(B19-Constants!$C$24)</f>
        <v>6.1574999999999963E-2</v>
      </c>
      <c r="H19" s="165">
        <f>B19*C19*(B19/(Constants!$C$26*1000000000)*IF(ISBLANK(Design!$B$31),Design!$B$30,Design!$B$31)*1000000/2+B19/(Constants!$C$27*1000000000)*IF(ISBLANK(Design!$B$31),Design!$B$30,Design!$B$31)*1000000/2)</f>
        <v>0.67375546874999959</v>
      </c>
      <c r="I19" s="165">
        <f t="shared" ca="1" si="0"/>
        <v>1.4232911025176977</v>
      </c>
      <c r="J19" s="165">
        <f>Constants!$D$25/1000000000*Constants!$C$24*IF(ISBLANK(Design!$B$31),Design!$B$30,Design!$B$31)*1000000</f>
        <v>5.2499999999999998E-2</v>
      </c>
      <c r="K19" s="165">
        <f t="shared" ca="1" si="4"/>
        <v>2.2111215712676975</v>
      </c>
      <c r="L19" s="165">
        <f t="shared" ca="1" si="5"/>
        <v>0.40683130166309206</v>
      </c>
      <c r="M19" s="166">
        <f ca="1">A19+L19*Design!$B$18</f>
        <v>108.18938419479625</v>
      </c>
      <c r="N19" s="166">
        <f ca="1">K19*Design!$C$11+A19</f>
        <v>166.81149813690479</v>
      </c>
      <c r="O19" s="166">
        <f ca="1">Constants!$D$22+Constants!$D$22*Constants!$C$23/100*(N19-25)</f>
        <v>238.44919850952385</v>
      </c>
      <c r="P19" s="165">
        <f ca="1">IF(100*(Design!$C$27+D19+C19*IF(ISBLANK(Design!$B$41),Constants!$C$6,Design!$B$41)/1000*(1+Constants!$C$32/100*(N19-25)))/($B19+D19-C19*O19/1000)&gt;Design!$C$34,  (1-Constants!$C$20/1000000000*IF(ISBLANK(Design!$B$31),Design!$B$30/4,Design!$B$31/4)*1000000) * ($B19+D19-C19*O19/1000) - (D19+C19*(1+($A19-25)*Constants!$C$32/100)*IF(ISBLANK(Design!$B$41),Constants!$C$6/1000,Design!$B$41/1000)),   (1-Constants!$C$20/1000000000*IF(ISBLANK(Design!$B$31),Design!$B$30,Design!$B$31)*1000000) * ($B19+D19-C19*O19/1000) - (D19+C19*(1+($A19-25)*Constants!$C$32/100)*IF(ISBLANK(Design!$B$41),Constants!$C$6/1000,Design!$B$41/1000)) )</f>
        <v>6.2047575319262371</v>
      </c>
      <c r="Q19" s="171">
        <f ca="1">IF(P19&gt;Design!$C$27,Design!$C$27,P19)</f>
        <v>4.9936842105263155</v>
      </c>
      <c r="R19" s="181">
        <f>2*Design!$D$6/3</f>
        <v>2</v>
      </c>
      <c r="S19" s="116">
        <f ca="1">FORECAST(R19, OFFSET(Design!$C$14:$C$16,MATCH(R19,Design!$B$14:$B$16,1)-1,0,2), OFFSET(Design!$B$14:$B$16,MATCH(R19,Design!$B$14:$B$16,1)-1,0,2))+(AB19-25)*Design!$B$17/1000</f>
        <v>0.38376791286937045</v>
      </c>
      <c r="T19" s="182">
        <f ca="1">IF(100*(Design!$C$27+S19+R19*IF(ISBLANK(Design!$B$41),Constants!$C$6,Design!$B$41)/1000*(1+Constants!$C$32/100*(AC19-25)))/($B19+S19-R19*AD19/1000)&gt;Design!$C$34,Design!$C$35,100*(Design!$C$27+S19+R19*IF(ISBLANK(Design!$B$41),Constants!$C$6,Design!$B$41)/1000*(1+Constants!$C$32/100*(AC19-25)))/($B19+S19-R19*AD19/1000))</f>
        <v>62.897698207375853</v>
      </c>
      <c r="U19" s="117">
        <f ca="1">IF(($B19-R19*IF(ISBLANK(Design!$B$41),Constants!$C$6,Design!$B$41)/1000*(1+Constants!$C$32/100*(AC19-25))-Design!$C$27)/(Design!$B$40/1000000)*T19/100/(IF(ISBLANK(IF(ISBLANK(Design!$B$40),Design!$B$38,Design!$B$40)),Design!$B$30,Design!$B$31)*1000000)&lt;0,0,($B19-R19*IF(ISBLANK(Design!$B$41),Constants!$C$6,Design!$B$41)/1000*(1+Constants!$C$32/100*(AC19-25))-Design!$C$27)/(IF(ISBLANK(Design!$B$40),Design!$B$38,Design!$B$40)/1000000)*T19/100/(IF(ISBLANK(Design!$B$31),Design!$B$30,Design!$B$31)*1000000))</f>
        <v>0.3318201558527118</v>
      </c>
      <c r="V19" s="183">
        <f>$B19*Constants!$C$21/1000+IF(ISBLANK(Design!$B$31),Design!$B$30,Design!$B$31)*1000000*Constants!$D$25/1000000000*($B19-Constants!$C$24)</f>
        <v>6.1574999999999963E-2</v>
      </c>
      <c r="W19" s="183">
        <f>$B19*R19*($B19/(Constants!$C$26*1000000000)*IF(ISBLANK(Design!$B$31),Design!$B$30,Design!$B$31)*1000000/2+$B19/(Constants!$C$27*1000000000)*IF(ISBLANK(Design!$B$31),Design!$B$30,Design!$B$31)*1000000/2)</f>
        <v>0.44917031249999972</v>
      </c>
      <c r="X19" s="183">
        <f t="shared" ca="1" si="1"/>
        <v>0.5168722860017736</v>
      </c>
      <c r="Y19" s="183">
        <f>Constants!$D$25/1000000000*Constants!$C$24*IF(ISBLANK(Design!$B$31),Design!$B$30,Design!$B$31)*1000000</f>
        <v>5.2499999999999998E-2</v>
      </c>
      <c r="Z19" s="183">
        <f t="shared" ca="1" si="10"/>
        <v>1.0801175985017732</v>
      </c>
      <c r="AA19" s="183">
        <f t="shared" ca="1" si="7"/>
        <v>0.28477345843209745</v>
      </c>
      <c r="AB19" s="184">
        <f ca="1">$A19+AA19*Design!$B$18</f>
        <v>101.23208713062955</v>
      </c>
      <c r="AC19" s="184">
        <f ca="1">Z19*Design!$C$11+$A19</f>
        <v>124.96435114456561</v>
      </c>
      <c r="AD19" s="184">
        <f ca="1">Constants!$D$22+Constants!$D$22*Constants!$C$23/100*(AC19-25)</f>
        <v>204.97148091565248</v>
      </c>
      <c r="AE19" s="183">
        <f ca="1">IF(100*(Design!$C$27+S19+R19*IF(ISBLANK(Design!$B$41),Constants!$C$6,Design!$B$41)/1000*(1+Constants!$C$32/100*(AC19-25)))/($B19+S19-R19*AD19/1000)&gt;Design!$C$34,  (1-Constants!$C$20/1000000000*IF(ISBLANK(Design!$B$31),Design!$B$30/4,Design!$B$31/4)*1000000) * ($B19+S19-R19*AD19/1000) - (S19+R19*(1+($A19-25)*Constants!$C$32/100)*IF(ISBLANK(Design!$B$41),Constants!$C$6/1000,Design!$B$41/1000)),   (1-Constants!$C$20/1000000000*IF(ISBLANK(Design!$B$31),Design!$B$30,Design!$B$31)*1000000) * ($B19+S19-R19*AD19/1000) - (S19+R19*(1+($A19-25)*Constants!$C$32/100)*IF(ISBLANK(Design!$B$41),Constants!$C$6/1000,Design!$B$41/1000)) )</f>
        <v>6.5084444604365972</v>
      </c>
      <c r="AF19" s="117">
        <f ca="1">IF(AE19&gt;Design!$C$27,Design!$C$27,AE19)</f>
        <v>4.9936842105263155</v>
      </c>
      <c r="AG19" s="118">
        <f>Design!$D$6/3</f>
        <v>1</v>
      </c>
      <c r="AH19" s="118">
        <f ca="1">FORECAST(AG19, OFFSET(Design!$C$14:$C$16,MATCH(AG19,Design!$B$14:$B$16,1)-1,0,2), OFFSET(Design!$B$14:$B$16,MATCH(AG19,Design!$B$14:$B$16,1)-1,0,2))+(AQ19-25)*Design!$B$17/1000</f>
        <v>0.31508885842766138</v>
      </c>
      <c r="AI19" s="194">
        <f ca="1">IF(100*(Design!$C$27+AH19+AG19*IF(ISBLANK(Design!$B$41),Constants!$C$6,Design!$B$41)/1000*(1+Constants!$C$32/100*(AR19-25)))/($B19+AH19-AG19*AS19/1000)&gt;Design!$C$34,Design!$C$35,100*(Design!$C$27+AH19+AG19*IF(ISBLANK(Design!$B$41),Constants!$C$6,Design!$B$41)/1000*(1+Constants!$C$32/100*(AR19-25)))/($B19+AH19-AG19*AS19/1000))</f>
        <v>60.282082374346608</v>
      </c>
      <c r="AJ19" s="119">
        <f ca="1">IF(($B19-AG19*IF(ISBLANK(Design!$B$41),Constants!$C$6,Design!$B$41)/1000*(1+Constants!$C$32/100*(AR19-25))-Design!$C$27)/(IF(ISBLANK(Design!$B$40),Design!$B$38,Design!$B$40)/1000000)*AI19/100/(IF(ISBLANK(Design!$B$31),Design!$B$30,Design!$B$31)*1000000)&lt;0,0,($B19-AG19*IF(ISBLANK(Design!$B$41),Constants!$C$6,Design!$B$41)/1000*(1+Constants!$C$32/100*(AR19-25))-Design!$C$27)/(IF(ISBLANK(Design!$B$40),Design!$B$38,Design!$B$40)/1000000)*AI19/100/(IF(ISBLANK(Design!$B$31),Design!$B$30,Design!$B$31)*1000000))</f>
        <v>0.3238310999468676</v>
      </c>
      <c r="AK19" s="195">
        <f>$B19*Constants!$C$21/1000+IF(ISBLANK(Design!$B$31),Design!$B$30,Design!$B$31)*1000000*Constants!$D$25/1000000000*($B19-Constants!$C$24)</f>
        <v>6.1574999999999963E-2</v>
      </c>
      <c r="AL19" s="195">
        <f>$B19*AG19*($B19/(Constants!$C$26*1000000000)*IF(ISBLANK(Design!$B$31),Design!$B$30,Design!$B$31)*1000000/2+$B19/(Constants!$C$27*1000000000)*IF(ISBLANK(Design!$B$31),Design!$B$30,Design!$B$31)*1000000/2)</f>
        <v>0.22458515624999986</v>
      </c>
      <c r="AM19" s="195">
        <f t="shared" ca="1" si="2"/>
        <v>0.11333501789115878</v>
      </c>
      <c r="AN19" s="195">
        <f>Constants!$D$25/1000000000*Constants!$C$24*IF(ISBLANK(Design!$B$31),Design!$B$30,Design!$B$31)*1000000</f>
        <v>5.2499999999999998E-2</v>
      </c>
      <c r="AO19" s="195">
        <f t="shared" ca="1" si="11"/>
        <v>0.45199517414115858</v>
      </c>
      <c r="AP19" s="195">
        <f t="shared" ca="1" si="9"/>
        <v>0.12514673323791017</v>
      </c>
      <c r="AQ19" s="196">
        <f ca="1">$A19+AP19*Design!$B$18</f>
        <v>92.133363794560879</v>
      </c>
      <c r="AR19" s="196">
        <f ca="1">AO19*Design!$C$11+$A19</f>
        <v>101.72382144322287</v>
      </c>
      <c r="AS19" s="196">
        <f ca="1">Constants!$D$22+Constants!$D$22*Constants!$C$23/100*(AR19-25)</f>
        <v>186.37905715457831</v>
      </c>
      <c r="AT19" s="195">
        <f ca="1">IF(100*(Design!$C$27+AH19+AG19*IF(ISBLANK(Design!$B$41),Constants!$C$6,Design!$B$41)/1000*(1+Constants!$C$32/100*(AR19-25)))/($B19+AH19-AG19*AS19/1000)&gt;Design!$C$34,  (1-Constants!$C$20/1000000000*IF(ISBLANK(Design!$B$31),Design!$B$30/4,Design!$B$31/4)*1000000) * ($B19+AH19-AG19*AS19/1000) - (AH19+AG19*(1+($A19-25)*Constants!$C$32/100)*IF(ISBLANK(Design!$B$41),Constants!$C$6/1000,Design!$B$41/1000)),   (1-Constants!$C$20/1000000000*IF(ISBLANK(Design!$B$31),Design!$B$30,Design!$B$31)*1000000) * ($B19+AH19-AG19*AS19/1000) - (AH19+AG19*(1+($A19-25)*Constants!$C$32/100)*IF(ISBLANK(Design!$B$41),Constants!$C$6/1000,Design!$B$41/1000)) )</f>
        <v>6.7567198374914383</v>
      </c>
      <c r="AU19" s="119">
        <f ca="1">IF(AT19&gt;Design!$C$27,Design!$C$27,AT19)</f>
        <v>4.9936842105263155</v>
      </c>
    </row>
    <row r="20" spans="1:47" s="120" customFormat="1" ht="12.75" customHeight="1" x14ac:dyDescent="0.25">
      <c r="A20" s="112">
        <f>Design!$D$12</f>
        <v>85</v>
      </c>
      <c r="B20" s="113">
        <f t="shared" si="3"/>
        <v>8.5599999999999969</v>
      </c>
      <c r="C20" s="114">
        <f>Design!$D$6</f>
        <v>3</v>
      </c>
      <c r="D20" s="114">
        <f ca="1">FORECAST(C20, OFFSET(Design!$C$14:$C$16,MATCH(C20,Design!$B$14:$B$16,1)-1,0,2), OFFSET(Design!$B$14:$B$16,MATCH(C20,Design!$B$14:$B$16,1)-1,0,2))+(M20-25)*Design!$B$17/1000</f>
        <v>0.40293999906020822</v>
      </c>
      <c r="E20" s="173">
        <f ca="1">IF(100*(Design!$C$27+D20+C20*IF(ISBLANK(Design!$B$41),Constants!$C$6,Design!$B$41)/1000*(1+Constants!$C$32/100*(N20-25)))/($B20+D20-C20*O20/1000)&gt;Design!$C$34,Design!$C$35,100*(Design!$C$27+D20+C20*IF(ISBLANK(Design!$B$41),Constants!$C$6,Design!$B$41)/1000*(1+Constants!$C$32/100*(N20-25)))/($B20+D20-C20*O20/1000))</f>
        <v>67.983855226594585</v>
      </c>
      <c r="F20" s="115">
        <f ca="1">IF(($B20-C20*IF(ISBLANK(Design!$B$41),Constants!$C$6,Design!$B$41)/1000*(1+Constants!$C$32/100*(N20-25))-Design!$C$27)/(IF(ISBLANK(Design!$B$40),Design!$B$38,Design!$B$40)/1000000)*E20/100/(IF(ISBLANK(Design!$B$31),Design!$B$30,Design!$B$31)*1000000)&lt;0, 0, ($B20-C20*IF(ISBLANK(Design!$B$41),Constants!$C$6,Design!$B$41)/1000*(1+Constants!$C$32/100*(N20-25))-Design!$C$27)/(IF(ISBLANK(Design!$B$40),Design!$B$38,Design!$B$40)/1000000)*E20/100/(IF(ISBLANK(Design!$B$31),Design!$B$30,Design!$B$31)*1000000))</f>
        <v>0.32922984349442413</v>
      </c>
      <c r="G20" s="165">
        <f>B20*Constants!$C$21/1000+IF(ISBLANK(Design!$B$31),Design!$B$30,Design!$B$31)*1000000*Constants!$D$25/1000000000*(B20-Constants!$C$24)</f>
        <v>5.8779999999999957E-2</v>
      </c>
      <c r="H20" s="165">
        <f>B20*C20*(B20/(Constants!$C$26*1000000000)*IF(ISBLANK(Design!$B$31),Design!$B$30,Design!$B$31)*1000000/2+B20/(Constants!$C$27*1000000000)*IF(ISBLANK(Design!$B$31),Design!$B$30,Design!$B$31)*1000000/2)</f>
        <v>0.6411439999999996</v>
      </c>
      <c r="I20" s="165">
        <f t="shared" ca="1" si="0"/>
        <v>1.4608098130815601</v>
      </c>
      <c r="J20" s="165">
        <f>Constants!$D$25/1000000000*Constants!$C$24*IF(ISBLANK(Design!$B$31),Design!$B$30,Design!$B$31)*1000000</f>
        <v>5.2499999999999998E-2</v>
      </c>
      <c r="K20" s="165">
        <f t="shared" ca="1" si="4"/>
        <v>2.2132338130815601</v>
      </c>
      <c r="L20" s="165">
        <f t="shared" ca="1" si="5"/>
        <v>0.38701756034722407</v>
      </c>
      <c r="M20" s="166">
        <f ca="1">A20+L20*Design!$B$18</f>
        <v>107.06000093979176</v>
      </c>
      <c r="N20" s="166">
        <f ca="1">K20*Design!$C$11+A20</f>
        <v>166.88965108401771</v>
      </c>
      <c r="O20" s="166">
        <f ca="1">Constants!$D$22+Constants!$D$22*Constants!$C$23/100*(N20-25)</f>
        <v>238.51172086721419</v>
      </c>
      <c r="P20" s="165">
        <f ca="1">IF(100*(Design!$C$27+D20+C20*IF(ISBLANK(Design!$B$41),Constants!$C$6,Design!$B$41)/1000*(1+Constants!$C$32/100*(N20-25)))/($B20+D20-C20*O20/1000)&gt;Design!$C$34,  (1-Constants!$C$20/1000000000*IF(ISBLANK(Design!$B$31),Design!$B$30/4,Design!$B$31/4)*1000000) * ($B20+D20-C20*O20/1000) - (D20+C20*(1+($A20-25)*Constants!$C$32/100)*IF(ISBLANK(Design!$B$41),Constants!$C$6/1000,Design!$B$41/1000)),   (1-Constants!$C$20/1000000000*IF(ISBLANK(Design!$B$31),Design!$B$30,Design!$B$31)*1000000) * ($B20+D20-C20*O20/1000) - (D20+C20*(1+($A20-25)*Constants!$C$32/100)*IF(ISBLANK(Design!$B$41),Constants!$C$6/1000,Design!$B$41/1000)) )</f>
        <v>6.0322745725248712</v>
      </c>
      <c r="Q20" s="171">
        <f ca="1">IF(P20&gt;Design!$C$27,Design!$C$27,P20)</f>
        <v>4.9936842105263155</v>
      </c>
      <c r="R20" s="181">
        <f>2*Design!$D$6/3</f>
        <v>2</v>
      </c>
      <c r="S20" s="116">
        <f ca="1">FORECAST(R20, OFFSET(Design!$C$14:$C$16,MATCH(R20,Design!$B$14:$B$16,1)-1,0,2), OFFSET(Design!$B$14:$B$16,MATCH(R20,Design!$B$14:$B$16,1)-1,0,2))+(AB20-25)*Design!$B$17/1000</f>
        <v>0.3844321822044075</v>
      </c>
      <c r="T20" s="182">
        <f ca="1">IF(100*(Design!$C$27+S20+R20*IF(ISBLANK(Design!$B$41),Constants!$C$6,Design!$B$41)/1000*(1+Constants!$C$32/100*(AC20-25)))/($B20+S20-R20*AD20/1000)&gt;Design!$C$34,Design!$C$35,100*(Design!$C$27+S20+R20*IF(ISBLANK(Design!$B$41),Constants!$C$6,Design!$B$41)/1000*(1+Constants!$C$32/100*(AC20-25)))/($B20+S20-R20*AD20/1000))</f>
        <v>64.47753035621632</v>
      </c>
      <c r="U20" s="117">
        <f ca="1">IF(($B20-R20*IF(ISBLANK(Design!$B$41),Constants!$C$6,Design!$B$41)/1000*(1+Constants!$C$32/100*(AC20-25))-Design!$C$27)/(Design!$B$40/1000000)*T20/100/(IF(ISBLANK(IF(ISBLANK(Design!$B$40),Design!$B$38,Design!$B$40)),Design!$B$30,Design!$B$31)*1000000)&lt;0,0,($B20-R20*IF(ISBLANK(Design!$B$41),Constants!$C$6,Design!$B$41)/1000*(1+Constants!$C$32/100*(AC20-25))-Design!$C$27)/(IF(ISBLANK(Design!$B$40),Design!$B$38,Design!$B$40)/1000000)*T20/100/(IF(ISBLANK(Design!$B$31),Design!$B$30,Design!$B$31)*1000000))</f>
        <v>0.32016613650981429</v>
      </c>
      <c r="V20" s="183">
        <f>$B20*Constants!$C$21/1000+IF(ISBLANK(Design!$B$31),Design!$B$30,Design!$B$31)*1000000*Constants!$D$25/1000000000*($B20-Constants!$C$24)</f>
        <v>5.8779999999999957E-2</v>
      </c>
      <c r="W20" s="183">
        <f>$B20*R20*($B20/(Constants!$C$26*1000000000)*IF(ISBLANK(Design!$B$31),Design!$B$30,Design!$B$31)*1000000/2+$B20/(Constants!$C$27*1000000000)*IF(ISBLANK(Design!$B$31),Design!$B$30,Design!$B$31)*1000000/2)</f>
        <v>0.42742933333333305</v>
      </c>
      <c r="X20" s="183">
        <f t="shared" ca="1" si="1"/>
        <v>0.52880709105865398</v>
      </c>
      <c r="Y20" s="183">
        <f>Constants!$D$25/1000000000*Constants!$C$24*IF(ISBLANK(Design!$B$31),Design!$B$30,Design!$B$31)*1000000</f>
        <v>5.2499999999999998E-2</v>
      </c>
      <c r="Z20" s="183">
        <f t="shared" ca="1" si="10"/>
        <v>1.067516424391987</v>
      </c>
      <c r="AA20" s="183">
        <f t="shared" ca="1" si="7"/>
        <v>0.27311961044899169</v>
      </c>
      <c r="AB20" s="184">
        <f ca="1">$A20+AA20*Design!$B$18</f>
        <v>100.56781779559253</v>
      </c>
      <c r="AC20" s="184">
        <f ca="1">Z20*Design!$C$11+$A20</f>
        <v>124.49810770250352</v>
      </c>
      <c r="AD20" s="184">
        <f ca="1">Constants!$D$22+Constants!$D$22*Constants!$C$23/100*(AC20-25)</f>
        <v>204.59848616200281</v>
      </c>
      <c r="AE20" s="183">
        <f ca="1">IF(100*(Design!$C$27+S20+R20*IF(ISBLANK(Design!$B$41),Constants!$C$6,Design!$B$41)/1000*(1+Constants!$C$32/100*(AC20-25)))/($B20+S20-R20*AD20/1000)&gt;Design!$C$34,  (1-Constants!$C$20/1000000000*IF(ISBLANK(Design!$B$31),Design!$B$30/4,Design!$B$31/4)*1000000) * ($B20+S20-R20*AD20/1000) - (S20+R20*(1+($A20-25)*Constants!$C$32/100)*IF(ISBLANK(Design!$B$41),Constants!$C$6/1000,Design!$B$41/1000)),   (1-Constants!$C$20/1000000000*IF(ISBLANK(Design!$B$31),Design!$B$30,Design!$B$31)*1000000) * ($B20+S20-R20*AD20/1000) - (S20+R20*(1+($A20-25)*Constants!$C$32/100)*IF(ISBLANK(Design!$B$41),Constants!$C$6/1000,Design!$B$41/1000)) )</f>
        <v>6.3368016033048526</v>
      </c>
      <c r="AF20" s="117">
        <f ca="1">IF(AE20&gt;Design!$C$27,Design!$C$27,AE20)</f>
        <v>4.9936842105263155</v>
      </c>
      <c r="AG20" s="118">
        <f>Design!$D$6/3</f>
        <v>1</v>
      </c>
      <c r="AH20" s="118">
        <f ca="1">FORECAST(AG20, OFFSET(Design!$C$14:$C$16,MATCH(AG20,Design!$B$14:$B$16,1)-1,0,2), OFFSET(Design!$B$14:$B$16,MATCH(AG20,Design!$B$14:$B$16,1)-1,0,2))+(AQ20-25)*Design!$B$17/1000</f>
        <v>0.31535069238333235</v>
      </c>
      <c r="AI20" s="194">
        <f ca="1">IF(100*(Design!$C$27+AH20+AG20*IF(ISBLANK(Design!$B$41),Constants!$C$6,Design!$B$41)/1000*(1+Constants!$C$32/100*(AR20-25)))/($B20+AH20-AG20*AS20/1000)&gt;Design!$C$34,Design!$C$35,100*(Design!$C$27+AH20+AG20*IF(ISBLANK(Design!$B$41),Constants!$C$6,Design!$B$41)/1000*(1+Constants!$C$32/100*(AR20-25)))/($B20+AH20-AG20*AS20/1000))</f>
        <v>61.771717018555776</v>
      </c>
      <c r="AJ20" s="119">
        <f ca="1">IF(($B20-AG20*IF(ISBLANK(Design!$B$41),Constants!$C$6,Design!$B$41)/1000*(1+Constants!$C$32/100*(AR20-25))-Design!$C$27)/(IF(ISBLANK(Design!$B$40),Design!$B$38,Design!$B$40)/1000000)*AI20/100/(IF(ISBLANK(Design!$B$31),Design!$B$30,Design!$B$31)*1000000)&lt;0,0,($B20-AG20*IF(ISBLANK(Design!$B$41),Constants!$C$6,Design!$B$41)/1000*(1+Constants!$C$32/100*(AR20-25))-Design!$C$27)/(IF(ISBLANK(Design!$B$40),Design!$B$38,Design!$B$40)/1000000)*AI20/100/(IF(ISBLANK(Design!$B$31),Design!$B$30,Design!$B$31)*1000000))</f>
        <v>0.31267542334876408</v>
      </c>
      <c r="AK20" s="195">
        <f>$B20*Constants!$C$21/1000+IF(ISBLANK(Design!$B$31),Design!$B$30,Design!$B$31)*1000000*Constants!$D$25/1000000000*($B20-Constants!$C$24)</f>
        <v>5.8779999999999957E-2</v>
      </c>
      <c r="AL20" s="195">
        <f>$B20*AG20*($B20/(Constants!$C$26*1000000000)*IF(ISBLANK(Design!$B$31),Design!$B$30,Design!$B$31)*1000000/2+$B20/(Constants!$C$27*1000000000)*IF(ISBLANK(Design!$B$31),Design!$B$30,Design!$B$31)*1000000/2)</f>
        <v>0.21371466666666653</v>
      </c>
      <c r="AM20" s="195">
        <f t="shared" ca="1" si="2"/>
        <v>0.11586220587842179</v>
      </c>
      <c r="AN20" s="195">
        <f>Constants!$D$25/1000000000*Constants!$C$24*IF(ISBLANK(Design!$B$31),Design!$B$30,Design!$B$31)*1000000</f>
        <v>5.2499999999999998E-2</v>
      </c>
      <c r="AO20" s="195">
        <f t="shared" ca="1" si="11"/>
        <v>0.44085687254508826</v>
      </c>
      <c r="AP20" s="195">
        <f t="shared" ca="1" si="9"/>
        <v>0.12055315506824399</v>
      </c>
      <c r="AQ20" s="196">
        <f ca="1">$A20+AP20*Design!$B$18</f>
        <v>91.871529838889913</v>
      </c>
      <c r="AR20" s="196">
        <f ca="1">AO20*Design!$C$11+$A20</f>
        <v>101.31170428416826</v>
      </c>
      <c r="AS20" s="196">
        <f ca="1">Constants!$D$22+Constants!$D$22*Constants!$C$23/100*(AR20-25)</f>
        <v>186.04936342733461</v>
      </c>
      <c r="AT20" s="195">
        <f ca="1">IF(100*(Design!$C$27+AH20+AG20*IF(ISBLANK(Design!$B$41),Constants!$C$6,Design!$B$41)/1000*(1+Constants!$C$32/100*(AR20-25)))/($B20+AH20-AG20*AS20/1000)&gt;Design!$C$34,  (1-Constants!$C$20/1000000000*IF(ISBLANK(Design!$B$31),Design!$B$30/4,Design!$B$31/4)*1000000) * ($B20+AH20-AG20*AS20/1000) - (AH20+AG20*(1+($A20-25)*Constants!$C$32/100)*IF(ISBLANK(Design!$B$41),Constants!$C$6/1000,Design!$B$41/1000)),   (1-Constants!$C$20/1000000000*IF(ISBLANK(Design!$B$31),Design!$B$30,Design!$B$31)*1000000) * ($B20+AH20-AG20*AS20/1000) - (AH20+AG20*(1+($A20-25)*Constants!$C$32/100)*IF(ISBLANK(Design!$B$41),Constants!$C$6/1000,Design!$B$41/1000)) )</f>
        <v>6.5848240214459404</v>
      </c>
      <c r="AU20" s="119">
        <f ca="1">IF(AT20&gt;Design!$C$27,Design!$C$27,AT20)</f>
        <v>4.9936842105263155</v>
      </c>
    </row>
    <row r="21" spans="1:47" s="120" customFormat="1" ht="12.75" customHeight="1" x14ac:dyDescent="0.25">
      <c r="A21" s="112">
        <f>Design!$D$12</f>
        <v>85</v>
      </c>
      <c r="B21" s="113">
        <f t="shared" si="3"/>
        <v>8.3449999999999971</v>
      </c>
      <c r="C21" s="114">
        <f>Design!$D$6</f>
        <v>3</v>
      </c>
      <c r="D21" s="114">
        <f ca="1">FORECAST(C21, OFFSET(Design!$C$14:$C$16,MATCH(C21,Design!$B$14:$B$16,1)-1,0,2), OFFSET(Design!$B$14:$B$16,MATCH(C21,Design!$B$14:$B$16,1)-1,0,2))+(M21-25)*Design!$B$17/1000</f>
        <v>0.40413899861602653</v>
      </c>
      <c r="E21" s="173">
        <f ca="1">IF(100*(Design!$C$27+D21+C21*IF(ISBLANK(Design!$B$41),Constants!$C$6,Design!$B$41)/1000*(1+Constants!$C$32/100*(N21-25)))/($B21+D21-C21*O21/1000)&gt;Design!$C$34,Design!$C$35,100*(Design!$C$27+D21+C21*IF(ISBLANK(Design!$B$41),Constants!$C$6,Design!$B$41)/1000*(1+Constants!$C$32/100*(N21-25)))/($B21+D21-C21*O21/1000))</f>
        <v>69.81381144656558</v>
      </c>
      <c r="F21" s="115">
        <f ca="1">IF(($B21-C21*IF(ISBLANK(Design!$B$41),Constants!$C$6,Design!$B$41)/1000*(1+Constants!$C$32/100*(N21-25))-Design!$C$27)/(IF(ISBLANK(Design!$B$40),Design!$B$38,Design!$B$40)/1000000)*E21/100/(IF(ISBLANK(Design!$B$31),Design!$B$30,Design!$B$31)*1000000)&lt;0, 0, ($B21-C21*IF(ISBLANK(Design!$B$41),Constants!$C$6,Design!$B$41)/1000*(1+Constants!$C$32/100*(N21-25))-Design!$C$27)/(IF(ISBLANK(Design!$B$40),Design!$B$38,Design!$B$40)/1000000)*E21/100/(IF(ISBLANK(Design!$B$31),Design!$B$30,Design!$B$31)*1000000))</f>
        <v>0.31642128429525646</v>
      </c>
      <c r="G21" s="165">
        <f>B21*Constants!$C$21/1000+IF(ISBLANK(Design!$B$31),Design!$B$30,Design!$B$31)*1000000*Constants!$D$25/1000000000*(B21-Constants!$C$24)</f>
        <v>5.5984999999999965E-2</v>
      </c>
      <c r="H21" s="165">
        <f>B21*C21*(B21/(Constants!$C$26*1000000000)*IF(ISBLANK(Design!$B$31),Design!$B$30,Design!$B$31)*1000000/2+B21/(Constants!$C$27*1000000000)*IF(ISBLANK(Design!$B$31),Design!$B$30,Design!$B$31)*1000000/2)</f>
        <v>0.60934146874999962</v>
      </c>
      <c r="I21" s="165">
        <f t="shared" ca="1" si="0"/>
        <v>1.5010706929586601</v>
      </c>
      <c r="J21" s="165">
        <f>Constants!$D$25/1000000000*Constants!$C$24*IF(ISBLANK(Design!$B$31),Design!$B$30,Design!$B$31)*1000000</f>
        <v>5.2499999999999998E-2</v>
      </c>
      <c r="K21" s="165">
        <f t="shared" ca="1" si="4"/>
        <v>2.2188971617086599</v>
      </c>
      <c r="L21" s="165">
        <f t="shared" ca="1" si="5"/>
        <v>0.36598248042058656</v>
      </c>
      <c r="M21" s="166">
        <f ca="1">A21+L21*Design!$B$18</f>
        <v>105.86100138397343</v>
      </c>
      <c r="N21" s="166">
        <f ca="1">K21*Design!$C$11+A21</f>
        <v>167.0991949832204</v>
      </c>
      <c r="O21" s="166">
        <f ca="1">Constants!$D$22+Constants!$D$22*Constants!$C$23/100*(N21-25)</f>
        <v>238.67935598657633</v>
      </c>
      <c r="P21" s="165">
        <f ca="1">IF(100*(Design!$C$27+D21+C21*IF(ISBLANK(Design!$B$41),Constants!$C$6,Design!$B$41)/1000*(1+Constants!$C$32/100*(N21-25)))/($B21+D21-C21*O21/1000)&gt;Design!$C$34,  (1-Constants!$C$20/1000000000*IF(ISBLANK(Design!$B$31),Design!$B$30/4,Design!$B$31/4)*1000000) * ($B21+D21-C21*O21/1000) - (D21+C21*(1+($A21-25)*Constants!$C$32/100)*IF(ISBLANK(Design!$B$41),Constants!$C$6/1000,Design!$B$41/1000)),   (1-Constants!$C$20/1000000000*IF(ISBLANK(Design!$B$31),Design!$B$30,Design!$B$31)*1000000) * ($B21+D21-C21*O21/1000) - (D21+C21*(1+($A21-25)*Constants!$C$32/100)*IF(ISBLANK(Design!$B$41),Constants!$C$6/1000,Design!$B$41/1000)) )</f>
        <v>5.8595252963743372</v>
      </c>
      <c r="Q21" s="171">
        <f ca="1">IF(P21&gt;Design!$C$27,Design!$C$27,P21)</f>
        <v>4.9936842105263155</v>
      </c>
      <c r="R21" s="181">
        <f>2*Design!$D$6/3</f>
        <v>2</v>
      </c>
      <c r="S21" s="116">
        <f ca="1">FORECAST(R21, OFFSET(Design!$C$14:$C$16,MATCH(R21,Design!$B$14:$B$16,1)-1,0,2), OFFSET(Design!$B$14:$B$16,MATCH(R21,Design!$B$14:$B$16,1)-1,0,2))+(AB21-25)*Design!$B$17/1000</f>
        <v>0.38513343231768637</v>
      </c>
      <c r="T21" s="182">
        <f ca="1">IF(100*(Design!$C$27+S21+R21*IF(ISBLANK(Design!$B$41),Constants!$C$6,Design!$B$41)/1000*(1+Constants!$C$32/100*(AC21-25)))/($B21+S21-R21*AD21/1000)&gt;Design!$C$34,Design!$C$35,100*(Design!$C$27+S21+R21*IF(ISBLANK(Design!$B$41),Constants!$C$6,Design!$B$41)/1000*(1+Constants!$C$32/100*(AC21-25)))/($B21+S21-R21*AD21/1000))</f>
        <v>66.139400660034795</v>
      </c>
      <c r="U21" s="117">
        <f ca="1">IF(($B21-R21*IF(ISBLANK(Design!$B$41),Constants!$C$6,Design!$B$41)/1000*(1+Constants!$C$32/100*(AC21-25))-Design!$C$27)/(Design!$B$40/1000000)*T21/100/(IF(ISBLANK(IF(ISBLANK(Design!$B$40),Design!$B$38,Design!$B$40)),Design!$B$30,Design!$B$31)*1000000)&lt;0,0,($B21-R21*IF(ISBLANK(Design!$B$41),Constants!$C$6,Design!$B$41)/1000*(1+Constants!$C$32/100*(AC21-25))-Design!$C$27)/(IF(ISBLANK(Design!$B$40),Design!$B$38,Design!$B$40)/1000000)*T21/100/(IF(ISBLANK(Design!$B$31),Design!$B$30,Design!$B$31)*1000000))</f>
        <v>0.3079129594363233</v>
      </c>
      <c r="V21" s="183">
        <f>$B21*Constants!$C$21/1000+IF(ISBLANK(Design!$B$31),Design!$B$30,Design!$B$31)*1000000*Constants!$D$25/1000000000*($B21-Constants!$C$24)</f>
        <v>5.5984999999999965E-2</v>
      </c>
      <c r="W21" s="183">
        <f>$B21*R21*($B21/(Constants!$C$26*1000000000)*IF(ISBLANK(Design!$B$31),Design!$B$30,Design!$B$31)*1000000/2+$B21/(Constants!$C$27*1000000000)*IF(ISBLANK(Design!$B$31),Design!$B$30,Design!$B$31)*1000000/2)</f>
        <v>0.4062276458333331</v>
      </c>
      <c r="X21" s="183">
        <f t="shared" ca="1" si="1"/>
        <v>0.54145991506184199</v>
      </c>
      <c r="Y21" s="183">
        <f>Constants!$D$25/1000000000*Constants!$C$24*IF(ISBLANK(Design!$B$31),Design!$B$30,Design!$B$31)*1000000</f>
        <v>5.2499999999999998E-2</v>
      </c>
      <c r="Z21" s="183">
        <f t="shared" ca="1" si="10"/>
        <v>1.0561725608951751</v>
      </c>
      <c r="AA21" s="183">
        <f t="shared" ca="1" si="7"/>
        <v>0.26081697688269567</v>
      </c>
      <c r="AB21" s="184">
        <f ca="1">$A21+AA21*Design!$B$18</f>
        <v>99.866567682313658</v>
      </c>
      <c r="AC21" s="184">
        <f ca="1">Z21*Design!$C$11+$A21</f>
        <v>124.07838475312147</v>
      </c>
      <c r="AD21" s="184">
        <f ca="1">Constants!$D$22+Constants!$D$22*Constants!$C$23/100*(AC21-25)</f>
        <v>204.26270780249718</v>
      </c>
      <c r="AE21" s="183">
        <f ca="1">IF(100*(Design!$C$27+S21+R21*IF(ISBLANK(Design!$B$41),Constants!$C$6,Design!$B$41)/1000*(1+Constants!$C$32/100*(AC21-25)))/($B21+S21-R21*AD21/1000)&gt;Design!$C$34,  (1-Constants!$C$20/1000000000*IF(ISBLANK(Design!$B$31),Design!$B$30/4,Design!$B$31/4)*1000000) * ($B21+S21-R21*AD21/1000) - (S21+R21*(1+($A21-25)*Constants!$C$32/100)*IF(ISBLANK(Design!$B$41),Constants!$C$6/1000,Design!$B$41/1000)),   (1-Constants!$C$20/1000000000*IF(ISBLANK(Design!$B$31),Design!$B$30,Design!$B$31)*1000000) * ($B21+S21-R21*AD21/1000) - (S21+R21*(1+($A21-25)*Constants!$C$32/100)*IF(ISBLANK(Design!$B$41),Constants!$C$6/1000,Design!$B$41/1000)) )</f>
        <v>6.165091785060822</v>
      </c>
      <c r="AF21" s="117">
        <f ca="1">IF(AE21&gt;Design!$C$27,Design!$C$27,AE21)</f>
        <v>4.9936842105263155</v>
      </c>
      <c r="AG21" s="118">
        <f>Design!$D$6/3</f>
        <v>1</v>
      </c>
      <c r="AH21" s="118">
        <f ca="1">FORECAST(AG21, OFFSET(Design!$C$14:$C$16,MATCH(AG21,Design!$B$14:$B$16,1)-1,0,2), OFFSET(Design!$B$14:$B$16,MATCH(AG21,Design!$B$14:$B$16,1)-1,0,2))+(AQ21-25)*Design!$B$17/1000</f>
        <v>0.31562627567293755</v>
      </c>
      <c r="AI21" s="194">
        <f ca="1">IF(100*(Design!$C$27+AH21+AG21*IF(ISBLANK(Design!$B$41),Constants!$C$6,Design!$B$41)/1000*(1+Constants!$C$32/100*(AR21-25)))/($B21+AH21-AG21*AS21/1000)&gt;Design!$C$34,Design!$C$35,100*(Design!$C$27+AH21+AG21*IF(ISBLANK(Design!$B$41),Constants!$C$6,Design!$B$41)/1000*(1+Constants!$C$32/100*(AR21-25)))/($B21+AH21-AG21*AS21/1000))</f>
        <v>63.336905247496638</v>
      </c>
      <c r="AJ21" s="119">
        <f ca="1">IF(($B21-AG21*IF(ISBLANK(Design!$B$41),Constants!$C$6,Design!$B$41)/1000*(1+Constants!$C$32/100*(AR21-25))-Design!$C$27)/(IF(ISBLANK(Design!$B$40),Design!$B$38,Design!$B$40)/1000000)*AI21/100/(IF(ISBLANK(Design!$B$31),Design!$B$30,Design!$B$31)*1000000)&lt;0,0,($B21-AG21*IF(ISBLANK(Design!$B$41),Constants!$C$6,Design!$B$41)/1000*(1+Constants!$C$32/100*(AR21-25))-Design!$C$27)/(IF(ISBLANK(Design!$B$40),Design!$B$38,Design!$B$40)/1000000)*AI21/100/(IF(ISBLANK(Design!$B$31),Design!$B$30,Design!$B$31)*1000000))</f>
        <v>0.30095451778695254</v>
      </c>
      <c r="AK21" s="195">
        <f>$B21*Constants!$C$21/1000+IF(ISBLANK(Design!$B$31),Design!$B$30,Design!$B$31)*1000000*Constants!$D$25/1000000000*($B21-Constants!$C$24)</f>
        <v>5.5984999999999965E-2</v>
      </c>
      <c r="AL21" s="195">
        <f>$B21*AG21*($B21/(Constants!$C$26*1000000000)*IF(ISBLANK(Design!$B$31),Design!$B$30,Design!$B$31)*1000000/2+$B21/(Constants!$C$27*1000000000)*IF(ISBLANK(Design!$B$31),Design!$B$30,Design!$B$31)*1000000/2)</f>
        <v>0.20311382291666655</v>
      </c>
      <c r="AM21" s="195">
        <f t="shared" ca="1" si="2"/>
        <v>0.11852457924113928</v>
      </c>
      <c r="AN21" s="195">
        <f>Constants!$D$25/1000000000*Constants!$C$24*IF(ISBLANK(Design!$B$31),Design!$B$30,Design!$B$31)*1000000</f>
        <v>5.2499999999999998E-2</v>
      </c>
      <c r="AO21" s="195">
        <f t="shared" ca="1" si="11"/>
        <v>0.43012340215780581</v>
      </c>
      <c r="AP21" s="195">
        <f t="shared" ca="1" si="9"/>
        <v>0.11571836051376658</v>
      </c>
      <c r="AQ21" s="196">
        <f ca="1">$A21+AP21*Design!$B$18</f>
        <v>91.59594654928469</v>
      </c>
      <c r="AR21" s="196">
        <f ca="1">AO21*Design!$C$11+$A21</f>
        <v>100.91456587983882</v>
      </c>
      <c r="AS21" s="196">
        <f ca="1">Constants!$D$22+Constants!$D$22*Constants!$C$23/100*(AR21-25)</f>
        <v>185.73165270387105</v>
      </c>
      <c r="AT21" s="195">
        <f ca="1">IF(100*(Design!$C$27+AH21+AG21*IF(ISBLANK(Design!$B$41),Constants!$C$6,Design!$B$41)/1000*(1+Constants!$C$32/100*(AR21-25)))/($B21+AH21-AG21*AS21/1000)&gt;Design!$C$34,  (1-Constants!$C$20/1000000000*IF(ISBLANK(Design!$B$31),Design!$B$30/4,Design!$B$31/4)*1000000) * ($B21+AH21-AG21*AS21/1000) - (AH21+AG21*(1+($A21-25)*Constants!$C$32/100)*IF(ISBLANK(Design!$B$41),Constants!$C$6/1000,Design!$B$41/1000)),   (1-Constants!$C$20/1000000000*IF(ISBLANK(Design!$B$31),Design!$B$30,Design!$B$31)*1000000) * ($B21+AH21-AG21*AS21/1000) - (AH21+AG21*(1+($A21-25)*Constants!$C$32/100)*IF(ISBLANK(Design!$B$41),Constants!$C$6/1000,Design!$B$41/1000)) )</f>
        <v>6.4129158700137978</v>
      </c>
      <c r="AU21" s="119">
        <f ca="1">IF(AT21&gt;Design!$C$27,Design!$C$27,AT21)</f>
        <v>4.9936842105263155</v>
      </c>
    </row>
    <row r="22" spans="1:47" s="120" customFormat="1" ht="12.75" customHeight="1" x14ac:dyDescent="0.25">
      <c r="A22" s="112">
        <f>Design!$D$12</f>
        <v>85</v>
      </c>
      <c r="B22" s="113">
        <f t="shared" si="3"/>
        <v>8.1299999999999972</v>
      </c>
      <c r="C22" s="114">
        <f>Design!$D$6</f>
        <v>3</v>
      </c>
      <c r="D22" s="114">
        <f ca="1">FORECAST(C22, OFFSET(Design!$C$14:$C$16,MATCH(C22,Design!$B$14:$B$16,1)-1,0,2), OFFSET(Design!$B$14:$B$16,MATCH(C22,Design!$B$14:$B$16,1)-1,0,2))+(M22-25)*Design!$B$17/1000</f>
        <v>0.4054143742376532</v>
      </c>
      <c r="E22" s="173">
        <f ca="1">IF(100*(Design!$C$27+D22+C22*IF(ISBLANK(Design!$B$41),Constants!$C$6,Design!$B$41)/1000*(1+Constants!$C$32/100*(N22-25)))/($B22+D22-C22*O22/1000)&gt;Design!$C$34,Design!$C$35,100*(Design!$C$27+D22+C22*IF(ISBLANK(Design!$B$41),Constants!$C$6,Design!$B$41)/1000*(1+Constants!$C$32/100*(N22-25)))/($B22+D22-C22*O22/1000))</f>
        <v>71.748455296634845</v>
      </c>
      <c r="F22" s="115">
        <f ca="1">IF(($B22-C22*IF(ISBLANK(Design!$B$41),Constants!$C$6,Design!$B$41)/1000*(1+Constants!$C$32/100*(N22-25))-Design!$C$27)/(IF(ISBLANK(Design!$B$40),Design!$B$38,Design!$B$40)/1000000)*E22/100/(IF(ISBLANK(Design!$B$31),Design!$B$30,Design!$B$31)*1000000)&lt;0, 0, ($B22-C22*IF(ISBLANK(Design!$B$41),Constants!$C$6,Design!$B$41)/1000*(1+Constants!$C$32/100*(N22-25))-Design!$C$27)/(IF(ISBLANK(Design!$B$40),Design!$B$38,Design!$B$40)/1000000)*E22/100/(IF(ISBLANK(Design!$B$31),Design!$B$30,Design!$B$31)*1000000))</f>
        <v>0.30291084036426447</v>
      </c>
      <c r="G22" s="165">
        <f>B22*Constants!$C$21/1000+IF(ISBLANK(Design!$B$31),Design!$B$30,Design!$B$31)*1000000*Constants!$D$25/1000000000*(B22-Constants!$C$24)</f>
        <v>5.318999999999996E-2</v>
      </c>
      <c r="H22" s="165">
        <f>B22*C22*(B22/(Constants!$C$26*1000000000)*IF(ISBLANK(Design!$B$31),Design!$B$30,Design!$B$31)*1000000/2+B22/(Constants!$C$27*1000000000)*IF(ISBLANK(Design!$B$31),Design!$B$30,Design!$B$31)*1000000/2)</f>
        <v>0.57834787499999973</v>
      </c>
      <c r="I22" s="165">
        <f t="shared" ca="1" si="0"/>
        <v>1.544366997367512</v>
      </c>
      <c r="J22" s="165">
        <f>Constants!$D$25/1000000000*Constants!$C$24*IF(ISBLANK(Design!$B$31),Design!$B$30,Design!$B$31)*1000000</f>
        <v>5.2499999999999998E-2</v>
      </c>
      <c r="K22" s="165">
        <f t="shared" ca="1" si="4"/>
        <v>2.2284048723675118</v>
      </c>
      <c r="L22" s="165">
        <f t="shared" ca="1" si="5"/>
        <v>0.34360746951485605</v>
      </c>
      <c r="M22" s="166">
        <f ca="1">A22+L22*Design!$B$18</f>
        <v>104.58562576234679</v>
      </c>
      <c r="N22" s="166">
        <f ca="1">K22*Design!$C$11+A22</f>
        <v>167.45098027759792</v>
      </c>
      <c r="O22" s="166">
        <f ca="1">Constants!$D$22+Constants!$D$22*Constants!$C$23/100*(N22-25)</f>
        <v>238.96078422207836</v>
      </c>
      <c r="P22" s="165">
        <f ca="1">IF(100*(Design!$C$27+D22+C22*IF(ISBLANK(Design!$B$41),Constants!$C$6,Design!$B$41)/1000*(1+Constants!$C$32/100*(N22-25)))/($B22+D22-C22*O22/1000)&gt;Design!$C$34,  (1-Constants!$C$20/1000000000*IF(ISBLANK(Design!$B$31),Design!$B$30/4,Design!$B$31/4)*1000000) * ($B22+D22-C22*O22/1000) - (D22+C22*(1+($A22-25)*Constants!$C$32/100)*IF(ISBLANK(Design!$B$41),Constants!$C$6/1000,Design!$B$41/1000)),   (1-Constants!$C$20/1000000000*IF(ISBLANK(Design!$B$31),Design!$B$30,Design!$B$31)*1000000) * ($B22+D22-C22*O22/1000) - (D22+C22*(1+($A22-25)*Constants!$C$32/100)*IF(ISBLANK(Design!$B$41),Constants!$C$6/1000,Design!$B$41/1000)) )</f>
        <v>5.6864875090302647</v>
      </c>
      <c r="Q22" s="171">
        <f ca="1">IF(P22&gt;Design!$C$27,Design!$C$27,P22)</f>
        <v>4.9936842105263155</v>
      </c>
      <c r="R22" s="181">
        <f>2*Design!$D$6/3</f>
        <v>2</v>
      </c>
      <c r="S22" s="116">
        <f ca="1">FORECAST(R22, OFFSET(Design!$C$14:$C$16,MATCH(R22,Design!$B$14:$B$16,1)-1,0,2), OFFSET(Design!$B$14:$B$16,MATCH(R22,Design!$B$14:$B$16,1)-1,0,2))+(AB22-25)*Design!$B$17/1000</f>
        <v>0.38587484012759188</v>
      </c>
      <c r="T22" s="182">
        <f ca="1">IF(100*(Design!$C$27+S22+R22*IF(ISBLANK(Design!$B$41),Constants!$C$6,Design!$B$41)/1000*(1+Constants!$C$32/100*(AC22-25)))/($B22+S22-R22*AD22/1000)&gt;Design!$C$34,Design!$C$35,100*(Design!$C$27+S22+R22*IF(ISBLANK(Design!$B$41),Constants!$C$6,Design!$B$41)/1000*(1+Constants!$C$32/100*(AC22-25)))/($B22+S22-R22*AD22/1000))</f>
        <v>67.88987042521228</v>
      </c>
      <c r="U22" s="117">
        <f ca="1">IF(($B22-R22*IF(ISBLANK(Design!$B$41),Constants!$C$6,Design!$B$41)/1000*(1+Constants!$C$32/100*(AC22-25))-Design!$C$27)/(Design!$B$40/1000000)*T22/100/(IF(ISBLANK(IF(ISBLANK(Design!$B$40),Design!$B$38,Design!$B$40)),Design!$B$30,Design!$B$31)*1000000)&lt;0,0,($B22-R22*IF(ISBLANK(Design!$B$41),Constants!$C$6,Design!$B$41)/1000*(1+Constants!$C$32/100*(AC22-25))-Design!$C$27)/(IF(ISBLANK(Design!$B$40),Design!$B$38,Design!$B$40)/1000000)*T22/100/(IF(ISBLANK(Design!$B$31),Design!$B$30,Design!$B$31)*1000000))</f>
        <v>0.29501263482838647</v>
      </c>
      <c r="V22" s="183">
        <f>$B22*Constants!$C$21/1000+IF(ISBLANK(Design!$B$31),Design!$B$30,Design!$B$31)*1000000*Constants!$D$25/1000000000*($B22-Constants!$C$24)</f>
        <v>5.318999999999996E-2</v>
      </c>
      <c r="W22" s="183">
        <f>$B22*R22*($B22/(Constants!$C$26*1000000000)*IF(ISBLANK(Design!$B$31),Design!$B$30,Design!$B$31)*1000000/2+$B22/(Constants!$C$27*1000000000)*IF(ISBLANK(Design!$B$31),Design!$B$30,Design!$B$31)*1000000/2)</f>
        <v>0.38556524999999975</v>
      </c>
      <c r="X22" s="183">
        <f t="shared" ca="1" si="1"/>
        <v>0.55489330309251239</v>
      </c>
      <c r="Y22" s="183">
        <f>Constants!$D$25/1000000000*Constants!$C$24*IF(ISBLANK(Design!$B$31),Design!$B$30,Design!$B$31)*1000000</f>
        <v>5.2499999999999998E-2</v>
      </c>
      <c r="Z22" s="183">
        <f t="shared" ca="1" si="10"/>
        <v>1.0461485530925121</v>
      </c>
      <c r="AA22" s="183">
        <f t="shared" ca="1" si="7"/>
        <v>0.2478098223229494</v>
      </c>
      <c r="AB22" s="184">
        <f ca="1">$A22+AA22*Design!$B$18</f>
        <v>99.125159872408119</v>
      </c>
      <c r="AC22" s="184">
        <f ca="1">Z22*Design!$C$11+$A22</f>
        <v>123.70749646442295</v>
      </c>
      <c r="AD22" s="184">
        <f ca="1">Constants!$D$22+Constants!$D$22*Constants!$C$23/100*(AC22-25)</f>
        <v>203.96599717153836</v>
      </c>
      <c r="AE22" s="183">
        <f ca="1">IF(100*(Design!$C$27+S22+R22*IF(ISBLANK(Design!$B$41),Constants!$C$6,Design!$B$41)/1000*(1+Constants!$C$32/100*(AC22-25)))/($B22+S22-R22*AD22/1000)&gt;Design!$C$34,  (1-Constants!$C$20/1000000000*IF(ISBLANK(Design!$B$31),Design!$B$30/4,Design!$B$31/4)*1000000) * ($B22+S22-R22*AD22/1000) - (S22+R22*(1+($A22-25)*Constants!$C$32/100)*IF(ISBLANK(Design!$B$41),Constants!$C$6/1000,Design!$B$41/1000)),   (1-Constants!$C$20/1000000000*IF(ISBLANK(Design!$B$31),Design!$B$30,Design!$B$31)*1000000) * ($B22+S22-R22*AD22/1000) - (S22+R22*(1+($A22-25)*Constants!$C$32/100)*IF(ISBLANK(Design!$B$41),Constants!$C$6/1000,Design!$B$41/1000)) )</f>
        <v>5.9933114079229108</v>
      </c>
      <c r="AF22" s="117">
        <f ca="1">IF(AE22&gt;Design!$C$27,Design!$C$27,AE22)</f>
        <v>4.9936842105263155</v>
      </c>
      <c r="AG22" s="118">
        <f>Design!$D$6/3</f>
        <v>1</v>
      </c>
      <c r="AH22" s="118">
        <f ca="1">FORECAST(AG22, OFFSET(Design!$C$14:$C$16,MATCH(AG22,Design!$B$14:$B$16,1)-1,0,2), OFFSET(Design!$B$14:$B$16,MATCH(AG22,Design!$B$14:$B$16,1)-1,0,2))+(AQ22-25)*Design!$B$17/1000</f>
        <v>0.31591671919401826</v>
      </c>
      <c r="AI22" s="194">
        <f ca="1">IF(100*(Design!$C$27+AH22+AG22*IF(ISBLANK(Design!$B$41),Constants!$C$6,Design!$B$41)/1000*(1+Constants!$C$32/100*(AR22-25)))/($B22+AH22-AG22*AS22/1000)&gt;Design!$C$34,Design!$C$35,100*(Design!$C$27+AH22+AG22*IF(ISBLANK(Design!$B$41),Constants!$C$6,Design!$B$41)/1000*(1+Constants!$C$32/100*(AR22-25)))/($B22+AH22-AG22*AS22/1000))</f>
        <v>64.983537298641238</v>
      </c>
      <c r="AJ22" s="119">
        <f ca="1">IF(($B22-AG22*IF(ISBLANK(Design!$B$41),Constants!$C$6,Design!$B$41)/1000*(1+Constants!$C$32/100*(AR22-25))-Design!$C$27)/(IF(ISBLANK(Design!$B$40),Design!$B$38,Design!$B$40)/1000000)*AI22/100/(IF(ISBLANK(Design!$B$31),Design!$B$30,Design!$B$31)*1000000)&lt;0,0,($B22-AG22*IF(ISBLANK(Design!$B$41),Constants!$C$6,Design!$B$41)/1000*(1+Constants!$C$32/100*(AR22-25))-Design!$C$27)/(IF(ISBLANK(Design!$B$40),Design!$B$38,Design!$B$40)/1000000)*AI22/100/(IF(ISBLANK(Design!$B$31),Design!$B$30,Design!$B$31)*1000000))</f>
        <v>0.28862422264657989</v>
      </c>
      <c r="AK22" s="195">
        <f>$B22*Constants!$C$21/1000+IF(ISBLANK(Design!$B$31),Design!$B$30,Design!$B$31)*1000000*Constants!$D$25/1000000000*($B22-Constants!$C$24)</f>
        <v>5.318999999999996E-2</v>
      </c>
      <c r="AL22" s="195">
        <f>$B22*AG22*($B22/(Constants!$C$26*1000000000)*IF(ISBLANK(Design!$B$31),Design!$B$30,Design!$B$31)*1000000/2+$B22/(Constants!$C$27*1000000000)*IF(ISBLANK(Design!$B$31),Design!$B$30,Design!$B$31)*1000000/2)</f>
        <v>0.19278262499999987</v>
      </c>
      <c r="AM22" s="195">
        <f t="shared" ca="1" si="2"/>
        <v>0.12133302081495023</v>
      </c>
      <c r="AN22" s="195">
        <f>Constants!$D$25/1000000000*Constants!$C$24*IF(ISBLANK(Design!$B$31),Design!$B$30,Design!$B$31)*1000000</f>
        <v>5.2499999999999998E-2</v>
      </c>
      <c r="AO22" s="195">
        <f t="shared" ca="1" si="11"/>
        <v>0.41980564581495006</v>
      </c>
      <c r="AP22" s="195">
        <f t="shared" ca="1" si="9"/>
        <v>0.1106228601439297</v>
      </c>
      <c r="AQ22" s="196">
        <f ca="1">$A22+AP22*Design!$B$18</f>
        <v>91.305503028203987</v>
      </c>
      <c r="AR22" s="196">
        <f ca="1">AO22*Design!$C$11+$A22</f>
        <v>100.53280889515315</v>
      </c>
      <c r="AS22" s="196">
        <f ca="1">Constants!$D$22+Constants!$D$22*Constants!$C$23/100*(AR22-25)</f>
        <v>185.42624711612251</v>
      </c>
      <c r="AT22" s="195">
        <f ca="1">IF(100*(Design!$C$27+AH22+AG22*IF(ISBLANK(Design!$B$41),Constants!$C$6,Design!$B$41)/1000*(1+Constants!$C$32/100*(AR22-25)))/($B22+AH22-AG22*AS22/1000)&gt;Design!$C$34,  (1-Constants!$C$20/1000000000*IF(ISBLANK(Design!$B$31),Design!$B$30/4,Design!$B$31/4)*1000000) * ($B22+AH22-AG22*AS22/1000) - (AH22+AG22*(1+($A22-25)*Constants!$C$32/100)*IF(ISBLANK(Design!$B$41),Constants!$C$6/1000,Design!$B$41/1000)),   (1-Constants!$C$20/1000000000*IF(ISBLANK(Design!$B$31),Design!$B$30,Design!$B$31)*1000000) * ($B22+AH22-AG22*AS22/1000) - (AH22+AG22*(1+($A22-25)*Constants!$C$32/100)*IF(ISBLANK(Design!$B$41),Constants!$C$6/1000,Design!$B$41/1000)) )</f>
        <v>6.2409949037043342</v>
      </c>
      <c r="AU22" s="119">
        <f ca="1">IF(AT22&gt;Design!$C$27,Design!$C$27,AT22)</f>
        <v>4.9936842105263155</v>
      </c>
    </row>
    <row r="23" spans="1:47" s="120" customFormat="1" ht="12.75" customHeight="1" x14ac:dyDescent="0.25">
      <c r="A23" s="112">
        <f>Design!$D$12</f>
        <v>85</v>
      </c>
      <c r="B23" s="113">
        <f t="shared" si="3"/>
        <v>7.9149999999999974</v>
      </c>
      <c r="C23" s="114">
        <f>Design!$D$6</f>
        <v>3</v>
      </c>
      <c r="D23" s="114">
        <f ca="1">FORECAST(C23, OFFSET(Design!$C$14:$C$16,MATCH(C23,Design!$B$14:$B$16,1)-1,0,2), OFFSET(Design!$B$14:$B$16,MATCH(C23,Design!$B$14:$B$16,1)-1,0,2))+(M23-25)*Design!$B$17/1000</f>
        <v>0.40677381108047145</v>
      </c>
      <c r="E23" s="173">
        <f ca="1">IF(100*(Design!$C$27+D23+C23*IF(ISBLANK(Design!$B$41),Constants!$C$6,Design!$B$41)/1000*(1+Constants!$C$32/100*(N23-25)))/($B23+D23-C23*O23/1000)&gt;Design!$C$34,Design!$C$35,100*(Design!$C$27+D23+C23*IF(ISBLANK(Design!$B$41),Constants!$C$6,Design!$B$41)/1000*(1+Constants!$C$32/100*(N23-25)))/($B23+D23-C23*O23/1000))</f>
        <v>73.797256064472592</v>
      </c>
      <c r="F23" s="115">
        <f ca="1">IF(($B23-C23*IF(ISBLANK(Design!$B$41),Constants!$C$6,Design!$B$41)/1000*(1+Constants!$C$32/100*(N23-25))-Design!$C$27)/(IF(ISBLANK(Design!$B$40),Design!$B$38,Design!$B$40)/1000000)*E23/100/(IF(ISBLANK(Design!$B$31),Design!$B$30,Design!$B$31)*1000000)&lt;0, 0, ($B23-C23*IF(ISBLANK(Design!$B$41),Constants!$C$6,Design!$B$41)/1000*(1+Constants!$C$32/100*(N23-25))-Design!$C$27)/(IF(ISBLANK(Design!$B$40),Design!$B$38,Design!$B$40)/1000000)*E23/100/(IF(ISBLANK(Design!$B$31),Design!$B$30,Design!$B$31)*1000000))</f>
        <v>0.28863668954948657</v>
      </c>
      <c r="G23" s="165">
        <f>B23*Constants!$C$21/1000+IF(ISBLANK(Design!$B$31),Design!$B$30,Design!$B$31)*1000000*Constants!$D$25/1000000000*(B23-Constants!$C$24)</f>
        <v>5.0394999999999968E-2</v>
      </c>
      <c r="H23" s="165">
        <f>B23*C23*(B23/(Constants!$C$26*1000000000)*IF(ISBLANK(Design!$B$31),Design!$B$30,Design!$B$31)*1000000/2+B23/(Constants!$C$27*1000000000)*IF(ISBLANK(Design!$B$31),Design!$B$30,Design!$B$31)*1000000/2)</f>
        <v>0.54816321874999963</v>
      </c>
      <c r="I23" s="165">
        <f t="shared" ca="1" si="0"/>
        <v>1.5910362042150272</v>
      </c>
      <c r="J23" s="165">
        <f>Constants!$D$25/1000000000*Constants!$C$24*IF(ISBLANK(Design!$B$31),Design!$B$30,Design!$B$31)*1000000</f>
        <v>5.2499999999999998E-2</v>
      </c>
      <c r="K23" s="165">
        <f t="shared" ca="1" si="4"/>
        <v>2.2420944229650273</v>
      </c>
      <c r="L23" s="165">
        <f t="shared" ca="1" si="5"/>
        <v>0.31975770034260581</v>
      </c>
      <c r="M23" s="166">
        <f ca="1">A23+L23*Design!$B$18</f>
        <v>103.22618891952854</v>
      </c>
      <c r="N23" s="166">
        <f ca="1">K23*Design!$C$11+A23</f>
        <v>167.95749364970601</v>
      </c>
      <c r="O23" s="166">
        <f ca="1">Constants!$D$22+Constants!$D$22*Constants!$C$23/100*(N23-25)</f>
        <v>239.36599491976483</v>
      </c>
      <c r="P23" s="165">
        <f ca="1">IF(100*(Design!$C$27+D23+C23*IF(ISBLANK(Design!$B$41),Constants!$C$6,Design!$B$41)/1000*(1+Constants!$C$32/100*(N23-25)))/($B23+D23-C23*O23/1000)&gt;Design!$C$34,  (1-Constants!$C$20/1000000000*IF(ISBLANK(Design!$B$31),Design!$B$30/4,Design!$B$31/4)*1000000) * ($B23+D23-C23*O23/1000) - (D23+C23*(1+($A23-25)*Constants!$C$32/100)*IF(ISBLANK(Design!$B$41),Constants!$C$6/1000,Design!$B$41/1000)),   (1-Constants!$C$20/1000000000*IF(ISBLANK(Design!$B$31),Design!$B$30,Design!$B$31)*1000000) * ($B23+D23-C23*O23/1000) - (D23+C23*(1+($A23-25)*Constants!$C$32/100)*IF(ISBLANK(Design!$B$41),Constants!$C$6/1000,Design!$B$41/1000)) )</f>
        <v>5.5131356878896289</v>
      </c>
      <c r="Q23" s="171">
        <f ca="1">IF(P23&gt;Design!$C$27,Design!$C$27,P23)</f>
        <v>4.9936842105263155</v>
      </c>
      <c r="R23" s="181">
        <f>2*Design!$D$6/3</f>
        <v>2</v>
      </c>
      <c r="S23" s="116">
        <f ca="1">FORECAST(R23, OFFSET(Design!$C$14:$C$16,MATCH(R23,Design!$B$14:$B$16,1)-1,0,2), OFFSET(Design!$B$14:$B$16,MATCH(R23,Design!$B$14:$B$16,1)-1,0,2))+(AB23-25)*Design!$B$17/1000</f>
        <v>0.3866599576309423</v>
      </c>
      <c r="T23" s="182">
        <f ca="1">IF(100*(Design!$C$27+S23+R23*IF(ISBLANK(Design!$B$41),Constants!$C$6,Design!$B$41)/1000*(1+Constants!$C$32/100*(AC23-25)))/($B23+S23-R23*AD23/1000)&gt;Design!$C$34,Design!$C$35,100*(Design!$C$27+S23+R23*IF(ISBLANK(Design!$B$41),Constants!$C$6,Design!$B$41)/1000*(1+Constants!$C$32/100*(AC23-25)))/($B23+S23-R23*AD23/1000))</f>
        <v>69.736220881257879</v>
      </c>
      <c r="U23" s="117">
        <f ca="1">IF(($B23-R23*IF(ISBLANK(Design!$B$41),Constants!$C$6,Design!$B$41)/1000*(1+Constants!$C$32/100*(AC23-25))-Design!$C$27)/(Design!$B$40/1000000)*T23/100/(IF(ISBLANK(IF(ISBLANK(Design!$B$40),Design!$B$38,Design!$B$40)),Design!$B$30,Design!$B$31)*1000000)&lt;0,0,($B23-R23*IF(ISBLANK(Design!$B$41),Constants!$C$6,Design!$B$41)/1000*(1+Constants!$C$32/100*(AC23-25))-Design!$C$27)/(IF(ISBLANK(Design!$B$40),Design!$B$38,Design!$B$40)/1000000)*T23/100/(IF(ISBLANK(Design!$B$31),Design!$B$30,Design!$B$31)*1000000))</f>
        <v>0.28141190964318968</v>
      </c>
      <c r="V23" s="183">
        <f>$B23*Constants!$C$21/1000+IF(ISBLANK(Design!$B$31),Design!$B$30,Design!$B$31)*1000000*Constants!$D$25/1000000000*($B23-Constants!$C$24)</f>
        <v>5.0394999999999968E-2</v>
      </c>
      <c r="W23" s="183">
        <f>$B23*R23*($B23/(Constants!$C$26*1000000000)*IF(ISBLANK(Design!$B$31),Design!$B$30,Design!$B$31)*1000000/2+$B23/(Constants!$C$27*1000000000)*IF(ISBLANK(Design!$B$31),Design!$B$30,Design!$B$31)*1000000/2)</f>
        <v>0.36544214583333312</v>
      </c>
      <c r="X23" s="183">
        <f t="shared" ca="1" si="1"/>
        <v>0.56917732597139425</v>
      </c>
      <c r="Y23" s="183">
        <f>Constants!$D$25/1000000000*Constants!$C$24*IF(ISBLANK(Design!$B$31),Design!$B$30,Design!$B$31)*1000000</f>
        <v>5.2499999999999998E-2</v>
      </c>
      <c r="Z23" s="183">
        <f t="shared" ca="1" si="10"/>
        <v>1.0375144718047273</v>
      </c>
      <c r="AA23" s="183">
        <f t="shared" ca="1" si="7"/>
        <v>0.23403583103610048</v>
      </c>
      <c r="AB23" s="184">
        <f ca="1">$A23+AA23*Design!$B$18</f>
        <v>98.340042369057727</v>
      </c>
      <c r="AC23" s="184">
        <f ca="1">Z23*Design!$C$11+$A23</f>
        <v>123.3880354567749</v>
      </c>
      <c r="AD23" s="184">
        <f ca="1">Constants!$D$22+Constants!$D$22*Constants!$C$23/100*(AC23-25)</f>
        <v>203.71042836541994</v>
      </c>
      <c r="AE23" s="183">
        <f ca="1">IF(100*(Design!$C$27+S23+R23*IF(ISBLANK(Design!$B$41),Constants!$C$6,Design!$B$41)/1000*(1+Constants!$C$32/100*(AC23-25)))/($B23+S23-R23*AD23/1000)&gt;Design!$C$34,  (1-Constants!$C$20/1000000000*IF(ISBLANK(Design!$B$31),Design!$B$30/4,Design!$B$31/4)*1000000) * ($B23+S23-R23*AD23/1000) - (S23+R23*(1+($A23-25)*Constants!$C$32/100)*IF(ISBLANK(Design!$B$41),Constants!$C$6/1000,Design!$B$41/1000)),   (1-Constants!$C$20/1000000000*IF(ISBLANK(Design!$B$31),Design!$B$30,Design!$B$31)*1000000) * ($B23+S23-R23*AD23/1000) - (S23+R23*(1+($A23-25)*Constants!$C$32/100)*IF(ISBLANK(Design!$B$41),Constants!$C$6/1000,Design!$B$41/1000)) )</f>
        <v>5.8214564426395867</v>
      </c>
      <c r="AF23" s="117">
        <f ca="1">IF(AE23&gt;Design!$C$27,Design!$C$27,AE23)</f>
        <v>4.9936842105263155</v>
      </c>
      <c r="AG23" s="118">
        <f>Design!$D$6/3</f>
        <v>1</v>
      </c>
      <c r="AH23" s="118">
        <f ca="1">FORECAST(AG23, OFFSET(Design!$C$14:$C$16,MATCH(AG23,Design!$B$14:$B$16,1)-1,0,2), OFFSET(Design!$B$14:$B$16,MATCH(AG23,Design!$B$14:$B$16,1)-1,0,2))+(AQ23-25)*Design!$B$17/1000</f>
        <v>0.31622325671505036</v>
      </c>
      <c r="AI23" s="194">
        <f ca="1">IF(100*(Design!$C$27+AH23+AG23*IF(ISBLANK(Design!$B$41),Constants!$C$6,Design!$B$41)/1000*(1+Constants!$C$32/100*(AR23-25)))/($B23+AH23-AG23*AS23/1000)&gt;Design!$C$34,Design!$C$35,100*(Design!$C$27+AH23+AG23*IF(ISBLANK(Design!$B$41),Constants!$C$6,Design!$B$41)/1000*(1+Constants!$C$32/100*(AR23-25)))/($B23+AH23-AG23*AS23/1000))</f>
        <v>66.718131363567167</v>
      </c>
      <c r="AJ23" s="119">
        <f ca="1">IF(($B23-AG23*IF(ISBLANK(Design!$B$41),Constants!$C$6,Design!$B$41)/1000*(1+Constants!$C$32/100*(AR23-25))-Design!$C$27)/(IF(ISBLANK(Design!$B$40),Design!$B$38,Design!$B$40)/1000000)*AI23/100/(IF(ISBLANK(Design!$B$31),Design!$B$30,Design!$B$31)*1000000)&lt;0,0,($B23-AG23*IF(ISBLANK(Design!$B$41),Constants!$C$6,Design!$B$41)/1000*(1+Constants!$C$32/100*(AR23-25))-Design!$C$27)/(IF(ISBLANK(Design!$B$40),Design!$B$38,Design!$B$40)/1000000)*AI23/100/(IF(ISBLANK(Design!$B$31),Design!$B$30,Design!$B$31)*1000000))</f>
        <v>0.27563566092597208</v>
      </c>
      <c r="AK23" s="195">
        <f>$B23*Constants!$C$21/1000+IF(ISBLANK(Design!$B$31),Design!$B$30,Design!$B$31)*1000000*Constants!$D$25/1000000000*($B23-Constants!$C$24)</f>
        <v>5.0394999999999968E-2</v>
      </c>
      <c r="AL23" s="195">
        <f>$B23*AG23*($B23/(Constants!$C$26*1000000000)*IF(ISBLANK(Design!$B$31),Design!$B$30,Design!$B$31)*1000000/2+$B23/(Constants!$C$27*1000000000)*IF(ISBLANK(Design!$B$31),Design!$B$30,Design!$B$31)*1000000/2)</f>
        <v>0.18272107291666656</v>
      </c>
      <c r="AM23" s="195">
        <f t="shared" ca="1" si="2"/>
        <v>0.12429963613707892</v>
      </c>
      <c r="AN23" s="195">
        <f>Constants!$D$25/1000000000*Constants!$C$24*IF(ISBLANK(Design!$B$31),Design!$B$30,Design!$B$31)*1000000</f>
        <v>5.2499999999999998E-2</v>
      </c>
      <c r="AO23" s="195">
        <f t="shared" ca="1" si="11"/>
        <v>0.40991570905374541</v>
      </c>
      <c r="AP23" s="195">
        <f t="shared" ca="1" si="9"/>
        <v>0.10524500889775283</v>
      </c>
      <c r="AQ23" s="196">
        <f ca="1">$A23+AP23*Design!$B$18</f>
        <v>90.998965507171917</v>
      </c>
      <c r="AR23" s="196">
        <f ca="1">AO23*Design!$C$11+$A23</f>
        <v>100.16688123498858</v>
      </c>
      <c r="AS23" s="196">
        <f ca="1">Constants!$D$22+Constants!$D$22*Constants!$C$23/100*(AR23-25)</f>
        <v>185.13350498799088</v>
      </c>
      <c r="AT23" s="195">
        <f ca="1">IF(100*(Design!$C$27+AH23+AG23*IF(ISBLANK(Design!$B$41),Constants!$C$6,Design!$B$41)/1000*(1+Constants!$C$32/100*(AR23-25)))/($B23+AH23-AG23*AS23/1000)&gt;Design!$C$34,  (1-Constants!$C$20/1000000000*IF(ISBLANK(Design!$B$31),Design!$B$30/4,Design!$B$31/4)*1000000) * ($B23+AH23-AG23*AS23/1000) - (AH23+AG23*(1+($A23-25)*Constants!$C$32/100)*IF(ISBLANK(Design!$B$41),Constants!$C$6/1000,Design!$B$41/1000)),   (1-Constants!$C$20/1000000000*IF(ISBLANK(Design!$B$31),Design!$B$30,Design!$B$31)*1000000) * ($B23+AH23-AG23*AS23/1000) - (AH23+AG23*(1+($A23-25)*Constants!$C$32/100)*IF(ISBLANK(Design!$B$41),Constants!$C$6/1000,Design!$B$41/1000)) )</f>
        <v>6.0690605895424579</v>
      </c>
      <c r="AU23" s="119">
        <f ca="1">IF(AT23&gt;Design!$C$27,Design!$C$27,AT23)</f>
        <v>4.9936842105263155</v>
      </c>
    </row>
    <row r="24" spans="1:47" s="120" customFormat="1" ht="12.75" customHeight="1" x14ac:dyDescent="0.25">
      <c r="A24" s="112">
        <f>Design!$D$12</f>
        <v>85</v>
      </c>
      <c r="B24" s="113">
        <f t="shared" si="3"/>
        <v>7.6999999999999975</v>
      </c>
      <c r="C24" s="114">
        <f>Design!$D$6</f>
        <v>3</v>
      </c>
      <c r="D24" s="114">
        <f ca="1">FORECAST(C24, OFFSET(Design!$C$14:$C$16,MATCH(C24,Design!$B$14:$B$16,1)-1,0,2), OFFSET(Design!$B$14:$B$16,MATCH(C24,Design!$B$14:$B$16,1)-1,0,2))+(M24-25)*Design!$B$17/1000</f>
        <v>0.40822608800790805</v>
      </c>
      <c r="E24" s="173">
        <f ca="1">IF(100*(Design!$C$27+D24+C24*IF(ISBLANK(Design!$B$41),Constants!$C$6,Design!$B$41)/1000*(1+Constants!$C$32/100*(N24-25)))/($B24+D24-C24*O24/1000)&gt;Design!$C$34,Design!$C$35,100*(Design!$C$27+D24+C24*IF(ISBLANK(Design!$B$41),Constants!$C$6,Design!$B$41)/1000*(1+Constants!$C$32/100*(N24-25)))/($B24+D24-C24*O24/1000))</f>
        <v>75.970900570315138</v>
      </c>
      <c r="F24" s="115">
        <f ca="1">IF(($B24-C24*IF(ISBLANK(Design!$B$41),Constants!$C$6,Design!$B$41)/1000*(1+Constants!$C$32/100*(N24-25))-Design!$C$27)/(IF(ISBLANK(Design!$B$40),Design!$B$38,Design!$B$40)/1000000)*E24/100/(IF(ISBLANK(Design!$B$31),Design!$B$30,Design!$B$31)*1000000)&lt;0, 0, ($B24-C24*IF(ISBLANK(Design!$B$41),Constants!$C$6,Design!$B$41)/1000*(1+Constants!$C$32/100*(N24-25))-Design!$C$27)/(IF(ISBLANK(Design!$B$40),Design!$B$38,Design!$B$40)/1000000)*E24/100/(IF(ISBLANK(Design!$B$31),Design!$B$30,Design!$B$31)*1000000))</f>
        <v>0.27352935806464296</v>
      </c>
      <c r="G24" s="165">
        <f>B24*Constants!$C$21/1000+IF(ISBLANK(Design!$B$31),Design!$B$30,Design!$B$31)*1000000*Constants!$D$25/1000000000*(B24-Constants!$C$24)</f>
        <v>4.7599999999999969E-2</v>
      </c>
      <c r="H24" s="165">
        <f>B24*C24*(B24/(Constants!$C$26*1000000000)*IF(ISBLANK(Design!$B$31),Design!$B$30,Design!$B$31)*1000000/2+B24/(Constants!$C$27*1000000000)*IF(ISBLANK(Design!$B$31),Design!$B$30,Design!$B$31)*1000000/2)</f>
        <v>0.51878749999999973</v>
      </c>
      <c r="I24" s="165">
        <f t="shared" ca="1" si="0"/>
        <v>1.6414688441474987</v>
      </c>
      <c r="J24" s="165">
        <f>Constants!$D$25/1000000000*Constants!$C$24*IF(ISBLANK(Design!$B$31),Design!$B$30,Design!$B$31)*1000000</f>
        <v>5.2499999999999998E-2</v>
      </c>
      <c r="K24" s="165">
        <f t="shared" ca="1" si="4"/>
        <v>2.2603563441474988</v>
      </c>
      <c r="L24" s="165">
        <f t="shared" ca="1" si="5"/>
        <v>0.29427915775599917</v>
      </c>
      <c r="M24" s="166">
        <f ca="1">A24+L24*Design!$B$18</f>
        <v>101.77391199209195</v>
      </c>
      <c r="N24" s="166">
        <f ca="1">K24*Design!$C$11+A24</f>
        <v>168.63318473345745</v>
      </c>
      <c r="O24" s="166">
        <f ca="1">Constants!$D$22+Constants!$D$22*Constants!$C$23/100*(N24-25)</f>
        <v>239.90654778676597</v>
      </c>
      <c r="P24" s="165">
        <f ca="1">IF(100*(Design!$C$27+D24+C24*IF(ISBLANK(Design!$B$41),Constants!$C$6,Design!$B$41)/1000*(1+Constants!$C$32/100*(N24-25)))/($B24+D24-C24*O24/1000)&gt;Design!$C$34,  (1-Constants!$C$20/1000000000*IF(ISBLANK(Design!$B$31),Design!$B$30/4,Design!$B$31/4)*1000000) * ($B24+D24-C24*O24/1000) - (D24+C24*(1+($A24-25)*Constants!$C$32/100)*IF(ISBLANK(Design!$B$41),Constants!$C$6/1000,Design!$B$41/1000)),   (1-Constants!$C$20/1000000000*IF(ISBLANK(Design!$B$31),Design!$B$30,Design!$B$31)*1000000) * ($B24+D24-C24*O24/1000) - (D24+C24*(1+($A24-25)*Constants!$C$32/100)*IF(ISBLANK(Design!$B$41),Constants!$C$6/1000,Design!$B$41/1000)) )</f>
        <v>5.3394403209325016</v>
      </c>
      <c r="Q24" s="171">
        <f ca="1">IF(P24&gt;Design!$C$27,Design!$C$27,P24)</f>
        <v>4.9936842105263155</v>
      </c>
      <c r="R24" s="181">
        <f>2*Design!$D$6/3</f>
        <v>2</v>
      </c>
      <c r="S24" s="116">
        <f ca="1">FORECAST(R24, OFFSET(Design!$C$14:$C$16,MATCH(R24,Design!$B$14:$B$16,1)-1,0,2), OFFSET(Design!$B$14:$B$16,MATCH(R24,Design!$B$14:$B$16,1)-1,0,2))+(AB24-25)*Design!$B$17/1000</f>
        <v>0.38749276902076668</v>
      </c>
      <c r="T24" s="182">
        <f ca="1">IF(100*(Design!$C$27+S24+R24*IF(ISBLANK(Design!$B$41),Constants!$C$6,Design!$B$41)/1000*(1+Constants!$C$32/100*(AC24-25)))/($B24+S24-R24*AD24/1000)&gt;Design!$C$34,Design!$C$35,100*(Design!$C$27+S24+R24*IF(ISBLANK(Design!$B$41),Constants!$C$6,Design!$B$41)/1000*(1+Constants!$C$32/100*(AC24-25)))/($B24+S24-R24*AD24/1000))</f>
        <v>71.686554893225505</v>
      </c>
      <c r="U24" s="117">
        <f ca="1">IF(($B24-R24*IF(ISBLANK(Design!$B$41),Constants!$C$6,Design!$B$41)/1000*(1+Constants!$C$32/100*(AC24-25))-Design!$C$27)/(Design!$B$40/1000000)*T24/100/(IF(ISBLANK(IF(ISBLANK(Design!$B$40),Design!$B$38,Design!$B$40)),Design!$B$30,Design!$B$31)*1000000)&lt;0,0,($B24-R24*IF(ISBLANK(Design!$B$41),Constants!$C$6,Design!$B$41)/1000*(1+Constants!$C$32/100*(AC24-25))-Design!$C$27)/(IF(ISBLANK(Design!$B$40),Design!$B$38,Design!$B$40)/1000000)*T24/100/(IF(ISBLANK(Design!$B$31),Design!$B$30,Design!$B$31)*1000000))</f>
        <v>0.26705152449680786</v>
      </c>
      <c r="V24" s="183">
        <f>$B24*Constants!$C$21/1000+IF(ISBLANK(Design!$B$31),Design!$B$30,Design!$B$31)*1000000*Constants!$D$25/1000000000*($B24-Constants!$C$24)</f>
        <v>4.7599999999999969E-2</v>
      </c>
      <c r="W24" s="183">
        <f>$B24*R24*($B24/(Constants!$C$26*1000000000)*IF(ISBLANK(Design!$B$31),Design!$B$30,Design!$B$31)*1000000/2+$B24/(Constants!$C$27*1000000000)*IF(ISBLANK(Design!$B$31),Design!$B$30,Design!$B$31)*1000000/2)</f>
        <v>0.3458583333333331</v>
      </c>
      <c r="X24" s="183">
        <f t="shared" ca="1" si="1"/>
        <v>0.58439075341164581</v>
      </c>
      <c r="Y24" s="183">
        <f>Constants!$D$25/1000000000*Constants!$C$24*IF(ISBLANK(Design!$B$31),Design!$B$30,Design!$B$31)*1000000</f>
        <v>5.2499999999999998E-2</v>
      </c>
      <c r="Z24" s="183">
        <f t="shared" ca="1" si="10"/>
        <v>1.0303490867449789</v>
      </c>
      <c r="AA24" s="183">
        <f t="shared" ca="1" si="7"/>
        <v>0.21942510489883049</v>
      </c>
      <c r="AB24" s="184">
        <f ca="1">$A24+AA24*Design!$B$18</f>
        <v>97.507230979233341</v>
      </c>
      <c r="AC24" s="184">
        <f ca="1">Z24*Design!$C$11+$A24</f>
        <v>123.12291620956422</v>
      </c>
      <c r="AD24" s="184">
        <f ca="1">Constants!$D$22+Constants!$D$22*Constants!$C$23/100*(AC24-25)</f>
        <v>203.49833296765138</v>
      </c>
      <c r="AE24" s="183">
        <f ca="1">IF(100*(Design!$C$27+S24+R24*IF(ISBLANK(Design!$B$41),Constants!$C$6,Design!$B$41)/1000*(1+Constants!$C$32/100*(AC24-25)))/($B24+S24-R24*AD24/1000)&gt;Design!$C$34,  (1-Constants!$C$20/1000000000*IF(ISBLANK(Design!$B$31),Design!$B$30/4,Design!$B$31/4)*1000000) * ($B24+S24-R24*AD24/1000) - (S24+R24*(1+($A24-25)*Constants!$C$32/100)*IF(ISBLANK(Design!$B$41),Constants!$C$6/1000,Design!$B$41/1000)),   (1-Constants!$C$20/1000000000*IF(ISBLANK(Design!$B$31),Design!$B$30,Design!$B$31)*1000000) * ($B24+S24-R24*AD24/1000) - (S24+R24*(1+($A24-25)*Constants!$C$32/100)*IF(ISBLANK(Design!$B$41),Constants!$C$6/1000,Design!$B$41/1000)) )</f>
        <v>5.6495223614991454</v>
      </c>
      <c r="AF24" s="117">
        <f ca="1">IF(AE24&gt;Design!$C$27,Design!$C$27,AE24)</f>
        <v>4.9936842105263155</v>
      </c>
      <c r="AG24" s="118">
        <f>Design!$D$6/3</f>
        <v>1</v>
      </c>
      <c r="AH24" s="118">
        <f ca="1">FORECAST(AG24, OFFSET(Design!$C$14:$C$16,MATCH(AG24,Design!$B$14:$B$16,1)-1,0,2), OFFSET(Design!$B$14:$B$16,MATCH(AG24,Design!$B$14:$B$16,1)-1,0,2))+(AQ24-25)*Design!$B$17/1000</f>
        <v>0.31654726232894753</v>
      </c>
      <c r="AI24" s="194">
        <f ca="1">IF(100*(Design!$C$27+AH24+AG24*IF(ISBLANK(Design!$B$41),Constants!$C$6,Design!$B$41)/1000*(1+Constants!$C$32/100*(AR24-25)))/($B24+AH24-AG24*AS24/1000)&gt;Design!$C$34,Design!$C$35,100*(Design!$C$27+AH24+AG24*IF(ISBLANK(Design!$B$41),Constants!$C$6,Design!$B$41)/1000*(1+Constants!$C$32/100*(AR24-25)))/($B24+AH24-AG24*AS24/1000))</f>
        <v>68.547919464060442</v>
      </c>
      <c r="AJ24" s="119">
        <f ca="1">IF(($B24-AG24*IF(ISBLANK(Design!$B$41),Constants!$C$6,Design!$B$41)/1000*(1+Constants!$C$32/100*(AR24-25))-Design!$C$27)/(IF(ISBLANK(Design!$B$40),Design!$B$38,Design!$B$40)/1000000)*AI24/100/(IF(ISBLANK(Design!$B$31),Design!$B$30,Design!$B$31)*1000000)&lt;0,0,($B24-AG24*IF(ISBLANK(Design!$B$41),Constants!$C$6,Design!$B$41)/1000*(1+Constants!$C$32/100*(AR24-25))-Design!$C$27)/(IF(ISBLANK(Design!$B$40),Design!$B$38,Design!$B$40)/1000000)*AI24/100/(IF(ISBLANK(Design!$B$31),Design!$B$30,Design!$B$31)*1000000))</f>
        <v>0.26193459302377248</v>
      </c>
      <c r="AK24" s="195">
        <f>$B24*Constants!$C$21/1000+IF(ISBLANK(Design!$B$31),Design!$B$30,Design!$B$31)*1000000*Constants!$D$25/1000000000*($B24-Constants!$C$24)</f>
        <v>4.7599999999999969E-2</v>
      </c>
      <c r="AL24" s="195">
        <f>$B24*AG24*($B24/(Constants!$C$26*1000000000)*IF(ISBLANK(Design!$B$31),Design!$B$30,Design!$B$31)*1000000/2+$B24/(Constants!$C$27*1000000000)*IF(ISBLANK(Design!$B$31),Design!$B$30,Design!$B$31)*1000000/2)</f>
        <v>0.17292916666666655</v>
      </c>
      <c r="AM24" s="195">
        <f t="shared" ca="1" si="2"/>
        <v>0.12743793320056404</v>
      </c>
      <c r="AN24" s="195">
        <f>Constants!$D$25/1000000000*Constants!$C$24*IF(ISBLANK(Design!$B$31),Design!$B$30,Design!$B$31)*1000000</f>
        <v>5.2499999999999998E-2</v>
      </c>
      <c r="AO24" s="195">
        <f t="shared" ca="1" si="11"/>
        <v>0.40046709986723056</v>
      </c>
      <c r="AP24" s="195">
        <f t="shared" ca="1" si="9"/>
        <v>9.9560699882012424E-2</v>
      </c>
      <c r="AQ24" s="196">
        <f ca="1">$A24+AP24*Design!$B$18</f>
        <v>90.674959893274703</v>
      </c>
      <c r="AR24" s="196">
        <f ca="1">AO24*Design!$C$11+$A24</f>
        <v>99.817282695087528</v>
      </c>
      <c r="AS24" s="196">
        <f ca="1">Constants!$D$22+Constants!$D$22*Constants!$C$23/100*(AR24-25)</f>
        <v>184.85382615607003</v>
      </c>
      <c r="AT24" s="195">
        <f ca="1">IF(100*(Design!$C$27+AH24+AG24*IF(ISBLANK(Design!$B$41),Constants!$C$6,Design!$B$41)/1000*(1+Constants!$C$32/100*(AR24-25)))/($B24+AH24-AG24*AS24/1000)&gt;Design!$C$34,  (1-Constants!$C$20/1000000000*IF(ISBLANK(Design!$B$31),Design!$B$30/4,Design!$B$31/4)*1000000) * ($B24+AH24-AG24*AS24/1000) - (AH24+AG24*(1+($A24-25)*Constants!$C$32/100)*IF(ISBLANK(Design!$B$41),Constants!$C$6/1000,Design!$B$41/1000)),   (1-Constants!$C$20/1000000000*IF(ISBLANK(Design!$B$31),Design!$B$30,Design!$B$31)*1000000) * ($B24+AH24-AG24*AS24/1000) - (AH24+AG24*(1+($A24-25)*Constants!$C$32/100)*IF(ISBLANK(Design!$B$41),Constants!$C$6/1000,Design!$B$41/1000)) )</f>
        <v>5.8971123333274384</v>
      </c>
      <c r="AU24" s="119">
        <f ca="1">IF(AT24&gt;Design!$C$27,Design!$C$27,AT24)</f>
        <v>4.9936842105263155</v>
      </c>
    </row>
    <row r="25" spans="1:47" s="120" customFormat="1" ht="12.75" customHeight="1" x14ac:dyDescent="0.25">
      <c r="A25" s="112">
        <f>Design!$D$12</f>
        <v>85</v>
      </c>
      <c r="B25" s="113">
        <f t="shared" si="3"/>
        <v>7.4849999999999977</v>
      </c>
      <c r="C25" s="114">
        <f>Design!$D$6</f>
        <v>3</v>
      </c>
      <c r="D25" s="114">
        <f ca="1">FORECAST(C25, OFFSET(Design!$C$14:$C$16,MATCH(C25,Design!$B$14:$B$16,1)-1,0,2), OFFSET(Design!$B$14:$B$16,MATCH(C25,Design!$B$14:$B$16,1)-1,0,2))+(M25-25)*Design!$B$17/1000</f>
        <v>0.40978128516184142</v>
      </c>
      <c r="E25" s="173">
        <f ca="1">IF(100*(Design!$C$27+D25+C25*IF(ISBLANK(Design!$B$41),Constants!$C$6,Design!$B$41)/1000*(1+Constants!$C$32/100*(N25-25)))/($B25+D25-C25*O25/1000)&gt;Design!$C$34,Design!$C$35,100*(Design!$C$27+D25+C25*IF(ISBLANK(Design!$B$41),Constants!$C$6,Design!$B$41)/1000*(1+Constants!$C$32/100*(N25-25)))/($B25+D25-C25*O25/1000))</f>
        <v>78.281503912082556</v>
      </c>
      <c r="F25" s="115">
        <f ca="1">IF(($B25-C25*IF(ISBLANK(Design!$B$41),Constants!$C$6,Design!$B$41)/1000*(1+Constants!$C$32/100*(N25-25))-Design!$C$27)/(IF(ISBLANK(Design!$B$40),Design!$B$38,Design!$B$40)/1000000)*E25/100/(IF(ISBLANK(Design!$B$31),Design!$B$30,Design!$B$31)*1000000)&lt;0, 0, ($B25-C25*IF(ISBLANK(Design!$B$41),Constants!$C$6,Design!$B$41)/1000*(1+Constants!$C$32/100*(N25-25))-Design!$C$27)/(IF(ISBLANK(Design!$B$40),Design!$B$38,Design!$B$40)/1000000)*E25/100/(IF(ISBLANK(Design!$B$31),Design!$B$30,Design!$B$31)*1000000))</f>
        <v>0.25751045613884771</v>
      </c>
      <c r="G25" s="165">
        <f>B25*Constants!$C$21/1000+IF(ISBLANK(Design!$B$31),Design!$B$30,Design!$B$31)*1000000*Constants!$D$25/1000000000*(B25-Constants!$C$24)</f>
        <v>4.480499999999997E-2</v>
      </c>
      <c r="H25" s="165">
        <f>B25*C25*(B25/(Constants!$C$26*1000000000)*IF(ISBLANK(Design!$B$31),Design!$B$30,Design!$B$31)*1000000/2+B25/(Constants!$C$27*1000000000)*IF(ISBLANK(Design!$B$31),Design!$B$30,Design!$B$31)*1000000/2)</f>
        <v>0.49022071874999967</v>
      </c>
      <c r="I25" s="165">
        <f t="shared" ca="1" si="0"/>
        <v>1.6961195780221217</v>
      </c>
      <c r="J25" s="165">
        <f>Constants!$D$25/1000000000*Constants!$C$24*IF(ISBLANK(Design!$B$31),Design!$B$30,Design!$B$31)*1000000</f>
        <v>5.2499999999999998E-2</v>
      </c>
      <c r="K25" s="165">
        <f t="shared" ca="1" si="4"/>
        <v>2.2836452967721215</v>
      </c>
      <c r="L25" s="165">
        <f t="shared" ca="1" si="5"/>
        <v>0.26699499716067715</v>
      </c>
      <c r="M25" s="166">
        <f ca="1">A25+L25*Design!$B$18</f>
        <v>100.2187148381586</v>
      </c>
      <c r="N25" s="166">
        <f ca="1">K25*Design!$C$11+A25</f>
        <v>169.49487598056851</v>
      </c>
      <c r="O25" s="166">
        <f ca="1">Constants!$D$22+Constants!$D$22*Constants!$C$23/100*(N25-25)</f>
        <v>240.59590078445481</v>
      </c>
      <c r="P25" s="165">
        <f ca="1">IF(100*(Design!$C$27+D25+C25*IF(ISBLANK(Design!$B$41),Constants!$C$6,Design!$B$41)/1000*(1+Constants!$C$32/100*(N25-25)))/($B25+D25-C25*O25/1000)&gt;Design!$C$34,  (1-Constants!$C$20/1000000000*IF(ISBLANK(Design!$B$31),Design!$B$30/4,Design!$B$31/4)*1000000) * ($B25+D25-C25*O25/1000) - (D25+C25*(1+($A25-25)*Constants!$C$32/100)*IF(ISBLANK(Design!$B$41),Constants!$C$6/1000,Design!$B$41/1000)),   (1-Constants!$C$20/1000000000*IF(ISBLANK(Design!$B$31),Design!$B$30,Design!$B$31)*1000000) * ($B25+D25-C25*O25/1000) - (D25+C25*(1+($A25-25)*Constants!$C$32/100)*IF(ISBLANK(Design!$B$41),Constants!$C$6/1000,Design!$B$41/1000)) )</f>
        <v>5.1653670778763416</v>
      </c>
      <c r="Q25" s="171">
        <f ca="1">IF(P25&gt;Design!$C$27,Design!$C$27,P25)</f>
        <v>4.9936842105263155</v>
      </c>
      <c r="R25" s="181">
        <f>2*Design!$D$6/3</f>
        <v>2</v>
      </c>
      <c r="S25" s="116">
        <f ca="1">FORECAST(R25, OFFSET(Design!$C$14:$C$16,MATCH(R25,Design!$B$14:$B$16,1)-1,0,2), OFFSET(Design!$B$14:$B$16,MATCH(R25,Design!$B$14:$B$16,1)-1,0,2))+(AB25-25)*Design!$B$17/1000</f>
        <v>0.38837775858731566</v>
      </c>
      <c r="T25" s="182">
        <f ca="1">IF(100*(Design!$C$27+S25+R25*IF(ISBLANK(Design!$B$41),Constants!$C$6,Design!$B$41)/1000*(1+Constants!$C$32/100*(AC25-25)))/($B25+S25-R25*AD25/1000)&gt;Design!$C$34,Design!$C$35,100*(Design!$C$27+S25+R25*IF(ISBLANK(Design!$B$41),Constants!$C$6,Design!$B$41)/1000*(1+Constants!$C$32/100*(AC25-25)))/($B25+S25-R25*AD25/1000))</f>
        <v>73.749916460971036</v>
      </c>
      <c r="U25" s="117">
        <f ca="1">IF(($B25-R25*IF(ISBLANK(Design!$B$41),Constants!$C$6,Design!$B$41)/1000*(1+Constants!$C$32/100*(AC25-25))-Design!$C$27)/(Design!$B$40/1000000)*T25/100/(IF(ISBLANK(IF(ISBLANK(Design!$B$40),Design!$B$38,Design!$B$40)),Design!$B$30,Design!$B$31)*1000000)&lt;0,0,($B25-R25*IF(ISBLANK(Design!$B$41),Constants!$C$6,Design!$B$41)/1000*(1+Constants!$C$32/100*(AC25-25))-Design!$C$27)/(IF(ISBLANK(Design!$B$40),Design!$B$38,Design!$B$40)/1000000)*T25/100/(IF(ISBLANK(Design!$B$31),Design!$B$30,Design!$B$31)*1000000))</f>
        <v>0.25186534074242684</v>
      </c>
      <c r="V25" s="183">
        <f>$B25*Constants!$C$21/1000+IF(ISBLANK(Design!$B$31),Design!$B$30,Design!$B$31)*1000000*Constants!$D$25/1000000000*($B25-Constants!$C$24)</f>
        <v>4.480499999999997E-2</v>
      </c>
      <c r="W25" s="183">
        <f>$B25*R25*($B25/(Constants!$C$26*1000000000)*IF(ISBLANK(Design!$B$31),Design!$B$30,Design!$B$31)*1000000/2+$B25/(Constants!$C$27*1000000000)*IF(ISBLANK(Design!$B$31),Design!$B$30,Design!$B$31)*1000000/2)</f>
        <v>0.3268138124999998</v>
      </c>
      <c r="X25" s="183">
        <f t="shared" ca="1" si="1"/>
        <v>0.60062245486286781</v>
      </c>
      <c r="Y25" s="183">
        <f>Constants!$D$25/1000000000*Constants!$C$24*IF(ISBLANK(Design!$B$31),Design!$B$30,Design!$B$31)*1000000</f>
        <v>5.2499999999999998E-2</v>
      </c>
      <c r="Z25" s="183">
        <f t="shared" ca="1" si="10"/>
        <v>1.0247412673628675</v>
      </c>
      <c r="AA25" s="183">
        <f t="shared" ca="1" si="7"/>
        <v>0.20389897215235722</v>
      </c>
      <c r="AB25" s="184">
        <f ca="1">$A25+AA25*Design!$B$18</f>
        <v>96.62224141268436</v>
      </c>
      <c r="AC25" s="184">
        <f ca="1">Z25*Design!$C$11+$A25</f>
        <v>122.9154268924261</v>
      </c>
      <c r="AD25" s="184">
        <f ca="1">Constants!$D$22+Constants!$D$22*Constants!$C$23/100*(AC25-25)</f>
        <v>203.33234151394089</v>
      </c>
      <c r="AE25" s="183">
        <f ca="1">IF(100*(Design!$C$27+S25+R25*IF(ISBLANK(Design!$B$41),Constants!$C$6,Design!$B$41)/1000*(1+Constants!$C$32/100*(AC25-25)))/($B25+S25-R25*AD25/1000)&gt;Design!$C$34,  (1-Constants!$C$20/1000000000*IF(ISBLANK(Design!$B$31),Design!$B$30/4,Design!$B$31/4)*1000000) * ($B25+S25-R25*AD25/1000) - (S25+R25*(1+($A25-25)*Constants!$C$32/100)*IF(ISBLANK(Design!$B$41),Constants!$C$6/1000,Design!$B$41/1000)),   (1-Constants!$C$20/1000000000*IF(ISBLANK(Design!$B$31),Design!$B$30,Design!$B$31)*1000000) * ($B25+S25-R25*AD25/1000) - (S25+R25*(1+($A25-25)*Constants!$C$32/100)*IF(ISBLANK(Design!$B$41),Constants!$C$6/1000,Design!$B$41/1000)) )</f>
        <v>5.4775040583980097</v>
      </c>
      <c r="AF25" s="117">
        <f ca="1">IF(AE25&gt;Design!$C$27,Design!$C$27,AE25)</f>
        <v>4.9936842105263155</v>
      </c>
      <c r="AG25" s="118">
        <f>Design!$D$6/3</f>
        <v>1</v>
      </c>
      <c r="AH25" s="118">
        <f ca="1">FORECAST(AG25, OFFSET(Design!$C$14:$C$16,MATCH(AG25,Design!$B$14:$B$16,1)-1,0,2), OFFSET(Design!$B$14:$B$16,MATCH(AG25,Design!$B$14:$B$16,1)-1,0,2))+(AQ25-25)*Design!$B$17/1000</f>
        <v>0.31689027096549832</v>
      </c>
      <c r="AI25" s="194">
        <f ca="1">IF(100*(Design!$C$27+AH25+AG25*IF(ISBLANK(Design!$B$41),Constants!$C$6,Design!$B$41)/1000*(1+Constants!$C$32/100*(AR25-25)))/($B25+AH25-AG25*AS25/1000)&gt;Design!$C$34,Design!$C$35,100*(Design!$C$27+AH25+AG25*IF(ISBLANK(Design!$B$41),Constants!$C$6,Design!$B$41)/1000*(1+Constants!$C$32/100*(AR25-25)))/($B25+AH25-AG25*AS25/1000))</f>
        <v>70.48094779971548</v>
      </c>
      <c r="AJ25" s="119">
        <f ca="1">IF(($B25-AG25*IF(ISBLANK(Design!$B$41),Constants!$C$6,Design!$B$41)/1000*(1+Constants!$C$32/100*(AR25-25))-Design!$C$27)/(IF(ISBLANK(Design!$B$40),Design!$B$38,Design!$B$40)/1000000)*AI25/100/(IF(ISBLANK(Design!$B$31),Design!$B$30,Design!$B$31)*1000000)&lt;0,0,($B25-AG25*IF(ISBLANK(Design!$B$41),Constants!$C$6,Design!$B$41)/1000*(1+Constants!$C$32/100*(AR25-25))-Design!$C$27)/(IF(ISBLANK(Design!$B$40),Design!$B$38,Design!$B$40)/1000000)*AI25/100/(IF(ISBLANK(Design!$B$31),Design!$B$30,Design!$B$31)*1000000))</f>
        <v>0.24746066141217013</v>
      </c>
      <c r="AK25" s="195">
        <f>$B25*Constants!$C$21/1000+IF(ISBLANK(Design!$B$31),Design!$B$30,Design!$B$31)*1000000*Constants!$D$25/1000000000*($B25-Constants!$C$24)</f>
        <v>4.480499999999997E-2</v>
      </c>
      <c r="AL25" s="195">
        <f>$B25*AG25*($B25/(Constants!$C$26*1000000000)*IF(ISBLANK(Design!$B$31),Design!$B$30,Design!$B$31)*1000000/2+$B25/(Constants!$C$27*1000000000)*IF(ISBLANK(Design!$B$31),Design!$B$30,Design!$B$31)*1000000/2)</f>
        <v>0.1634069062499999</v>
      </c>
      <c r="AM25" s="195">
        <f t="shared" ca="1" si="2"/>
        <v>0.13076303538251369</v>
      </c>
      <c r="AN25" s="195">
        <f>Constants!$D$25/1000000000*Constants!$C$24*IF(ISBLANK(Design!$B$31),Design!$B$30,Design!$B$31)*1000000</f>
        <v>5.2499999999999998E-2</v>
      </c>
      <c r="AO25" s="195">
        <f t="shared" ca="1" si="11"/>
        <v>0.39147494163251351</v>
      </c>
      <c r="AP25" s="195">
        <f t="shared" ca="1" si="9"/>
        <v>9.3543004503928523E-2</v>
      </c>
      <c r="AQ25" s="196">
        <f ca="1">$A25+AP25*Design!$B$18</f>
        <v>90.331951256723926</v>
      </c>
      <c r="AR25" s="196">
        <f ca="1">AO25*Design!$C$11+$A25</f>
        <v>99.484572840403004</v>
      </c>
      <c r="AS25" s="196">
        <f ca="1">Constants!$D$22+Constants!$D$22*Constants!$C$23/100*(AR25-25)</f>
        <v>184.58765827232241</v>
      </c>
      <c r="AT25" s="195">
        <f ca="1">IF(100*(Design!$C$27+AH25+AG25*IF(ISBLANK(Design!$B$41),Constants!$C$6,Design!$B$41)/1000*(1+Constants!$C$32/100*(AR25-25)))/($B25+AH25-AG25*AS25/1000)&gt;Design!$C$34,  (1-Constants!$C$20/1000000000*IF(ISBLANK(Design!$B$31),Design!$B$30/4,Design!$B$31/4)*1000000) * ($B25+AH25-AG25*AS25/1000) - (AH25+AG25*(1+($A25-25)*Constants!$C$32/100)*IF(ISBLANK(Design!$B$41),Constants!$C$6/1000,Design!$B$41/1000)),   (1-Constants!$C$20/1000000000*IF(ISBLANK(Design!$B$31),Design!$B$30,Design!$B$31)*1000000) * ($B25+AH25-AG25*AS25/1000) - (AH25+AG25*(1+($A25-25)*Constants!$C$32/100)*IF(ISBLANK(Design!$B$41),Constants!$C$6/1000,Design!$B$41/1000)) )</f>
        <v>5.7251494704953867</v>
      </c>
      <c r="AU25" s="119">
        <f ca="1">IF(AT25&gt;Design!$C$27,Design!$C$27,AT25)</f>
        <v>4.9936842105263155</v>
      </c>
    </row>
    <row r="26" spans="1:47" s="120" customFormat="1" ht="12.75" customHeight="1" x14ac:dyDescent="0.25">
      <c r="A26" s="112">
        <f>Design!$D$12</f>
        <v>85</v>
      </c>
      <c r="B26" s="113">
        <f t="shared" si="3"/>
        <v>7.2699999999999978</v>
      </c>
      <c r="C26" s="114">
        <f>Design!$D$6</f>
        <v>3</v>
      </c>
      <c r="D26" s="114">
        <f ca="1">FORECAST(C26, OFFSET(Design!$C$14:$C$16,MATCH(C26,Design!$B$14:$B$16,1)-1,0,2), OFFSET(Design!$B$14:$B$16,MATCH(C26,Design!$B$14:$B$16,1)-1,0,2))+(M26-25)*Design!$B$17/1000</f>
        <v>0.42140598636949944</v>
      </c>
      <c r="E26" s="173">
        <f ca="1">IF(100*(Design!$C$27+D26+C26*IF(ISBLANK(Design!$B$41),Constants!$C$6,Design!$B$41)/1000*(1+Constants!$C$32/100*(N26-25)))/($B26+D26-C26*O26/1000)&gt;Design!$C$34,Design!$C$35,100*(Design!$C$27+D26+C26*IF(ISBLANK(Design!$B$41),Constants!$C$6,Design!$B$41)/1000*(1+Constants!$C$32/100*(N26-25)))/($B26+D26-C26*O26/1000))</f>
        <v>95.012500000000003</v>
      </c>
      <c r="F26" s="115">
        <f ca="1">IF(($B26-C26*IF(ISBLANK(Design!$B$41),Constants!$C$6,Design!$B$41)/1000*(1+Constants!$C$32/100*(N26-25))-Design!$C$27)/(IF(ISBLANK(Design!$B$40),Design!$B$38,Design!$B$40)/1000000)*E26/100/(IF(ISBLANK(Design!$B$31),Design!$B$30,Design!$B$31)*1000000)&lt;0, 0, ($B26-C26*IF(ISBLANK(Design!$B$41),Constants!$C$6,Design!$B$41)/1000*(1+Constants!$C$32/100*(N26-25))-Design!$C$27)/(IF(ISBLANK(Design!$B$40),Design!$B$38,Design!$B$40)/1000000)*E26/100/(IF(ISBLANK(Design!$B$31),Design!$B$30,Design!$B$31)*1000000))</f>
        <v>0.28187322704612594</v>
      </c>
      <c r="G26" s="165">
        <f>B26*Constants!$C$21/1000+IF(ISBLANK(Design!$B$31),Design!$B$30,Design!$B$31)*1000000*Constants!$D$25/1000000000*(B26-Constants!$C$24)</f>
        <v>4.2009999999999971E-2</v>
      </c>
      <c r="H26" s="165">
        <f>B26*C26*(B26/(Constants!$C$26*1000000000)*IF(ISBLANK(Design!$B$31),Design!$B$30,Design!$B$31)*1000000/2+B26/(Constants!$C$27*1000000000)*IF(ISBLANK(Design!$B$31),Design!$B$30,Design!$B$31)*1000000/2)</f>
        <v>0.46246287499999972</v>
      </c>
      <c r="I26" s="165">
        <f t="shared" ca="1" si="0"/>
        <v>2.1715720155517242</v>
      </c>
      <c r="J26" s="165">
        <f>Constants!$D$25/1000000000*Constants!$C$24*IF(ISBLANK(Design!$B$31),Design!$B$30,Design!$B$31)*1000000</f>
        <v>5.2499999999999998E-2</v>
      </c>
      <c r="K26" s="165">
        <f t="shared" ca="1" si="4"/>
        <v>2.7285448905517242</v>
      </c>
      <c r="L26" s="165">
        <f t="shared" ca="1" si="5"/>
        <v>6.3052870710536363E-2</v>
      </c>
      <c r="M26" s="166">
        <f ca="1">A26+L26*Design!$B$18</f>
        <v>88.594013630500569</v>
      </c>
      <c r="N26" s="166">
        <f ca="1">K26*Design!$C$11+A26</f>
        <v>185.95616095041379</v>
      </c>
      <c r="O26" s="166">
        <f ca="1">Constants!$D$22+Constants!$D$22*Constants!$C$23/100*(N26-25)</f>
        <v>253.76492876033103</v>
      </c>
      <c r="P26" s="165">
        <f ca="1">IF(100*(Design!$C$27+D26+C26*IF(ISBLANK(Design!$B$41),Constants!$C$6,Design!$B$41)/1000*(1+Constants!$C$32/100*(N26-25)))/($B26+D26-C26*O26/1000)&gt;Design!$C$34,  (1-Constants!$C$20/1000000000*IF(ISBLANK(Design!$B$31),Design!$B$30/4,Design!$B$31/4)*1000000) * ($B26+D26-C26*O26/1000) - (D26+C26*(1+($A26-25)*Constants!$C$32/100)*IF(ISBLANK(Design!$B$41),Constants!$C$6/1000,Design!$B$41/1000)),   (1-Constants!$C$20/1000000000*IF(ISBLANK(Design!$B$31),Design!$B$30,Design!$B$31)*1000000) * ($B26+D26-C26*O26/1000) - (D26+C26*(1+($A26-25)*Constants!$C$32/100)*IF(ISBLANK(Design!$B$41),Constants!$C$6/1000,Design!$B$41/1000)) )</f>
        <v>5.9962329176145905</v>
      </c>
      <c r="Q26" s="171">
        <f ca="1">IF(P26&gt;Design!$C$27,Design!$C$27,P26)</f>
        <v>4.9936842105263155</v>
      </c>
      <c r="R26" s="181">
        <f>2*Design!$D$6/3</f>
        <v>2</v>
      </c>
      <c r="S26" s="116">
        <f ca="1">FORECAST(R26, OFFSET(Design!$C$14:$C$16,MATCH(R26,Design!$B$14:$B$16,1)-1,0,2), OFFSET(Design!$B$14:$B$16,MATCH(R26,Design!$B$14:$B$16,1)-1,0,2))+(AB26-25)*Design!$B$17/1000</f>
        <v>0.3893199918592658</v>
      </c>
      <c r="T26" s="182">
        <f ca="1">IF(100*(Design!$C$27+S26+R26*IF(ISBLANK(Design!$B$41),Constants!$C$6,Design!$B$41)/1000*(1+Constants!$C$32/100*(AC26-25)))/($B26+S26-R26*AD26/1000)&gt;Design!$C$34,Design!$C$35,100*(Design!$C$27+S26+R26*IF(ISBLANK(Design!$B$41),Constants!$C$6,Design!$B$41)/1000*(1+Constants!$C$32/100*(AC26-25)))/($B26+S26-R26*AD26/1000))</f>
        <v>75.936431754028462</v>
      </c>
      <c r="U26" s="117">
        <f ca="1">IF(($B26-R26*IF(ISBLANK(Design!$B$41),Constants!$C$6,Design!$B$41)/1000*(1+Constants!$C$32/100*(AC26-25))-Design!$C$27)/(Design!$B$40/1000000)*T26/100/(IF(ISBLANK(IF(ISBLANK(Design!$B$40),Design!$B$38,Design!$B$40)),Design!$B$30,Design!$B$31)*1000000)&lt;0,0,($B26-R26*IF(ISBLANK(Design!$B$41),Constants!$C$6,Design!$B$41)/1000*(1+Constants!$C$32/100*(AC26-25))-Design!$C$27)/(IF(ISBLANK(Design!$B$40),Design!$B$38,Design!$B$40)/1000000)*T26/100/(IF(ISBLANK(Design!$B$31),Design!$B$30,Design!$B$31)*1000000))</f>
        <v>0.23577931040709404</v>
      </c>
      <c r="V26" s="183">
        <f>$B26*Constants!$C$21/1000+IF(ISBLANK(Design!$B$31),Design!$B$30,Design!$B$31)*1000000*Constants!$D$25/1000000000*($B26-Constants!$C$24)</f>
        <v>4.2009999999999971E-2</v>
      </c>
      <c r="W26" s="183">
        <f>$B26*R26*($B26/(Constants!$C$26*1000000000)*IF(ISBLANK(Design!$B$31),Design!$B$30,Design!$B$31)*1000000/2+$B26/(Constants!$C$27*1000000000)*IF(ISBLANK(Design!$B$31),Design!$B$30,Design!$B$31)*1000000/2)</f>
        <v>0.30830858333333311</v>
      </c>
      <c r="X26" s="183">
        <f t="shared" ca="1" si="1"/>
        <v>0.61797308159570652</v>
      </c>
      <c r="Y26" s="183">
        <f>Constants!$D$25/1000000000*Constants!$C$24*IF(ISBLANK(Design!$B$31),Design!$B$30,Design!$B$31)*1000000</f>
        <v>5.2499999999999998E-2</v>
      </c>
      <c r="Z26" s="183">
        <f t="shared" ca="1" si="10"/>
        <v>1.0207916649290396</v>
      </c>
      <c r="AA26" s="183">
        <f t="shared" ca="1" si="7"/>
        <v>0.18736856387253048</v>
      </c>
      <c r="AB26" s="184">
        <f ca="1">$A26+AA26*Design!$B$18</f>
        <v>95.68000814073423</v>
      </c>
      <c r="AC26" s="184">
        <f ca="1">Z26*Design!$C$11+$A26</f>
        <v>122.76929160237447</v>
      </c>
      <c r="AD26" s="184">
        <f ca="1">Constants!$D$22+Constants!$D$22*Constants!$C$23/100*(AC26-25)</f>
        <v>203.21543328189958</v>
      </c>
      <c r="AE26" s="183">
        <f ca="1">IF(100*(Design!$C$27+S26+R26*IF(ISBLANK(Design!$B$41),Constants!$C$6,Design!$B$41)/1000*(1+Constants!$C$32/100*(AC26-25)))/($B26+S26-R26*AD26/1000)&gt;Design!$C$34,  (1-Constants!$C$20/1000000000*IF(ISBLANK(Design!$B$31),Design!$B$30/4,Design!$B$31/4)*1000000) * ($B26+S26-R26*AD26/1000) - (S26+R26*(1+($A26-25)*Constants!$C$32/100)*IF(ISBLANK(Design!$B$41),Constants!$C$6/1000,Design!$B$41/1000)),   (1-Constants!$C$20/1000000000*IF(ISBLANK(Design!$B$31),Design!$B$30,Design!$B$31)*1000000) * ($B26+S26-R26*AD26/1000) - (S26+R26*(1+($A26-25)*Constants!$C$32/100)*IF(ISBLANK(Design!$B$41),Constants!$C$6/1000,Design!$B$41/1000)) )</f>
        <v>5.3053957529397531</v>
      </c>
      <c r="AF26" s="117">
        <f ca="1">IF(AE26&gt;Design!$C$27,Design!$C$27,AE26)</f>
        <v>4.9936842105263155</v>
      </c>
      <c r="AG26" s="118">
        <f>Design!$D$6/3</f>
        <v>1</v>
      </c>
      <c r="AH26" s="118">
        <f ca="1">FORECAST(AG26, OFFSET(Design!$C$14:$C$16,MATCH(AG26,Design!$B$14:$B$16,1)-1,0,2), OFFSET(Design!$B$14:$B$16,MATCH(AG26,Design!$B$14:$B$16,1)-1,0,2))+(AQ26-25)*Design!$B$17/1000</f>
        <v>0.31725400260634856</v>
      </c>
      <c r="AI26" s="194">
        <f ca="1">IF(100*(Design!$C$27+AH26+AG26*IF(ISBLANK(Design!$B$41),Constants!$C$6,Design!$B$41)/1000*(1+Constants!$C$32/100*(AR26-25)))/($B26+AH26-AG26*AS26/1000)&gt;Design!$C$34,Design!$C$35,100*(Design!$C$27+AH26+AG26*IF(ISBLANK(Design!$B$41),Constants!$C$6,Design!$B$41)/1000*(1+Constants!$C$32/100*(AR26-25)))/($B26+AH26-AG26*AS26/1000))</f>
        <v>72.526194490583691</v>
      </c>
      <c r="AJ26" s="119">
        <f ca="1">IF(($B26-AG26*IF(ISBLANK(Design!$B$41),Constants!$C$6,Design!$B$41)/1000*(1+Constants!$C$32/100*(AR26-25))-Design!$C$27)/(IF(ISBLANK(Design!$B$40),Design!$B$38,Design!$B$40)/1000000)*AI26/100/(IF(ISBLANK(Design!$B$31),Design!$B$30,Design!$B$31)*1000000)&lt;0,0,($B26-AG26*IF(ISBLANK(Design!$B$41),Constants!$C$6,Design!$B$41)/1000*(1+Constants!$C$32/100*(AR26-25))-Design!$C$27)/(IF(ISBLANK(Design!$B$40),Design!$B$38,Design!$B$40)/1000000)*AI26/100/(IF(ISBLANK(Design!$B$31),Design!$B$30,Design!$B$31)*1000000))</f>
        <v>0.23214650410698637</v>
      </c>
      <c r="AK26" s="195">
        <f>$B26*Constants!$C$21/1000+IF(ISBLANK(Design!$B$31),Design!$B$30,Design!$B$31)*1000000*Constants!$D$25/1000000000*($B26-Constants!$C$24)</f>
        <v>4.2009999999999971E-2</v>
      </c>
      <c r="AL26" s="195">
        <f>$B26*AG26*($B26/(Constants!$C$26*1000000000)*IF(ISBLANK(Design!$B$31),Design!$B$30,Design!$B$31)*1000000/2+$B26/(Constants!$C$27*1000000000)*IF(ISBLANK(Design!$B$31),Design!$B$30,Design!$B$31)*1000000/2)</f>
        <v>0.15415429166666655</v>
      </c>
      <c r="AM26" s="195">
        <f t="shared" ca="1" si="2"/>
        <v>0.13429193500867381</v>
      </c>
      <c r="AN26" s="195">
        <f>Constants!$D$25/1000000000*Constants!$C$24*IF(ISBLANK(Design!$B$31),Design!$B$30,Design!$B$31)*1000000</f>
        <v>5.2499999999999998E-2</v>
      </c>
      <c r="AO26" s="195">
        <f t="shared" ca="1" si="11"/>
        <v>0.38295622667534035</v>
      </c>
      <c r="AP26" s="195">
        <f t="shared" ca="1" si="9"/>
        <v>8.7161747646906734E-2</v>
      </c>
      <c r="AQ26" s="196">
        <f ca="1">$A26+AP26*Design!$B$18</f>
        <v>89.968219615873679</v>
      </c>
      <c r="AR26" s="196">
        <f ca="1">AO26*Design!$C$11+$A26</f>
        <v>99.169380386987598</v>
      </c>
      <c r="AS26" s="196">
        <f ca="1">Constants!$D$22+Constants!$D$22*Constants!$C$23/100*(AR26-25)</f>
        <v>184.33550430959008</v>
      </c>
      <c r="AT26" s="195">
        <f ca="1">IF(100*(Design!$C$27+AH26+AG26*IF(ISBLANK(Design!$B$41),Constants!$C$6,Design!$B$41)/1000*(1+Constants!$C$32/100*(AR26-25)))/($B26+AH26-AG26*AS26/1000)&gt;Design!$C$34,  (1-Constants!$C$20/1000000000*IF(ISBLANK(Design!$B$31),Design!$B$30/4,Design!$B$31/4)*1000000) * ($B26+AH26-AG26*AS26/1000) - (AH26+AG26*(1+($A26-25)*Constants!$C$32/100)*IF(ISBLANK(Design!$B$41),Constants!$C$6/1000,Design!$B$41/1000)),   (1-Constants!$C$20/1000000000*IF(ISBLANK(Design!$B$31),Design!$B$30,Design!$B$31)*1000000) * ($B26+AH26-AG26*AS26/1000) - (AH26+AG26*(1+($A26-25)*Constants!$C$32/100)*IF(ISBLANK(Design!$B$41),Constants!$C$6/1000,Design!$B$41/1000)) )</f>
        <v>5.5531712552802039</v>
      </c>
      <c r="AU26" s="119">
        <f ca="1">IF(AT26&gt;Design!$C$27,Design!$C$27,AT26)</f>
        <v>4.9936842105263155</v>
      </c>
    </row>
    <row r="27" spans="1:47" s="120" customFormat="1" ht="12.75" customHeight="1" x14ac:dyDescent="0.25">
      <c r="A27" s="112">
        <f>Design!$D$12</f>
        <v>85</v>
      </c>
      <c r="B27" s="113">
        <f t="shared" si="3"/>
        <v>7.0549999999999979</v>
      </c>
      <c r="C27" s="114">
        <f>Design!$D$6</f>
        <v>3</v>
      </c>
      <c r="D27" s="114">
        <f ca="1">FORECAST(C27, OFFSET(Design!$C$14:$C$16,MATCH(C27,Design!$B$14:$B$16,1)-1,0,2), OFFSET(Design!$B$14:$B$16,MATCH(C27,Design!$B$14:$B$16,1)-1,0,2))+(M27-25)*Design!$B$17/1000</f>
        <v>0.42140598636949944</v>
      </c>
      <c r="E27" s="173">
        <f ca="1">IF(100*(Design!$C$27+D27+C27*IF(ISBLANK(Design!$B$41),Constants!$C$6,Design!$B$41)/1000*(1+Constants!$C$32/100*(N27-25)))/($B27+D27-C27*O27/1000)&gt;Design!$C$34,Design!$C$35,100*(Design!$C$27+D27+C27*IF(ISBLANK(Design!$B$41),Constants!$C$6,Design!$B$41)/1000*(1+Constants!$C$32/100*(N27-25)))/($B27+D27-C27*O27/1000))</f>
        <v>95.012500000000003</v>
      </c>
      <c r="F27" s="115">
        <f ca="1">IF(($B27-C27*IF(ISBLANK(Design!$B$41),Constants!$C$6,Design!$B$41)/1000*(1+Constants!$C$32/100*(N27-25))-Design!$C$27)/(IF(ISBLANK(Design!$B$40),Design!$B$38,Design!$B$40)/1000000)*E27/100/(IF(ISBLANK(Design!$B$31),Design!$B$30,Design!$B$31)*1000000)&lt;0, 0, ($B27-C27*IF(ISBLANK(Design!$B$41),Constants!$C$6,Design!$B$41)/1000*(1+Constants!$C$32/100*(N27-25))-Design!$C$27)/(IF(ISBLANK(Design!$B$40),Design!$B$38,Design!$B$40)/1000000)*E27/100/(IF(ISBLANK(Design!$B$31),Design!$B$30,Design!$B$31)*1000000))</f>
        <v>0.25250438371925077</v>
      </c>
      <c r="G27" s="165">
        <f>B27*Constants!$C$21/1000+IF(ISBLANK(Design!$B$31),Design!$B$30,Design!$B$31)*1000000*Constants!$D$25/1000000000*(B27-Constants!$C$24)</f>
        <v>3.9214999999999972E-2</v>
      </c>
      <c r="H27" s="165">
        <f>B27*C27*(B27/(Constants!$C$26*1000000000)*IF(ISBLANK(Design!$B$31),Design!$B$30,Design!$B$31)*1000000/2+B27/(Constants!$C$27*1000000000)*IF(ISBLANK(Design!$B$31),Design!$B$30,Design!$B$31)*1000000/2)</f>
        <v>0.4355139687499997</v>
      </c>
      <c r="I27" s="165">
        <f t="shared" ca="1" si="0"/>
        <v>2.1610618217396858</v>
      </c>
      <c r="J27" s="165">
        <f>Constants!$D$25/1000000000*Constants!$C$24*IF(ISBLANK(Design!$B$31),Design!$B$30,Design!$B$31)*1000000</f>
        <v>5.2499999999999998E-2</v>
      </c>
      <c r="K27" s="165">
        <f t="shared" ca="1" si="4"/>
        <v>2.6882907904896856</v>
      </c>
      <c r="L27" s="165">
        <f t="shared" ca="1" si="5"/>
        <v>6.3052870710536363E-2</v>
      </c>
      <c r="M27" s="166">
        <f ca="1">A27+L27*Design!$B$18</f>
        <v>88.594013630500569</v>
      </c>
      <c r="N27" s="166">
        <f ca="1">K27*Design!$C$11+A27</f>
        <v>184.46675924811836</v>
      </c>
      <c r="O27" s="166">
        <f ca="1">Constants!$D$22+Constants!$D$22*Constants!$C$23/100*(N27-25)</f>
        <v>252.57340739849468</v>
      </c>
      <c r="P27" s="165">
        <f ca="1">IF(100*(Design!$C$27+D27+C27*IF(ISBLANK(Design!$B$41),Constants!$C$6,Design!$B$41)/1000*(1+Constants!$C$32/100*(N27-25)))/($B27+D27-C27*O27/1000)&gt;Design!$C$34,  (1-Constants!$C$20/1000000000*IF(ISBLANK(Design!$B$31),Design!$B$30/4,Design!$B$31/4)*1000000) * ($B27+D27-C27*O27/1000) - (D27+C27*(1+($A27-25)*Constants!$C$32/100)*IF(ISBLANK(Design!$B$41),Constants!$C$6/1000,Design!$B$41/1000)),   (1-Constants!$C$20/1000000000*IF(ISBLANK(Design!$B$31),Design!$B$30,Design!$B$31)*1000000) * ($B27+D27-C27*O27/1000) - (D27+C27*(1+($A27-25)*Constants!$C$32/100)*IF(ISBLANK(Design!$B$41),Constants!$C$6/1000,Design!$B$41/1000)) )</f>
        <v>5.795352325316335</v>
      </c>
      <c r="Q27" s="171">
        <f ca="1">IF(P27&gt;Design!$C$27,Design!$C$27,P27)</f>
        <v>4.9936842105263155</v>
      </c>
      <c r="R27" s="181">
        <f>2*Design!$D$6/3</f>
        <v>2</v>
      </c>
      <c r="S27" s="116">
        <f ca="1">FORECAST(R27, OFFSET(Design!$C$14:$C$16,MATCH(R27,Design!$B$14:$B$16,1)-1,0,2), OFFSET(Design!$B$14:$B$16,MATCH(R27,Design!$B$14:$B$16,1)-1,0,2))+(AB27-25)*Design!$B$17/1000</f>
        <v>0.39032521310490992</v>
      </c>
      <c r="T27" s="182">
        <f ca="1">IF(100*(Design!$C$27+S27+R27*IF(ISBLANK(Design!$B$41),Constants!$C$6,Design!$B$41)/1000*(1+Constants!$C$32/100*(AC27-25)))/($B27+S27-R27*AD27/1000)&gt;Design!$C$34,Design!$C$35,100*(Design!$C$27+S27+R27*IF(ISBLANK(Design!$B$41),Constants!$C$6,Design!$B$41)/1000*(1+Constants!$C$32/100*(AC27-25)))/($B27+S27-R27*AD27/1000))</f>
        <v>78.257476365354208</v>
      </c>
      <c r="U27" s="117">
        <f ca="1">IF(($B27-R27*IF(ISBLANK(Design!$B$41),Constants!$C$6,Design!$B$41)/1000*(1+Constants!$C$32/100*(AC27-25))-Design!$C$27)/(Design!$B$40/1000000)*T27/100/(IF(ISBLANK(IF(ISBLANK(Design!$B$40),Design!$B$38,Design!$B$40)),Design!$B$30,Design!$B$31)*1000000)&lt;0,0,($B27-R27*IF(ISBLANK(Design!$B$41),Constants!$C$6,Design!$B$41)/1000*(1+Constants!$C$32/100*(AC27-25))-Design!$C$27)/(IF(ISBLANK(Design!$B$40),Design!$B$38,Design!$B$40)/1000000)*T27/100/(IF(ISBLANK(Design!$B$31),Design!$B$30,Design!$B$31)*1000000))</f>
        <v>0.21871025486813883</v>
      </c>
      <c r="V27" s="183">
        <f>$B27*Constants!$C$21/1000+IF(ISBLANK(Design!$B$31),Design!$B$30,Design!$B$31)*1000000*Constants!$D$25/1000000000*($B27-Constants!$C$24)</f>
        <v>3.9214999999999972E-2</v>
      </c>
      <c r="W27" s="183">
        <f>$B27*R27*($B27/(Constants!$C$26*1000000000)*IF(ISBLANK(Design!$B$31),Design!$B$30,Design!$B$31)*1000000/2+$B27/(Constants!$C$27*1000000000)*IF(ISBLANK(Design!$B$31),Design!$B$30,Design!$B$31)*1000000/2)</f>
        <v>0.29034264583333314</v>
      </c>
      <c r="X27" s="183">
        <f t="shared" ca="1" si="1"/>
        <v>0.63655709854314735</v>
      </c>
      <c r="Y27" s="183">
        <f>Constants!$D$25/1000000000*Constants!$C$24*IF(ISBLANK(Design!$B$31),Design!$B$30,Design!$B$31)*1000000</f>
        <v>5.2499999999999998E-2</v>
      </c>
      <c r="Z27" s="183">
        <f t="shared" ca="1" si="10"/>
        <v>1.0186147443764806</v>
      </c>
      <c r="AA27" s="183">
        <f t="shared" ca="1" si="7"/>
        <v>0.1697331034226332</v>
      </c>
      <c r="AB27" s="184">
        <f ca="1">$A27+AA27*Design!$B$18</f>
        <v>94.674786895090094</v>
      </c>
      <c r="AC27" s="184">
        <f ca="1">Z27*Design!$C$11+$A27</f>
        <v>122.68874554192979</v>
      </c>
      <c r="AD27" s="184">
        <f ca="1">Constants!$D$22+Constants!$D$22*Constants!$C$23/100*(AC27-25)</f>
        <v>203.15099643354384</v>
      </c>
      <c r="AE27" s="183">
        <f ca="1">IF(100*(Design!$C$27+S27+R27*IF(ISBLANK(Design!$B$41),Constants!$C$6,Design!$B$41)/1000*(1+Constants!$C$32/100*(AC27-25)))/($B27+S27-R27*AD27/1000)&gt;Design!$C$34,  (1-Constants!$C$20/1000000000*IF(ISBLANK(Design!$B$31),Design!$B$30/4,Design!$B$31/4)*1000000) * ($B27+S27-R27*AD27/1000) - (S27+R27*(1+($A27-25)*Constants!$C$32/100)*IF(ISBLANK(Design!$B$41),Constants!$C$6/1000,Design!$B$41/1000)),   (1-Constants!$C$20/1000000000*IF(ISBLANK(Design!$B$31),Design!$B$30,Design!$B$31)*1000000) * ($B27+S27-R27*AD27/1000) - (S27+R27*(1+($A27-25)*Constants!$C$32/100)*IF(ISBLANK(Design!$B$41),Constants!$C$6/1000,Design!$B$41/1000)) )</f>
        <v>5.1331908746954644</v>
      </c>
      <c r="AF27" s="117">
        <f ca="1">IF(AE27&gt;Design!$C$27,Design!$C$27,AE27)</f>
        <v>4.9936842105263155</v>
      </c>
      <c r="AG27" s="118">
        <f>Design!$D$6/3</f>
        <v>1</v>
      </c>
      <c r="AH27" s="118">
        <f ca="1">FORECAST(AG27, OFFSET(Design!$C$14:$C$16,MATCH(AG27,Design!$B$14:$B$16,1)-1,0,2), OFFSET(Design!$B$14:$B$16,MATCH(AG27,Design!$B$14:$B$16,1)-1,0,2))+(AQ27-25)*Design!$B$17/1000</f>
        <v>0.31764039100553221</v>
      </c>
      <c r="AI27" s="194">
        <f ca="1">IF(100*(Design!$C$27+AH27+AG27*IF(ISBLANK(Design!$B$41),Constants!$C$6,Design!$B$41)/1000*(1+Constants!$C$32/100*(AR27-25)))/($B27+AH27-AG27*AS27/1000)&gt;Design!$C$34,Design!$C$35,100*(Design!$C$27+AH27+AG27*IF(ISBLANK(Design!$B$41),Constants!$C$6,Design!$B$41)/1000*(1+Constants!$C$32/100*(AR27-25)))/($B27+AH27-AG27*AS27/1000))</f>
        <v>74.693708332521354</v>
      </c>
      <c r="AJ27" s="119">
        <f ca="1">IF(($B27-AG27*IF(ISBLANK(Design!$B$41),Constants!$C$6,Design!$B$41)/1000*(1+Constants!$C$32/100*(AR27-25))-Design!$C$27)/(IF(ISBLANK(Design!$B$40),Design!$B$38,Design!$B$40)/1000000)*AI27/100/(IF(ISBLANK(Design!$B$31),Design!$B$30,Design!$B$31)*1000000)&lt;0,0,($B27-AG27*IF(ISBLANK(Design!$B$41),Constants!$C$6,Design!$B$41)/1000*(1+Constants!$C$32/100*(AR27-25))-Design!$C$27)/(IF(ISBLANK(Design!$B$40),Design!$B$38,Design!$B$40)/1000000)*AI27/100/(IF(ISBLANK(Design!$B$31),Design!$B$30,Design!$B$31)*1000000))</f>
        <v>0.21591670958963566</v>
      </c>
      <c r="AK27" s="195">
        <f>$B27*Constants!$C$21/1000+IF(ISBLANK(Design!$B$31),Design!$B$30,Design!$B$31)*1000000*Constants!$D$25/1000000000*($B27-Constants!$C$24)</f>
        <v>3.9214999999999972E-2</v>
      </c>
      <c r="AL27" s="195">
        <f>$B27*AG27*($B27/(Constants!$C$26*1000000000)*IF(ISBLANK(Design!$B$31),Design!$B$30,Design!$B$31)*1000000/2+$B27/(Constants!$C$27*1000000000)*IF(ISBLANK(Design!$B$31),Design!$B$30,Design!$B$31)*1000000/2)</f>
        <v>0.14517132291666657</v>
      </c>
      <c r="AM27" s="195">
        <f t="shared" ca="1" si="2"/>
        <v>0.13804379701754846</v>
      </c>
      <c r="AN27" s="195">
        <f>Constants!$D$25/1000000000*Constants!$C$24*IF(ISBLANK(Design!$B$31),Design!$B$30,Design!$B$31)*1000000</f>
        <v>5.2499999999999998E-2</v>
      </c>
      <c r="AO27" s="195">
        <f t="shared" ca="1" si="11"/>
        <v>0.37493011993421499</v>
      </c>
      <c r="AP27" s="195">
        <f t="shared" ca="1" si="9"/>
        <v>8.0383003801579575E-2</v>
      </c>
      <c r="AQ27" s="196">
        <f ca="1">$A27+AP27*Design!$B$18</f>
        <v>89.581831216690034</v>
      </c>
      <c r="AR27" s="196">
        <f ca="1">AO27*Design!$C$11+$A27</f>
        <v>98.872414437565951</v>
      </c>
      <c r="AS27" s="196">
        <f ca="1">Constants!$D$22+Constants!$D$22*Constants!$C$23/100*(AR27-25)</f>
        <v>184.09793155005275</v>
      </c>
      <c r="AT27" s="195">
        <f ca="1">IF(100*(Design!$C$27+AH27+AG27*IF(ISBLANK(Design!$B$41),Constants!$C$6,Design!$B$41)/1000*(1+Constants!$C$32/100*(AR27-25)))/($B27+AH27-AG27*AS27/1000)&gt;Design!$C$34,  (1-Constants!$C$20/1000000000*IF(ISBLANK(Design!$B$31),Design!$B$30/4,Design!$B$31/4)*1000000) * ($B27+AH27-AG27*AS27/1000) - (AH27+AG27*(1+($A27-25)*Constants!$C$32/100)*IF(ISBLANK(Design!$B$41),Constants!$C$6/1000,Design!$B$41/1000)),   (1-Constants!$C$20/1000000000*IF(ISBLANK(Design!$B$31),Design!$B$30,Design!$B$31)*1000000) * ($B27+AH27-AG27*AS27/1000) - (AH27+AG27*(1+($A27-25)*Constants!$C$32/100)*IF(ISBLANK(Design!$B$41),Constants!$C$6/1000,Design!$B$41/1000)) )</f>
        <v>5.3811768477885771</v>
      </c>
      <c r="AU27" s="119">
        <f ca="1">IF(AT27&gt;Design!$C$27,Design!$C$27,AT27)</f>
        <v>4.9936842105263155</v>
      </c>
    </row>
    <row r="28" spans="1:47" s="120" customFormat="1" ht="12.75" customHeight="1" x14ac:dyDescent="0.25">
      <c r="A28" s="112">
        <f>Design!$D$12</f>
        <v>85</v>
      </c>
      <c r="B28" s="113">
        <f t="shared" si="3"/>
        <v>6.8399999999999981</v>
      </c>
      <c r="C28" s="114">
        <f>Design!$D$6</f>
        <v>3</v>
      </c>
      <c r="D28" s="114">
        <f ca="1">FORECAST(C28, OFFSET(Design!$C$14:$C$16,MATCH(C28,Design!$B$14:$B$16,1)-1,0,2), OFFSET(Design!$B$14:$B$16,MATCH(C28,Design!$B$14:$B$16,1)-1,0,2))+(M28-25)*Design!$B$17/1000</f>
        <v>0.42140598636949944</v>
      </c>
      <c r="E28" s="173">
        <f ca="1">IF(100*(Design!$C$27+D28+C28*IF(ISBLANK(Design!$B$41),Constants!$C$6,Design!$B$41)/1000*(1+Constants!$C$32/100*(N28-25)))/($B28+D28-C28*O28/1000)&gt;Design!$C$34,Design!$C$35,100*(Design!$C$27+D28+C28*IF(ISBLANK(Design!$B$41),Constants!$C$6,Design!$B$41)/1000*(1+Constants!$C$32/100*(N28-25)))/($B28+D28-C28*O28/1000))</f>
        <v>95.012500000000003</v>
      </c>
      <c r="F28" s="115">
        <f ca="1">IF(($B28-C28*IF(ISBLANK(Design!$B$41),Constants!$C$6,Design!$B$41)/1000*(1+Constants!$C$32/100*(N28-25))-Design!$C$27)/(IF(ISBLANK(Design!$B$40),Design!$B$38,Design!$B$40)/1000000)*E28/100/(IF(ISBLANK(Design!$B$31),Design!$B$30,Design!$B$31)*1000000)&lt;0, 0, ($B28-C28*IF(ISBLANK(Design!$B$41),Constants!$C$6,Design!$B$41)/1000*(1+Constants!$C$32/100*(N28-25))-Design!$C$27)/(IF(ISBLANK(Design!$B$40),Design!$B$38,Design!$B$40)/1000000)*E28/100/(IF(ISBLANK(Design!$B$31),Design!$B$30,Design!$B$31)*1000000))</f>
        <v>0.2231324906363614</v>
      </c>
      <c r="G28" s="165">
        <f>B28*Constants!$C$21/1000+IF(ISBLANK(Design!$B$31),Design!$B$30,Design!$B$31)*1000000*Constants!$D$25/1000000000*(B28-Constants!$C$24)</f>
        <v>3.6419999999999973E-2</v>
      </c>
      <c r="H28" s="165">
        <f>B28*C28*(B28/(Constants!$C$26*1000000000)*IF(ISBLANK(Design!$B$31),Design!$B$30,Design!$B$31)*1000000/2+B28/(Constants!$C$27*1000000000)*IF(ISBLANK(Design!$B$31),Design!$B$30,Design!$B$31)*1000000/2)</f>
        <v>0.40937399999999985</v>
      </c>
      <c r="I28" s="165">
        <f t="shared" ca="1" si="0"/>
        <v>2.1508758460097925</v>
      </c>
      <c r="J28" s="165">
        <f>Constants!$D$25/1000000000*Constants!$C$24*IF(ISBLANK(Design!$B$31),Design!$B$30,Design!$B$31)*1000000</f>
        <v>5.2499999999999998E-2</v>
      </c>
      <c r="K28" s="165">
        <f t="shared" ca="1" si="4"/>
        <v>2.6491698460097926</v>
      </c>
      <c r="L28" s="165">
        <f t="shared" ca="1" si="5"/>
        <v>6.3052870710536363E-2</v>
      </c>
      <c r="M28" s="166">
        <f ca="1">A28+L28*Design!$B$18</f>
        <v>88.594013630500569</v>
      </c>
      <c r="N28" s="166">
        <f ca="1">K28*Design!$C$11+A28</f>
        <v>183.01928430236234</v>
      </c>
      <c r="O28" s="166">
        <f ca="1">Constants!$D$22+Constants!$D$22*Constants!$C$23/100*(N28-25)</f>
        <v>251.41542744188988</v>
      </c>
      <c r="P28" s="165">
        <f ca="1">IF(100*(Design!$C$27+D28+C28*IF(ISBLANK(Design!$B$41),Constants!$C$6,Design!$B$41)/1000*(1+Constants!$C$32/100*(N28-25)))/($B28+D28-C28*O28/1000)&gt;Design!$C$34,  (1-Constants!$C$20/1000000000*IF(ISBLANK(Design!$B$31),Design!$B$30/4,Design!$B$31/4)*1000000) * ($B28+D28-C28*O28/1000) - (D28+C28*(1+($A28-25)*Constants!$C$32/100)*IF(ISBLANK(Design!$B$41),Constants!$C$6/1000,Design!$B$41/1000)),   (1-Constants!$C$20/1000000000*IF(ISBLANK(Design!$B$31),Design!$B$30,Design!$B$31)*1000000) * ($B28+D28-C28*O28/1000) - (D28+C28*(1+($A28-25)*Constants!$C$32/100)*IF(ISBLANK(Design!$B$41),Constants!$C$6/1000,Design!$B$41/1000)) )</f>
        <v>5.5943761274351429</v>
      </c>
      <c r="Q28" s="171">
        <f ca="1">IF(P28&gt;Design!$C$27,Design!$C$27,P28)</f>
        <v>4.9936842105263155</v>
      </c>
      <c r="R28" s="181">
        <f>2*Design!$D$6/3</f>
        <v>2</v>
      </c>
      <c r="S28" s="116">
        <f ca="1">FORECAST(R28, OFFSET(Design!$C$14:$C$16,MATCH(R28,Design!$B$14:$B$16,1)-1,0,2), OFFSET(Design!$B$14:$B$16,MATCH(R28,Design!$B$14:$B$16,1)-1,0,2))+(AB28-25)*Design!$B$17/1000</f>
        <v>0.3977385579938863</v>
      </c>
      <c r="T28" s="182">
        <f ca="1">IF(100*(Design!$C$27+S28+R28*IF(ISBLANK(Design!$B$41),Constants!$C$6,Design!$B$41)/1000*(1+Constants!$C$32/100*(AC28-25)))/($B28+S28-R28*AD28/1000)&gt;Design!$C$34,Design!$C$35,100*(Design!$C$27+S28+R28*IF(ISBLANK(Design!$B$41),Constants!$C$6,Design!$B$41)/1000*(1+Constants!$C$32/100*(AC28-25)))/($B28+S28-R28*AD28/1000))</f>
        <v>95.012500000000003</v>
      </c>
      <c r="U28" s="117">
        <f ca="1">IF(($B28-R28*IF(ISBLANK(Design!$B$41),Constants!$C$6,Design!$B$41)/1000*(1+Constants!$C$32/100*(AC28-25))-Design!$C$27)/(Design!$B$40/1000000)*T28/100/(IF(ISBLANK(IF(ISBLANK(Design!$B$40),Design!$B$38,Design!$B$40)),Design!$B$30,Design!$B$31)*1000000)&lt;0,0,($B28-R28*IF(ISBLANK(Design!$B$41),Constants!$C$6,Design!$B$41)/1000*(1+Constants!$C$32/100*(AC28-25))-Design!$C$27)/(IF(ISBLANK(Design!$B$40),Design!$B$38,Design!$B$40)/1000000)*T28/100/(IF(ISBLANK(Design!$B$31),Design!$B$30,Design!$B$31)*1000000))</f>
        <v>0.23582427527673067</v>
      </c>
      <c r="V28" s="183">
        <f>$B28*Constants!$C$21/1000+IF(ISBLANK(Design!$B$31),Design!$B$30,Design!$B$31)*1000000*Constants!$D$25/1000000000*($B28-Constants!$C$24)</f>
        <v>3.6419999999999973E-2</v>
      </c>
      <c r="W28" s="183">
        <f>$B28*R28*($B28/(Constants!$C$26*1000000000)*IF(ISBLANK(Design!$B$31),Design!$B$30,Design!$B$31)*1000000/2+$B28/(Constants!$C$27*1000000000)*IF(ISBLANK(Design!$B$31),Design!$B$30,Design!$B$31)*1000000/2)</f>
        <v>0.27291599999999988</v>
      </c>
      <c r="X28" s="183">
        <f t="shared" ca="1" si="1"/>
        <v>0.78771681079424938</v>
      </c>
      <c r="Y28" s="183">
        <f>Constants!$D$25/1000000000*Constants!$C$24*IF(ISBLANK(Design!$B$31),Design!$B$30,Design!$B$31)*1000000</f>
        <v>5.2499999999999998E-2</v>
      </c>
      <c r="Z28" s="183">
        <f t="shared" ca="1" si="10"/>
        <v>1.1495528107942492</v>
      </c>
      <c r="AA28" s="183">
        <f t="shared" ca="1" si="7"/>
        <v>3.9674421159890158E-2</v>
      </c>
      <c r="AB28" s="184">
        <f ca="1">$A28+AA28*Design!$B$18</f>
        <v>87.261442006113739</v>
      </c>
      <c r="AC28" s="184">
        <f ca="1">Z28*Design!$C$11+$A28</f>
        <v>127.53345399938722</v>
      </c>
      <c r="AD28" s="184">
        <f ca="1">Constants!$D$22+Constants!$D$22*Constants!$C$23/100*(AC28-25)</f>
        <v>207.02676319950979</v>
      </c>
      <c r="AE28" s="183">
        <f ca="1">IF(100*(Design!$C$27+S28+R28*IF(ISBLANK(Design!$B$41),Constants!$C$6,Design!$B$41)/1000*(1+Constants!$C$32/100*(AC28-25)))/($B28+S28-R28*AD28/1000)&gt;Design!$C$34,  (1-Constants!$C$20/1000000000*IF(ISBLANK(Design!$B$31),Design!$B$30/4,Design!$B$31/4)*1000000) * ($B28+S28-R28*AD28/1000) - (S28+R28*(1+($A28-25)*Constants!$C$32/100)*IF(ISBLANK(Design!$B$41),Constants!$C$6/1000,Design!$B$41/1000)),   (1-Constants!$C$20/1000000000*IF(ISBLANK(Design!$B$31),Design!$B$30,Design!$B$31)*1000000) * ($B28+S28-R28*AD28/1000) - (S28+R28*(1+($A28-25)*Constants!$C$32/100)*IF(ISBLANK(Design!$B$41),Constants!$C$6/1000,Design!$B$41/1000)) )</f>
        <v>5.9743931826501839</v>
      </c>
      <c r="AF28" s="117">
        <f ca="1">IF(AE28&gt;Design!$C$27,Design!$C$27,AE28)</f>
        <v>4.9936842105263155</v>
      </c>
      <c r="AG28" s="118">
        <f>Design!$D$6/3</f>
        <v>1</v>
      </c>
      <c r="AH28" s="118">
        <f ca="1">FORECAST(AG28, OFFSET(Design!$C$14:$C$16,MATCH(AG28,Design!$B$14:$B$16,1)-1,0,2), OFFSET(Design!$B$14:$B$16,MATCH(AG28,Design!$B$14:$B$16,1)-1,0,2))+(AQ28-25)*Design!$B$17/1000</f>
        <v>0.31805161792371961</v>
      </c>
      <c r="AI28" s="194">
        <f ca="1">IF(100*(Design!$C$27+AH28+AG28*IF(ISBLANK(Design!$B$41),Constants!$C$6,Design!$B$41)/1000*(1+Constants!$C$32/100*(AR28-25)))/($B28+AH28-AG28*AS28/1000)&gt;Design!$C$34,Design!$C$35,100*(Design!$C$27+AH28+AG28*IF(ISBLANK(Design!$B$41),Constants!$C$6,Design!$B$41)/1000*(1+Constants!$C$32/100*(AR28-25)))/($B28+AH28-AG28*AS28/1000))</f>
        <v>76.994773067777146</v>
      </c>
      <c r="AJ28" s="119">
        <f ca="1">IF(($B28-AG28*IF(ISBLANK(Design!$B$41),Constants!$C$6,Design!$B$41)/1000*(1+Constants!$C$32/100*(AR28-25))-Design!$C$27)/(IF(ISBLANK(Design!$B$40),Design!$B$38,Design!$B$40)/1000000)*AI28/100/(IF(ISBLANK(Design!$B$31),Design!$B$30,Design!$B$31)*1000000)&lt;0,0,($B28-AG28*IF(ISBLANK(Design!$B$41),Constants!$C$6,Design!$B$41)/1000*(1+Constants!$C$32/100*(AR28-25))-Design!$C$27)/(IF(ISBLANK(Design!$B$40),Design!$B$38,Design!$B$40)/1000000)*AI28/100/(IF(ISBLANK(Design!$B$31),Design!$B$30,Design!$B$31)*1000000))</f>
        <v>0.19868657913235571</v>
      </c>
      <c r="AK28" s="195">
        <f>$B28*Constants!$C$21/1000+IF(ISBLANK(Design!$B$31),Design!$B$30,Design!$B$31)*1000000*Constants!$D$25/1000000000*($B28-Constants!$C$24)</f>
        <v>3.6419999999999973E-2</v>
      </c>
      <c r="AL28" s="195">
        <f>$B28*AG28*($B28/(Constants!$C$26*1000000000)*IF(ISBLANK(Design!$B$31),Design!$B$30,Design!$B$31)*1000000/2+$B28/(Constants!$C$27*1000000000)*IF(ISBLANK(Design!$B$31),Design!$B$30,Design!$B$31)*1000000/2)</f>
        <v>0.13645799999999994</v>
      </c>
      <c r="AM28" s="195">
        <f t="shared" ca="1" si="2"/>
        <v>0.14204032481682519</v>
      </c>
      <c r="AN28" s="195">
        <f>Constants!$D$25/1000000000*Constants!$C$24*IF(ISBLANK(Design!$B$31),Design!$B$30,Design!$B$31)*1000000</f>
        <v>5.2499999999999998E-2</v>
      </c>
      <c r="AO28" s="195">
        <f t="shared" ca="1" si="11"/>
        <v>0.36741832481682513</v>
      </c>
      <c r="AP28" s="195">
        <f t="shared" ca="1" si="9"/>
        <v>7.3168496464958072E-2</v>
      </c>
      <c r="AQ28" s="196">
        <f ca="1">$A28+AP28*Design!$B$18</f>
        <v>89.17060429850261</v>
      </c>
      <c r="AR28" s="196">
        <f ca="1">AO28*Design!$C$11+$A28</f>
        <v>98.594478018222532</v>
      </c>
      <c r="AS28" s="196">
        <f ca="1">Constants!$D$22+Constants!$D$22*Constants!$C$23/100*(AR28-25)</f>
        <v>183.87558241457802</v>
      </c>
      <c r="AT28" s="195">
        <f ca="1">IF(100*(Design!$C$27+AH28+AG28*IF(ISBLANK(Design!$B$41),Constants!$C$6,Design!$B$41)/1000*(1+Constants!$C$32/100*(AR28-25)))/($B28+AH28-AG28*AS28/1000)&gt;Design!$C$34,  (1-Constants!$C$20/1000000000*IF(ISBLANK(Design!$B$31),Design!$B$30/4,Design!$B$31/4)*1000000) * ($B28+AH28-AG28*AS28/1000) - (AH28+AG28*(1+($A28-25)*Constants!$C$32/100)*IF(ISBLANK(Design!$B$41),Constants!$C$6/1000,Design!$B$41/1000)),   (1-Constants!$C$20/1000000000*IF(ISBLANK(Design!$B$31),Design!$B$30,Design!$B$31)*1000000) * ($B28+AH28-AG28*AS28/1000) - (AH28+AG28*(1+($A28-25)*Constants!$C$32/100)*IF(ISBLANK(Design!$B$41),Constants!$C$6/1000,Design!$B$41/1000)) )</f>
        <v>5.2091652985013468</v>
      </c>
      <c r="AU28" s="119">
        <f ca="1">IF(AT28&gt;Design!$C$27,Design!$C$27,AT28)</f>
        <v>4.9936842105263155</v>
      </c>
    </row>
    <row r="29" spans="1:47" s="120" customFormat="1" ht="12.75" customHeight="1" x14ac:dyDescent="0.25">
      <c r="A29" s="112">
        <f>Design!$D$12</f>
        <v>85</v>
      </c>
      <c r="B29" s="113">
        <f t="shared" si="3"/>
        <v>6.6249999999999982</v>
      </c>
      <c r="C29" s="114">
        <f>Design!$D$6</f>
        <v>3</v>
      </c>
      <c r="D29" s="114">
        <f ca="1">FORECAST(C29, OFFSET(Design!$C$14:$C$16,MATCH(C29,Design!$B$14:$B$16,1)-1,0,2), OFFSET(Design!$B$14:$B$16,MATCH(C29,Design!$B$14:$B$16,1)-1,0,2))+(M29-25)*Design!$B$17/1000</f>
        <v>0.42140598636949944</v>
      </c>
      <c r="E29" s="173">
        <f ca="1">IF(100*(Design!$C$27+D29+C29*IF(ISBLANK(Design!$B$41),Constants!$C$6,Design!$B$41)/1000*(1+Constants!$C$32/100*(N29-25)))/($B29+D29-C29*O29/1000)&gt;Design!$C$34,Design!$C$35,100*(Design!$C$27+D29+C29*IF(ISBLANK(Design!$B$41),Constants!$C$6,Design!$B$41)/1000*(1+Constants!$C$32/100*(N29-25)))/($B29+D29-C29*O29/1000))</f>
        <v>95.012500000000003</v>
      </c>
      <c r="F29" s="115">
        <f ca="1">IF(($B29-C29*IF(ISBLANK(Design!$B$41),Constants!$C$6,Design!$B$41)/1000*(1+Constants!$C$32/100*(N29-25))-Design!$C$27)/(IF(ISBLANK(Design!$B$40),Design!$B$38,Design!$B$40)/1000000)*E29/100/(IF(ISBLANK(Design!$B$31),Design!$B$30,Design!$B$31)*1000000)&lt;0, 0, ($B29-C29*IF(ISBLANK(Design!$B$41),Constants!$C$6,Design!$B$41)/1000*(1+Constants!$C$32/100*(N29-25))-Design!$C$27)/(IF(ISBLANK(Design!$B$40),Design!$B$38,Design!$B$40)/1000000)*E29/100/(IF(ISBLANK(Design!$B$31),Design!$B$30,Design!$B$31)*1000000))</f>
        <v>0.19375754986879806</v>
      </c>
      <c r="G29" s="165">
        <f>B29*Constants!$C$21/1000+IF(ISBLANK(Design!$B$31),Design!$B$30,Design!$B$31)*1000000*Constants!$D$25/1000000000*(B29-Constants!$C$24)</f>
        <v>3.3624999999999981E-2</v>
      </c>
      <c r="H29" s="165">
        <f>B29*C29*(B29/(Constants!$C$26*1000000000)*IF(ISBLANK(Design!$B$31),Design!$B$30,Design!$B$31)*1000000/2+B29/(Constants!$C$27*1000000000)*IF(ISBLANK(Design!$B$31),Design!$B$30,Design!$B$31)*1000000/2)</f>
        <v>0.38404296874999982</v>
      </c>
      <c r="I29" s="165">
        <f t="shared" ca="1" si="0"/>
        <v>2.1410133187428748</v>
      </c>
      <c r="J29" s="165">
        <f>Constants!$D$25/1000000000*Constants!$C$24*IF(ISBLANK(Design!$B$31),Design!$B$30,Design!$B$31)*1000000</f>
        <v>5.2499999999999998E-2</v>
      </c>
      <c r="K29" s="165">
        <f t="shared" ca="1" si="4"/>
        <v>2.611181287492875</v>
      </c>
      <c r="L29" s="165">
        <f t="shared" ca="1" si="5"/>
        <v>6.3052870710536363E-2</v>
      </c>
      <c r="M29" s="166">
        <f ca="1">A29+L29*Design!$B$18</f>
        <v>88.594013630500569</v>
      </c>
      <c r="N29" s="166">
        <f ca="1">K29*Design!$C$11+A29</f>
        <v>181.61370763723636</v>
      </c>
      <c r="O29" s="166">
        <f ca="1">Constants!$D$22+Constants!$D$22*Constants!$C$23/100*(N29-25)</f>
        <v>250.29096610978911</v>
      </c>
      <c r="P29" s="165">
        <f ca="1">IF(100*(Design!$C$27+D29+C29*IF(ISBLANK(Design!$B$41),Constants!$C$6,Design!$B$41)/1000*(1+Constants!$C$32/100*(N29-25)))/($B29+D29-C29*O29/1000)&gt;Design!$C$34,  (1-Constants!$C$20/1000000000*IF(ISBLANK(Design!$B$31),Design!$B$30/4,Design!$B$31/4)*1000000) * ($B29+D29-C29*O29/1000) - (D29+C29*(1+($A29-25)*Constants!$C$32/100)*IF(ISBLANK(Design!$B$41),Constants!$C$6/1000,Design!$B$41/1000)),   (1-Constants!$C$20/1000000000*IF(ISBLANK(Design!$B$31),Design!$B$30,Design!$B$31)*1000000) * ($B29+D29-C29*O29/1000) - (D29+C29*(1+($A29-25)*Constants!$C$32/100)*IF(ISBLANK(Design!$B$41),Constants!$C$6/1000,Design!$B$41/1000)) )</f>
        <v>5.3933043889046299</v>
      </c>
      <c r="Q29" s="171">
        <f ca="1">IF(P29&gt;Design!$C$27,Design!$C$27,P29)</f>
        <v>4.9936842105263155</v>
      </c>
      <c r="R29" s="181">
        <f>2*Design!$D$6/3</f>
        <v>2</v>
      </c>
      <c r="S29" s="116">
        <f ca="1">FORECAST(R29, OFFSET(Design!$C$14:$C$16,MATCH(R29,Design!$B$14:$B$16,1)-1,0,2), OFFSET(Design!$B$14:$B$16,MATCH(R29,Design!$B$14:$B$16,1)-1,0,2))+(AB29-25)*Design!$B$17/1000</f>
        <v>0.3977385579938863</v>
      </c>
      <c r="T29" s="182">
        <f ca="1">IF(100*(Design!$C$27+S29+R29*IF(ISBLANK(Design!$B$41),Constants!$C$6,Design!$B$41)/1000*(1+Constants!$C$32/100*(AC29-25)))/($B29+S29-R29*AD29/1000)&gt;Design!$C$34,Design!$C$35,100*(Design!$C$27+S29+R29*IF(ISBLANK(Design!$B$41),Constants!$C$6,Design!$B$41)/1000*(1+Constants!$C$32/100*(AC29-25)))/($B29+S29-R29*AD29/1000))</f>
        <v>95.012500000000003</v>
      </c>
      <c r="U29" s="117">
        <f ca="1">IF(($B29-R29*IF(ISBLANK(Design!$B$41),Constants!$C$6,Design!$B$41)/1000*(1+Constants!$C$32/100*(AC29-25))-Design!$C$27)/(Design!$B$40/1000000)*T29/100/(IF(ISBLANK(IF(ISBLANK(Design!$B$40),Design!$B$38,Design!$B$40)),Design!$B$30,Design!$B$31)*1000000)&lt;0,0,($B29-R29*IF(ISBLANK(Design!$B$41),Constants!$C$6,Design!$B$41)/1000*(1+Constants!$C$32/100*(AC29-25))-Design!$C$27)/(IF(ISBLANK(Design!$B$40),Design!$B$38,Design!$B$40)/1000000)*T29/100/(IF(ISBLANK(Design!$B$31),Design!$B$30,Design!$B$31)*1000000))</f>
        <v>0.20638732015530292</v>
      </c>
      <c r="V29" s="183">
        <f>$B29*Constants!$C$21/1000+IF(ISBLANK(Design!$B$31),Design!$B$30,Design!$B$31)*1000000*Constants!$D$25/1000000000*($B29-Constants!$C$24)</f>
        <v>3.3624999999999981E-2</v>
      </c>
      <c r="W29" s="183">
        <f>$B29*R29*($B29/(Constants!$C$26*1000000000)*IF(ISBLANK(Design!$B$31),Design!$B$30,Design!$B$31)*1000000/2+$B29/(Constants!$C$27*1000000000)*IF(ISBLANK(Design!$B$31),Design!$B$30,Design!$B$31)*1000000/2)</f>
        <v>0.25602864583333323</v>
      </c>
      <c r="X29" s="183">
        <f t="shared" ca="1" si="1"/>
        <v>0.78497904839780086</v>
      </c>
      <c r="Y29" s="183">
        <f>Constants!$D$25/1000000000*Constants!$C$24*IF(ISBLANK(Design!$B$31),Design!$B$30,Design!$B$31)*1000000</f>
        <v>5.2499999999999998E-2</v>
      </c>
      <c r="Z29" s="183">
        <f t="shared" ca="1" si="10"/>
        <v>1.1271326942311342</v>
      </c>
      <c r="AA29" s="183">
        <f t="shared" ca="1" si="7"/>
        <v>3.9674421159890158E-2</v>
      </c>
      <c r="AB29" s="184">
        <f ca="1">$A29+AA29*Design!$B$18</f>
        <v>87.261442006113739</v>
      </c>
      <c r="AC29" s="184">
        <f ca="1">Z29*Design!$C$11+$A29</f>
        <v>126.70390968655197</v>
      </c>
      <c r="AD29" s="184">
        <f ca="1">Constants!$D$22+Constants!$D$22*Constants!$C$23/100*(AC29-25)</f>
        <v>206.36312774924158</v>
      </c>
      <c r="AE29" s="183">
        <f ca="1">IF(100*(Design!$C$27+S29+R29*IF(ISBLANK(Design!$B$41),Constants!$C$6,Design!$B$41)/1000*(1+Constants!$C$32/100*(AC29-25)))/($B29+S29-R29*AD29/1000)&gt;Design!$C$34,  (1-Constants!$C$20/1000000000*IF(ISBLANK(Design!$B$31),Design!$B$30/4,Design!$B$31/4)*1000000) * ($B29+S29-R29*AD29/1000) - (S29+R29*(1+($A29-25)*Constants!$C$32/100)*IF(ISBLANK(Design!$B$41),Constants!$C$6/1000,Design!$B$41/1000)),   (1-Constants!$C$20/1000000000*IF(ISBLANK(Design!$B$31),Design!$B$30,Design!$B$31)*1000000) * ($B29+S29-R29*AD29/1000) - (S29+R29*(1+($A29-25)*Constants!$C$32/100)*IF(ISBLANK(Design!$B$41),Constants!$C$6/1000,Design!$B$41/1000)) )</f>
        <v>5.7713773809145561</v>
      </c>
      <c r="AF29" s="117">
        <f ca="1">IF(AE29&gt;Design!$C$27,Design!$C$27,AE29)</f>
        <v>4.9936842105263155</v>
      </c>
      <c r="AG29" s="118">
        <f>Design!$D$6/3</f>
        <v>1</v>
      </c>
      <c r="AH29" s="118">
        <f ca="1">FORECAST(AG29, OFFSET(Design!$C$14:$C$16,MATCH(AG29,Design!$B$14:$B$16,1)-1,0,2), OFFSET(Design!$B$14:$B$16,MATCH(AG29,Design!$B$14:$B$16,1)-1,0,2))+(AQ29-25)*Design!$B$17/1000</f>
        <v>0.31849015415037057</v>
      </c>
      <c r="AI29" s="194">
        <f ca="1">IF(100*(Design!$C$27+AH29+AG29*IF(ISBLANK(Design!$B$41),Constants!$C$6,Design!$B$41)/1000*(1+Constants!$C$32/100*(AR29-25)))/($B29+AH29-AG29*AS29/1000)&gt;Design!$C$34,Design!$C$35,100*(Design!$C$27+AH29+AG29*IF(ISBLANK(Design!$B$41),Constants!$C$6,Design!$B$41)/1000*(1+Constants!$C$32/100*(AR29-25)))/($B29+AH29-AG29*AS29/1000))</f>
        <v>79.44210280904791</v>
      </c>
      <c r="AJ29" s="119">
        <f ca="1">IF(($B29-AG29*IF(ISBLANK(Design!$B$41),Constants!$C$6,Design!$B$41)/1000*(1+Constants!$C$32/100*(AR29-25))-Design!$C$27)/(IF(ISBLANK(Design!$B$40),Design!$B$38,Design!$B$40)/1000000)*AI29/100/(IF(ISBLANK(Design!$B$31),Design!$B$30,Design!$B$31)*1000000)&lt;0,0,($B29-AG29*IF(ISBLANK(Design!$B$41),Constants!$C$6,Design!$B$41)/1000*(1+Constants!$C$32/100*(AR29-25))-Design!$C$27)/(IF(ISBLANK(Design!$B$40),Design!$B$38,Design!$B$40)/1000000)*AI29/100/(IF(ISBLANK(Design!$B$31),Design!$B$30,Design!$B$31)*1000000))</f>
        <v>0.18036065387006994</v>
      </c>
      <c r="AK29" s="195">
        <f>$B29*Constants!$C$21/1000+IF(ISBLANK(Design!$B$31),Design!$B$30,Design!$B$31)*1000000*Constants!$D$25/1000000000*($B29-Constants!$C$24)</f>
        <v>3.3624999999999981E-2</v>
      </c>
      <c r="AL29" s="195">
        <f>$B29*AG29*($B29/(Constants!$C$26*1000000000)*IF(ISBLANK(Design!$B$31),Design!$B$30,Design!$B$31)*1000000/2+$B29/(Constants!$C$27*1000000000)*IF(ISBLANK(Design!$B$31),Design!$B$30,Design!$B$31)*1000000/2)</f>
        <v>0.12801432291666662</v>
      </c>
      <c r="AM29" s="195">
        <f t="shared" ca="1" si="2"/>
        <v>0.1463062039110519</v>
      </c>
      <c r="AN29" s="195">
        <f>Constants!$D$25/1000000000*Constants!$C$24*IF(ISBLANK(Design!$B$31),Design!$B$30,Design!$B$31)*1000000</f>
        <v>5.2499999999999998E-2</v>
      </c>
      <c r="AO29" s="195">
        <f t="shared" ca="1" si="11"/>
        <v>0.36044552682771847</v>
      </c>
      <c r="AP29" s="195">
        <f t="shared" ca="1" si="9"/>
        <v>6.5474878453538013E-2</v>
      </c>
      <c r="AQ29" s="196">
        <f ca="1">$A29+AP29*Design!$B$18</f>
        <v>88.732068071851671</v>
      </c>
      <c r="AR29" s="196">
        <f ca="1">AO29*Design!$C$11+$A29</f>
        <v>98.336484492625587</v>
      </c>
      <c r="AS29" s="196">
        <f ca="1">Constants!$D$22+Constants!$D$22*Constants!$C$23/100*(AR29-25)</f>
        <v>183.66918759410046</v>
      </c>
      <c r="AT29" s="195">
        <f ca="1">IF(100*(Design!$C$27+AH29+AG29*IF(ISBLANK(Design!$B$41),Constants!$C$6,Design!$B$41)/1000*(1+Constants!$C$32/100*(AR29-25)))/($B29+AH29-AG29*AS29/1000)&gt;Design!$C$34,  (1-Constants!$C$20/1000000000*IF(ISBLANK(Design!$B$31),Design!$B$30/4,Design!$B$31/4)*1000000) * ($B29+AH29-AG29*AS29/1000) - (AH29+AG29*(1+($A29-25)*Constants!$C$32/100)*IF(ISBLANK(Design!$B$41),Constants!$C$6/1000,Design!$B$41/1000)),   (1-Constants!$C$20/1000000000*IF(ISBLANK(Design!$B$31),Design!$B$30,Design!$B$31)*1000000) * ($B29+AH29-AG29*AS29/1000) - (AH29+AG29*(1+($A29-25)*Constants!$C$32/100)*IF(ISBLANK(Design!$B$41),Constants!$C$6/1000,Design!$B$41/1000)) )</f>
        <v>5.0371355295779221</v>
      </c>
      <c r="AU29" s="119">
        <f ca="1">IF(AT29&gt;Design!$C$27,Design!$C$27,AT29)</f>
        <v>4.9936842105263155</v>
      </c>
    </row>
    <row r="30" spans="1:47" s="120" customFormat="1" ht="12.75" customHeight="1" x14ac:dyDescent="0.25">
      <c r="A30" s="112">
        <f>Design!$D$12</f>
        <v>85</v>
      </c>
      <c r="B30" s="113">
        <f t="shared" si="3"/>
        <v>6.4099999999999984</v>
      </c>
      <c r="C30" s="114">
        <f>Design!$D$6</f>
        <v>3</v>
      </c>
      <c r="D30" s="114">
        <f ca="1">FORECAST(C30, OFFSET(Design!$C$14:$C$16,MATCH(C30,Design!$B$14:$B$16,1)-1,0,2), OFFSET(Design!$B$14:$B$16,MATCH(C30,Design!$B$14:$B$16,1)-1,0,2))+(M30-25)*Design!$B$17/1000</f>
        <v>0.42140598636949944</v>
      </c>
      <c r="E30" s="173">
        <f ca="1">IF(100*(Design!$C$27+D30+C30*IF(ISBLANK(Design!$B$41),Constants!$C$6,Design!$B$41)/1000*(1+Constants!$C$32/100*(N30-25)))/($B30+D30-C30*O30/1000)&gt;Design!$C$34,Design!$C$35,100*(Design!$C$27+D30+C30*IF(ISBLANK(Design!$B$41),Constants!$C$6,Design!$B$41)/1000*(1+Constants!$C$32/100*(N30-25)))/($B30+D30-C30*O30/1000))</f>
        <v>95.012500000000003</v>
      </c>
      <c r="F30" s="115">
        <f ca="1">IF(($B30-C30*IF(ISBLANK(Design!$B$41),Constants!$C$6,Design!$B$41)/1000*(1+Constants!$C$32/100*(N30-25))-Design!$C$27)/(IF(ISBLANK(Design!$B$40),Design!$B$38,Design!$B$40)/1000000)*E30/100/(IF(ISBLANK(Design!$B$31),Design!$B$30,Design!$B$31)*1000000)&lt;0, 0, ($B30-C30*IF(ISBLANK(Design!$B$41),Constants!$C$6,Design!$B$41)/1000*(1+Constants!$C$32/100*(N30-25))-Design!$C$27)/(IF(ISBLANK(Design!$B$40),Design!$B$38,Design!$B$40)/1000000)*E30/100/(IF(ISBLANK(Design!$B$31),Design!$B$30,Design!$B$31)*1000000))</f>
        <v>0.16437956338934989</v>
      </c>
      <c r="G30" s="165">
        <f>B30*Constants!$C$21/1000+IF(ISBLANK(Design!$B$31),Design!$B$30,Design!$B$31)*1000000*Constants!$D$25/1000000000*(B30-Constants!$C$24)</f>
        <v>3.0829999999999975E-2</v>
      </c>
      <c r="H30" s="165">
        <f>B30*C30*(B30/(Constants!$C$26*1000000000)*IF(ISBLANK(Design!$B$31),Design!$B$30,Design!$B$31)*1000000/2+B30/(Constants!$C$27*1000000000)*IF(ISBLANK(Design!$B$31),Design!$B$30,Design!$B$31)*1000000/2)</f>
        <v>0.35952087499999985</v>
      </c>
      <c r="I30" s="165">
        <f t="shared" ca="1" si="0"/>
        <v>2.1314735069370427</v>
      </c>
      <c r="J30" s="165">
        <f>Constants!$D$25/1000000000*Constants!$C$24*IF(ISBLANK(Design!$B$31),Design!$B$30,Design!$B$31)*1000000</f>
        <v>5.2499999999999998E-2</v>
      </c>
      <c r="K30" s="165">
        <f t="shared" ca="1" si="4"/>
        <v>2.5743243819370427</v>
      </c>
      <c r="L30" s="165">
        <f t="shared" ca="1" si="5"/>
        <v>6.3052870710536363E-2</v>
      </c>
      <c r="M30" s="166">
        <f ca="1">A30+L30*Design!$B$18</f>
        <v>88.594013630500569</v>
      </c>
      <c r="N30" s="166">
        <f ca="1">K30*Design!$C$11+A30</f>
        <v>180.25000213167058</v>
      </c>
      <c r="O30" s="166">
        <f ca="1">Constants!$D$22+Constants!$D$22*Constants!$C$23/100*(N30-25)</f>
        <v>249.20000170533649</v>
      </c>
      <c r="P30" s="165">
        <f ca="1">IF(100*(Design!$C$27+D30+C30*IF(ISBLANK(Design!$B$41),Constants!$C$6,Design!$B$41)/1000*(1+Constants!$C$32/100*(N30-25)))/($B30+D30-C30*O30/1000)&gt;Design!$C$34,  (1-Constants!$C$20/1000000000*IF(ISBLANK(Design!$B$31),Design!$B$30/4,Design!$B$31/4)*1000000) * ($B30+D30-C30*O30/1000) - (D30+C30*(1+($A30-25)*Constants!$C$32/100)*IF(ISBLANK(Design!$B$41),Constants!$C$6/1000,Design!$B$41/1000)),   (1-Constants!$C$20/1000000000*IF(ISBLANK(Design!$B$31),Design!$B$30,Design!$B$31)*1000000) * ($B30+D30-C30*O30/1000) - (D30+C30*(1+($A30-25)*Constants!$C$32/100)*IF(ISBLANK(Design!$B$41),Constants!$C$6/1000,Design!$B$41/1000)) )</f>
        <v>5.1921371715689721</v>
      </c>
      <c r="Q30" s="171">
        <f ca="1">IF(P30&gt;Design!$C$27,Design!$C$27,P30)</f>
        <v>4.9936842105263155</v>
      </c>
      <c r="R30" s="181">
        <f>2*Design!$D$6/3</f>
        <v>2</v>
      </c>
      <c r="S30" s="116">
        <f ca="1">FORECAST(R30, OFFSET(Design!$C$14:$C$16,MATCH(R30,Design!$B$14:$B$16,1)-1,0,2), OFFSET(Design!$B$14:$B$16,MATCH(R30,Design!$B$14:$B$16,1)-1,0,2))+(AB30-25)*Design!$B$17/1000</f>
        <v>0.3977385579938863</v>
      </c>
      <c r="T30" s="182">
        <f ca="1">IF(100*(Design!$C$27+S30+R30*IF(ISBLANK(Design!$B$41),Constants!$C$6,Design!$B$41)/1000*(1+Constants!$C$32/100*(AC30-25)))/($B30+S30-R30*AD30/1000)&gt;Design!$C$34,Design!$C$35,100*(Design!$C$27+S30+R30*IF(ISBLANK(Design!$B$41),Constants!$C$6,Design!$B$41)/1000*(1+Constants!$C$32/100*(AC30-25)))/($B30+S30-R30*AD30/1000))</f>
        <v>95.012500000000003</v>
      </c>
      <c r="U30" s="117">
        <f ca="1">IF(($B30-R30*IF(ISBLANK(Design!$B$41),Constants!$C$6,Design!$B$41)/1000*(1+Constants!$C$32/100*(AC30-25))-Design!$C$27)/(Design!$B$40/1000000)*T30/100/(IF(ISBLANK(IF(ISBLANK(Design!$B$40),Design!$B$38,Design!$B$40)),Design!$B$30,Design!$B$31)*1000000)&lt;0,0,($B30-R30*IF(ISBLANK(Design!$B$41),Constants!$C$6,Design!$B$41)/1000*(1+Constants!$C$32/100*(AC30-25))-Design!$C$27)/(IF(ISBLANK(Design!$B$40),Design!$B$38,Design!$B$40)/1000000)*T30/100/(IF(ISBLANK(Design!$B$31),Design!$B$30,Design!$B$31)*1000000))</f>
        <v>0.17694921484496057</v>
      </c>
      <c r="V30" s="183">
        <f>$B30*Constants!$C$21/1000+IF(ISBLANK(Design!$B$31),Design!$B$30,Design!$B$31)*1000000*Constants!$D$25/1000000000*($B30-Constants!$C$24)</f>
        <v>3.0829999999999975E-2</v>
      </c>
      <c r="W30" s="183">
        <f>$B30*R30*($B30/(Constants!$C$26*1000000000)*IF(ISBLANK(Design!$B$31),Design!$B$30,Design!$B$31)*1000000/2+$B30/(Constants!$C$27*1000000000)*IF(ISBLANK(Design!$B$31),Design!$B$30,Design!$B$31)*1000000/2)</f>
        <v>0.2396805833333332</v>
      </c>
      <c r="X30" s="183">
        <f t="shared" ca="1" si="1"/>
        <v>0.78234303397013938</v>
      </c>
      <c r="Y30" s="183">
        <f>Constants!$D$25/1000000000*Constants!$C$24*IF(ISBLANK(Design!$B$31),Design!$B$30,Design!$B$31)*1000000</f>
        <v>5.2499999999999998E-2</v>
      </c>
      <c r="Z30" s="183">
        <f t="shared" ca="1" si="10"/>
        <v>1.1053536173034726</v>
      </c>
      <c r="AA30" s="183">
        <f t="shared" ca="1" si="7"/>
        <v>3.9674421159890158E-2</v>
      </c>
      <c r="AB30" s="184">
        <f ca="1">$A30+AA30*Design!$B$18</f>
        <v>87.261442006113739</v>
      </c>
      <c r="AC30" s="184">
        <f ca="1">Z30*Design!$C$11+$A30</f>
        <v>125.89808384022848</v>
      </c>
      <c r="AD30" s="184">
        <f ca="1">Constants!$D$22+Constants!$D$22*Constants!$C$23/100*(AC30-25)</f>
        <v>205.71846707218279</v>
      </c>
      <c r="AE30" s="183">
        <f ca="1">IF(100*(Design!$C$27+S30+R30*IF(ISBLANK(Design!$B$41),Constants!$C$6,Design!$B$41)/1000*(1+Constants!$C$32/100*(AC30-25)))/($B30+S30-R30*AD30/1000)&gt;Design!$C$34,  (1-Constants!$C$20/1000000000*IF(ISBLANK(Design!$B$31),Design!$B$30/4,Design!$B$31/4)*1000000) * ($B30+S30-R30*AD30/1000) - (S30+R30*(1+($A30-25)*Constants!$C$32/100)*IF(ISBLANK(Design!$B$41),Constants!$C$6/1000,Design!$B$41/1000)),   (1-Constants!$C$20/1000000000*IF(ISBLANK(Design!$B$31),Design!$B$30,Design!$B$31)*1000000) * ($B30+S30-R30*AD30/1000) - (S30+R30*(1+($A30-25)*Constants!$C$32/100)*IF(ISBLANK(Design!$B$41),Constants!$C$6/1000,Design!$B$41/1000)) )</f>
        <v>5.5683255223661376</v>
      </c>
      <c r="AF30" s="117">
        <f ca="1">IF(AE30&gt;Design!$C$27,Design!$C$27,AE30)</f>
        <v>4.9936842105263155</v>
      </c>
      <c r="AG30" s="118">
        <f>Design!$D$6/3</f>
        <v>1</v>
      </c>
      <c r="AH30" s="118">
        <f ca="1">FORECAST(AG30, OFFSET(Design!$C$14:$C$16,MATCH(AG30,Design!$B$14:$B$16,1)-1,0,2), OFFSET(Design!$B$14:$B$16,MATCH(AG30,Design!$B$14:$B$16,1)-1,0,2))+(AQ30-25)*Design!$B$17/1000</f>
        <v>0.32130878151995867</v>
      </c>
      <c r="AI30" s="194">
        <f ca="1">IF(100*(Design!$C$27+AH30+AG30*IF(ISBLANK(Design!$B$41),Constants!$C$6,Design!$B$41)/1000*(1+Constants!$C$32/100*(AR30-25)))/($B30+AH30-AG30*AS30/1000)&gt;Design!$C$34,Design!$C$35,100*(Design!$C$27+AH30+AG30*IF(ISBLANK(Design!$B$41),Constants!$C$6,Design!$B$41)/1000*(1+Constants!$C$32/100*(AR30-25)))/($B30+AH30-AG30*AS30/1000))</f>
        <v>95.012500000000003</v>
      </c>
      <c r="AJ30" s="119">
        <f ca="1">IF(($B30-AG30*IF(ISBLANK(Design!$B$41),Constants!$C$6,Design!$B$41)/1000*(1+Constants!$C$32/100*(AR30-25))-Design!$C$27)/(IF(ISBLANK(Design!$B$40),Design!$B$38,Design!$B$40)/1000000)*AI30/100/(IF(ISBLANK(Design!$B$31),Design!$B$30,Design!$B$31)*1000000)&lt;0,0,($B30-AG30*IF(ISBLANK(Design!$B$41),Constants!$C$6,Design!$B$41)/1000*(1+Constants!$C$32/100*(AR30-25))-Design!$C$27)/(IF(ISBLANK(Design!$B$40),Design!$B$38,Design!$B$40)/1000000)*AI30/100/(IF(ISBLANK(Design!$B$31),Design!$B$30,Design!$B$31)*1000000))</f>
        <v>0.18621720577552953</v>
      </c>
      <c r="AK30" s="195">
        <f>$B30*Constants!$C$21/1000+IF(ISBLANK(Design!$B$31),Design!$B$30,Design!$B$31)*1000000*Constants!$D$25/1000000000*($B30-Constants!$C$24)</f>
        <v>3.0829999999999975E-2</v>
      </c>
      <c r="AL30" s="195">
        <f>$B30*AG30*($B30/(Constants!$C$26*1000000000)*IF(ISBLANK(Design!$B$31),Design!$B$30,Design!$B$31)*1000000/2+$B30/(Constants!$C$27*1000000000)*IF(ISBLANK(Design!$B$31),Design!$B$30,Design!$B$31)*1000000/2)</f>
        <v>0.1198402916666666</v>
      </c>
      <c r="AM30" s="195">
        <f t="shared" ca="1" si="2"/>
        <v>0.17552778371252908</v>
      </c>
      <c r="AN30" s="195">
        <f>Constants!$D$25/1000000000*Constants!$C$24*IF(ISBLANK(Design!$B$31),Design!$B$30,Design!$B$31)*1000000</f>
        <v>5.2499999999999998E-2</v>
      </c>
      <c r="AO30" s="195">
        <f t="shared" ca="1" si="11"/>
        <v>0.37869807537919564</v>
      </c>
      <c r="AP30" s="195">
        <f t="shared" ca="1" si="9"/>
        <v>1.602527547830794E-2</v>
      </c>
      <c r="AQ30" s="196">
        <f ca="1">$A30+AP30*Design!$B$18</f>
        <v>85.913440702263557</v>
      </c>
      <c r="AR30" s="196">
        <f ca="1">AO30*Design!$C$11+$A30</f>
        <v>99.011828789030233</v>
      </c>
      <c r="AS30" s="196">
        <f ca="1">Constants!$D$22+Constants!$D$22*Constants!$C$23/100*(AR30-25)</f>
        <v>184.20946303122417</v>
      </c>
      <c r="AT30" s="195">
        <f ca="1">IF(100*(Design!$C$27+AH30+AG30*IF(ISBLANK(Design!$B$41),Constants!$C$6,Design!$B$41)/1000*(1+Constants!$C$32/100*(AR30-25)))/($B30+AH30-AG30*AS30/1000)&gt;Design!$C$34,  (1-Constants!$C$20/1000000000*IF(ISBLANK(Design!$B$31),Design!$B$30/4,Design!$B$31/4)*1000000) * ($B30+AH30-AG30*AS30/1000) - (AH30+AG30*(1+($A30-25)*Constants!$C$32/100)*IF(ISBLANK(Design!$B$41),Constants!$C$6/1000,Design!$B$41/1000)),   (1-Constants!$C$20/1000000000*IF(ISBLANK(Design!$B$31),Design!$B$30,Design!$B$31)*1000000) * ($B30+AH30-AG30*AS30/1000) - (AH30+AG30*(1+($A30-25)*Constants!$C$32/100)*IF(ISBLANK(Design!$B$41),Constants!$C$6/1000,Design!$B$41/1000)) )</f>
        <v>5.8436429584591476</v>
      </c>
      <c r="AU30" s="119">
        <f ca="1">IF(AT30&gt;Design!$C$27,Design!$C$27,AT30)</f>
        <v>4.9936842105263155</v>
      </c>
    </row>
    <row r="31" spans="1:47" s="120" customFormat="1" ht="12.75" customHeight="1" x14ac:dyDescent="0.25">
      <c r="A31" s="112">
        <f>Design!$D$12</f>
        <v>85</v>
      </c>
      <c r="B31" s="113">
        <f t="shared" si="3"/>
        <v>6.1949999999999985</v>
      </c>
      <c r="C31" s="114">
        <f>Design!$D$6</f>
        <v>3</v>
      </c>
      <c r="D31" s="114">
        <f ca="1">FORECAST(C31, OFFSET(Design!$C$14:$C$16,MATCH(C31,Design!$B$14:$B$16,1)-1,0,2), OFFSET(Design!$B$14:$B$16,MATCH(C31,Design!$B$14:$B$16,1)-1,0,2))+(M31-25)*Design!$B$17/1000</f>
        <v>0.42140598636949944</v>
      </c>
      <c r="E31" s="173">
        <f ca="1">IF(100*(Design!$C$27+D31+C31*IF(ISBLANK(Design!$B$41),Constants!$C$6,Design!$B$41)/1000*(1+Constants!$C$32/100*(N31-25)))/($B31+D31-C31*O31/1000)&gt;Design!$C$34,Design!$C$35,100*(Design!$C$27+D31+C31*IF(ISBLANK(Design!$B$41),Constants!$C$6,Design!$B$41)/1000*(1+Constants!$C$32/100*(N31-25)))/($B31+D31-C31*O31/1000))</f>
        <v>95.012500000000003</v>
      </c>
      <c r="F31" s="115">
        <f ca="1">IF(($B31-C31*IF(ISBLANK(Design!$B$41),Constants!$C$6,Design!$B$41)/1000*(1+Constants!$C$32/100*(N31-25))-Design!$C$27)/(IF(ISBLANK(Design!$B$40),Design!$B$38,Design!$B$40)/1000000)*E31/100/(IF(ISBLANK(Design!$B$31),Design!$B$30,Design!$B$31)*1000000)&lt;0, 0, ($B31-C31*IF(ISBLANK(Design!$B$41),Constants!$C$6,Design!$B$41)/1000*(1+Constants!$C$32/100*(N31-25))-Design!$C$27)/(IF(ISBLANK(Design!$B$40),Design!$B$38,Design!$B$40)/1000000)*E31/100/(IF(ISBLANK(Design!$B$31),Design!$B$30,Design!$B$31)*1000000))</f>
        <v>0.13499853307232607</v>
      </c>
      <c r="G31" s="165">
        <f>B31*Constants!$C$21/1000+IF(ISBLANK(Design!$B$31),Design!$B$30,Design!$B$31)*1000000*Constants!$D$25/1000000000*(B31-Constants!$C$24)</f>
        <v>2.8034999999999984E-2</v>
      </c>
      <c r="H31" s="165">
        <f>B31*C31*(B31/(Constants!$C$26*1000000000)*IF(ISBLANK(Design!$B$31),Design!$B$30,Design!$B$31)*1000000/2+B31/(Constants!$C$27*1000000000)*IF(ISBLANK(Design!$B$31),Design!$B$30,Design!$B$31)*1000000/2)</f>
        <v>0.33580771874999987</v>
      </c>
      <c r="I31" s="165">
        <f t="shared" ca="1" si="0"/>
        <v>2.1222557141811218</v>
      </c>
      <c r="J31" s="165">
        <f>Constants!$D$25/1000000000*Constants!$C$24*IF(ISBLANK(Design!$B$31),Design!$B$30,Design!$B$31)*1000000</f>
        <v>5.2499999999999998E-2</v>
      </c>
      <c r="K31" s="165">
        <f t="shared" ca="1" si="4"/>
        <v>2.538598432931122</v>
      </c>
      <c r="L31" s="165">
        <f t="shared" ca="1" si="5"/>
        <v>6.3052870710536363E-2</v>
      </c>
      <c r="M31" s="166">
        <f ca="1">A31+L31*Design!$B$18</f>
        <v>88.594013630500569</v>
      </c>
      <c r="N31" s="166">
        <f ca="1">K31*Design!$C$11+A31</f>
        <v>178.92814201845152</v>
      </c>
      <c r="O31" s="166">
        <f ca="1">Constants!$D$22+Constants!$D$22*Constants!$C$23/100*(N31-25)</f>
        <v>248.14251361476124</v>
      </c>
      <c r="P31" s="165">
        <f ca="1">IF(100*(Design!$C$27+D31+C31*IF(ISBLANK(Design!$B$41),Constants!$C$6,Design!$B$41)/1000*(1+Constants!$C$32/100*(N31-25)))/($B31+D31-C31*O31/1000)&gt;Design!$C$34,  (1-Constants!$C$20/1000000000*IF(ISBLANK(Design!$B$31),Design!$B$30/4,Design!$B$31/4)*1000000) * ($B31+D31-C31*O31/1000) - (D31+C31*(1+($A31-25)*Constants!$C$32/100)*IF(ISBLANK(Design!$B$41),Constants!$C$6/1000,Design!$B$41/1000)),   (1-Constants!$C$20/1000000000*IF(ISBLANK(Design!$B$31),Design!$B$30,Design!$B$31)*1000000) * ($B31+D31-C31*O31/1000) - (D31+C31*(1+($A31-25)*Constants!$C$32/100)*IF(ISBLANK(Design!$B$41),Constants!$C$6/1000,Design!$B$41/1000)) )</f>
        <v>4.9908745341851448</v>
      </c>
      <c r="Q31" s="171">
        <f ca="1">IF(P31&gt;Design!$C$27,Design!$C$27,P31)</f>
        <v>4.9908745341851448</v>
      </c>
      <c r="R31" s="181">
        <f>2*Design!$D$6/3</f>
        <v>2</v>
      </c>
      <c r="S31" s="116">
        <f ca="1">FORECAST(R31, OFFSET(Design!$C$14:$C$16,MATCH(R31,Design!$B$14:$B$16,1)-1,0,2), OFFSET(Design!$B$14:$B$16,MATCH(R31,Design!$B$14:$B$16,1)-1,0,2))+(AB31-25)*Design!$B$17/1000</f>
        <v>0.3977385579938863</v>
      </c>
      <c r="T31" s="182">
        <f ca="1">IF(100*(Design!$C$27+S31+R31*IF(ISBLANK(Design!$B$41),Constants!$C$6,Design!$B$41)/1000*(1+Constants!$C$32/100*(AC31-25)))/($B31+S31-R31*AD31/1000)&gt;Design!$C$34,Design!$C$35,100*(Design!$C$27+S31+R31*IF(ISBLANK(Design!$B$41),Constants!$C$6,Design!$B$41)/1000*(1+Constants!$C$32/100*(AC31-25)))/($B31+S31-R31*AD31/1000))</f>
        <v>95.012500000000003</v>
      </c>
      <c r="U31" s="117">
        <f ca="1">IF(($B31-R31*IF(ISBLANK(Design!$B$41),Constants!$C$6,Design!$B$41)/1000*(1+Constants!$C$32/100*(AC31-25))-Design!$C$27)/(Design!$B$40/1000000)*T31/100/(IF(ISBLANK(IF(ISBLANK(Design!$B$40),Design!$B$38,Design!$B$40)),Design!$B$30,Design!$B$31)*1000000)&lt;0,0,($B31-R31*IF(ISBLANK(Design!$B$41),Constants!$C$6,Design!$B$41)/1000*(1+Constants!$C$32/100*(AC31-25))-Design!$C$27)/(IF(ISBLANK(Design!$B$40),Design!$B$38,Design!$B$40)/1000000)*T31/100/(IF(ISBLANK(Design!$B$31),Design!$B$30,Design!$B$31)*1000000))</f>
        <v>0.14750995997827798</v>
      </c>
      <c r="V31" s="183">
        <f>$B31*Constants!$C$21/1000+IF(ISBLANK(Design!$B$31),Design!$B$30,Design!$B$31)*1000000*Constants!$D$25/1000000000*($B31-Constants!$C$24)</f>
        <v>2.8034999999999984E-2</v>
      </c>
      <c r="W31" s="183">
        <f>$B31*R31*($B31/(Constants!$C$26*1000000000)*IF(ISBLANK(Design!$B$31),Design!$B$30,Design!$B$31)*1000000/2+$B31/(Constants!$C$27*1000000000)*IF(ISBLANK(Design!$B$31),Design!$B$30,Design!$B$31)*1000000/2)</f>
        <v>0.22387181249999993</v>
      </c>
      <c r="X31" s="183">
        <f t="shared" ca="1" si="1"/>
        <v>0.77980841495600028</v>
      </c>
      <c r="Y31" s="183">
        <f>Constants!$D$25/1000000000*Constants!$C$24*IF(ISBLANK(Design!$B$31),Design!$B$30,Design!$B$31)*1000000</f>
        <v>5.2499999999999998E-2</v>
      </c>
      <c r="Z31" s="183">
        <f t="shared" ca="1" si="10"/>
        <v>1.0842152274560002</v>
      </c>
      <c r="AA31" s="183">
        <f t="shared" ca="1" si="7"/>
        <v>3.9674421159890158E-2</v>
      </c>
      <c r="AB31" s="184">
        <f ca="1">$A31+AA31*Design!$B$18</f>
        <v>87.261442006113739</v>
      </c>
      <c r="AC31" s="184">
        <f ca="1">Z31*Design!$C$11+$A31</f>
        <v>125.11596341587202</v>
      </c>
      <c r="AD31" s="184">
        <f ca="1">Constants!$D$22+Constants!$D$22*Constants!$C$23/100*(AC31-25)</f>
        <v>205.0927707326976</v>
      </c>
      <c r="AE31" s="183">
        <f ca="1">IF(100*(Design!$C$27+S31+R31*IF(ISBLANK(Design!$B$41),Constants!$C$6,Design!$B$41)/1000*(1+Constants!$C$32/100*(AC31-25)))/($B31+S31-R31*AD31/1000)&gt;Design!$C$34,  (1-Constants!$C$20/1000000000*IF(ISBLANK(Design!$B$31),Design!$B$30/4,Design!$B$31/4)*1000000) * ($B31+S31-R31*AD31/1000) - (S31+R31*(1+($A31-25)*Constants!$C$32/100)*IF(ISBLANK(Design!$B$41),Constants!$C$6/1000,Design!$B$41/1000)),   (1-Constants!$C$20/1000000000*IF(ISBLANK(Design!$B$31),Design!$B$30,Design!$B$31)*1000000) * ($B31+S31-R31*AD31/1000) - (S31+R31*(1+($A31-25)*Constants!$C$32/100)*IF(ISBLANK(Design!$B$41),Constants!$C$6/1000,Design!$B$41/1000)) )</f>
        <v>5.3652376268352437</v>
      </c>
      <c r="AF31" s="117">
        <f ca="1">IF(AE31&gt;Design!$C$27,Design!$C$27,AE31)</f>
        <v>4.9936842105263155</v>
      </c>
      <c r="AG31" s="118">
        <f>Design!$D$6/3</f>
        <v>1</v>
      </c>
      <c r="AH31" s="118">
        <f ca="1">FORECAST(AG31, OFFSET(Design!$C$14:$C$16,MATCH(AG31,Design!$B$14:$B$16,1)-1,0,2), OFFSET(Design!$B$14:$B$16,MATCH(AG31,Design!$B$14:$B$16,1)-1,0,2))+(AQ31-25)*Design!$B$17/1000</f>
        <v>0.32130878151995867</v>
      </c>
      <c r="AI31" s="194">
        <f ca="1">IF(100*(Design!$C$27+AH31+AG31*IF(ISBLANK(Design!$B$41),Constants!$C$6,Design!$B$41)/1000*(1+Constants!$C$32/100*(AR31-25)))/($B31+AH31-AG31*AS31/1000)&gt;Design!$C$34,Design!$C$35,100*(Design!$C$27+AH31+AG31*IF(ISBLANK(Design!$B$41),Constants!$C$6,Design!$B$41)/1000*(1+Constants!$C$32/100*(AR31-25)))/($B31+AH31-AG31*AS31/1000))</f>
        <v>95.012500000000003</v>
      </c>
      <c r="AJ31" s="119">
        <f ca="1">IF(($B31-AG31*IF(ISBLANK(Design!$B$41),Constants!$C$6,Design!$B$41)/1000*(1+Constants!$C$32/100*(AR31-25))-Design!$C$27)/(IF(ISBLANK(Design!$B$40),Design!$B$38,Design!$B$40)/1000000)*AI31/100/(IF(ISBLANK(Design!$B$31),Design!$B$30,Design!$B$31)*1000000)&lt;0,0,($B31-AG31*IF(ISBLANK(Design!$B$41),Constants!$C$6,Design!$B$41)/1000*(1+Constants!$C$32/100*(AR31-25))-Design!$C$27)/(IF(ISBLANK(Design!$B$40),Design!$B$38,Design!$B$40)/1000000)*AI31/100/(IF(ISBLANK(Design!$B$31),Design!$B$30,Design!$B$31)*1000000))</f>
        <v>0.15675003637282606</v>
      </c>
      <c r="AK31" s="195">
        <f>$B31*Constants!$C$21/1000+IF(ISBLANK(Design!$B$31),Design!$B$30,Design!$B$31)*1000000*Constants!$D$25/1000000000*($B31-Constants!$C$24)</f>
        <v>2.8034999999999984E-2</v>
      </c>
      <c r="AL31" s="195">
        <f>$B31*AG31*($B31/(Constants!$C$26*1000000000)*IF(ISBLANK(Design!$B$31),Design!$B$30,Design!$B$31)*1000000/2+$B31/(Constants!$C$27*1000000000)*IF(ISBLANK(Design!$B$31),Design!$B$30,Design!$B$31)*1000000/2)</f>
        <v>0.11193590624999997</v>
      </c>
      <c r="AM31" s="195">
        <f t="shared" ca="1" si="2"/>
        <v>0.17506584145908274</v>
      </c>
      <c r="AN31" s="195">
        <f>Constants!$D$25/1000000000*Constants!$C$24*IF(ISBLANK(Design!$B$31),Design!$B$30,Design!$B$31)*1000000</f>
        <v>5.2499999999999998E-2</v>
      </c>
      <c r="AO31" s="195">
        <f t="shared" ca="1" si="11"/>
        <v>0.36753674770908268</v>
      </c>
      <c r="AP31" s="195">
        <f t="shared" ca="1" si="9"/>
        <v>1.602527547830794E-2</v>
      </c>
      <c r="AQ31" s="196">
        <f ca="1">$A31+AP31*Design!$B$18</f>
        <v>85.913440702263557</v>
      </c>
      <c r="AR31" s="196">
        <f ca="1">AO31*Design!$C$11+$A31</f>
        <v>98.598859665236063</v>
      </c>
      <c r="AS31" s="196">
        <f ca="1">Constants!$D$22+Constants!$D$22*Constants!$C$23/100*(AR31-25)</f>
        <v>183.87908773218885</v>
      </c>
      <c r="AT31" s="195">
        <f ca="1">IF(100*(Design!$C$27+AH31+AG31*IF(ISBLANK(Design!$B$41),Constants!$C$6,Design!$B$41)/1000*(1+Constants!$C$32/100*(AR31-25)))/($B31+AH31-AG31*AS31/1000)&gt;Design!$C$34,  (1-Constants!$C$20/1000000000*IF(ISBLANK(Design!$B$31),Design!$B$30/4,Design!$B$31/4)*1000000) * ($B31+AH31-AG31*AS31/1000) - (AH31+AG31*(1+($A31-25)*Constants!$C$32/100)*IF(ISBLANK(Design!$B$41),Constants!$C$6/1000,Design!$B$41/1000)),   (1-Constants!$C$20/1000000000*IF(ISBLANK(Design!$B$31),Design!$B$30,Design!$B$31)*1000000) * ($B31+AH31-AG31*AS31/1000) - (AH31+AG31*(1+($A31-25)*Constants!$C$32/100)*IF(ISBLANK(Design!$B$41),Constants!$C$6/1000,Design!$B$41/1000)) )</f>
        <v>5.6396799812901444</v>
      </c>
      <c r="AU31" s="119">
        <f ca="1">IF(AT31&gt;Design!$C$27,Design!$C$27,AT31)</f>
        <v>4.9936842105263155</v>
      </c>
    </row>
    <row r="32" spans="1:47" s="120" customFormat="1" ht="12.75" customHeight="1" x14ac:dyDescent="0.25">
      <c r="A32" s="112">
        <f>Design!$D$12</f>
        <v>85</v>
      </c>
      <c r="B32" s="113">
        <f t="shared" si="3"/>
        <v>5.9799999999999986</v>
      </c>
      <c r="C32" s="114">
        <f>Design!$D$6</f>
        <v>3</v>
      </c>
      <c r="D32" s="114">
        <f ca="1">FORECAST(C32, OFFSET(Design!$C$14:$C$16,MATCH(C32,Design!$B$14:$B$16,1)-1,0,2), OFFSET(Design!$B$14:$B$16,MATCH(C32,Design!$B$14:$B$16,1)-1,0,2))+(M32-25)*Design!$B$17/1000</f>
        <v>0.42140598636949944</v>
      </c>
      <c r="E32" s="173">
        <f ca="1">IF(100*(Design!$C$27+D32+C32*IF(ISBLANK(Design!$B$41),Constants!$C$6,Design!$B$41)/1000*(1+Constants!$C$32/100*(N32-25)))/($B32+D32-C32*O32/1000)&gt;Design!$C$34,Design!$C$35,100*(Design!$C$27+D32+C32*IF(ISBLANK(Design!$B$41),Constants!$C$6,Design!$B$41)/1000*(1+Constants!$C$32/100*(N32-25)))/($B32+D32-C32*O32/1000))</f>
        <v>95.012500000000003</v>
      </c>
      <c r="F32" s="115">
        <f ca="1">IF(($B32-C32*IF(ISBLANK(Design!$B$41),Constants!$C$6,Design!$B$41)/1000*(1+Constants!$C$32/100*(N32-25))-Design!$C$27)/(IF(ISBLANK(Design!$B$40),Design!$B$38,Design!$B$40)/1000000)*E32/100/(IF(ISBLANK(Design!$B$31),Design!$B$30,Design!$B$31)*1000000)&lt;0, 0, ($B32-C32*IF(ISBLANK(Design!$B$41),Constants!$C$6,Design!$B$41)/1000*(1+Constants!$C$32/100*(N32-25))-Design!$C$27)/(IF(ISBLANK(Design!$B$40),Design!$B$38,Design!$B$40)/1000000)*E32/100/(IF(ISBLANK(Design!$B$31),Design!$B$30,Design!$B$31)*1000000))</f>
        <v>0.10561446069362024</v>
      </c>
      <c r="G32" s="165">
        <f>B32*Constants!$C$21/1000+IF(ISBLANK(Design!$B$31),Design!$B$30,Design!$B$31)*1000000*Constants!$D$25/1000000000*(B32-Constants!$C$24)</f>
        <v>2.5239999999999985E-2</v>
      </c>
      <c r="H32" s="165">
        <f>B32*C32*(B32/(Constants!$C$26*1000000000)*IF(ISBLANK(Design!$B$31),Design!$B$30,Design!$B$31)*1000000/2+B32/(Constants!$C$27*1000000000)*IF(ISBLANK(Design!$B$31),Design!$B$30,Design!$B$31)*1000000/2)</f>
        <v>0.31290349999999983</v>
      </c>
      <c r="I32" s="165">
        <f t="shared" ca="1" si="0"/>
        <v>2.113359280630998</v>
      </c>
      <c r="J32" s="165">
        <f>Constants!$D$25/1000000000*Constants!$C$24*IF(ISBLANK(Design!$B$31),Design!$B$30,Design!$B$31)*1000000</f>
        <v>5.2499999999999998E-2</v>
      </c>
      <c r="K32" s="165">
        <f t="shared" ca="1" si="4"/>
        <v>2.5040027806309979</v>
      </c>
      <c r="L32" s="165">
        <f t="shared" ca="1" si="5"/>
        <v>6.3052870710536363E-2</v>
      </c>
      <c r="M32" s="166">
        <f ca="1">A32+L32*Design!$B$18</f>
        <v>88.594013630500569</v>
      </c>
      <c r="N32" s="166">
        <f ca="1">K32*Design!$C$11+A32</f>
        <v>177.64810288334692</v>
      </c>
      <c r="O32" s="166">
        <f ca="1">Constants!$D$22+Constants!$D$22*Constants!$C$23/100*(N32-25)</f>
        <v>247.11848230667755</v>
      </c>
      <c r="P32" s="165">
        <f ca="1">IF(100*(Design!$C$27+D32+C32*IF(ISBLANK(Design!$B$41),Constants!$C$6,Design!$B$41)/1000*(1+Constants!$C$32/100*(N32-25)))/($B32+D32-C32*O32/1000)&gt;Design!$C$34,  (1-Constants!$C$20/1000000000*IF(ISBLANK(Design!$B$31),Design!$B$30/4,Design!$B$31/4)*1000000) * ($B32+D32-C32*O32/1000) - (D32+C32*(1+($A32-25)*Constants!$C$32/100)*IF(ISBLANK(Design!$B$41),Constants!$C$6/1000,Design!$B$41/1000)),   (1-Constants!$C$20/1000000000*IF(ISBLANK(Design!$B$31),Design!$B$30,Design!$B$31)*1000000) * ($B32+D32-C32*O32/1000) - (D32+C32*(1+($A32-25)*Constants!$C$32/100)*IF(ISBLANK(Design!$B$41),Constants!$C$6/1000,Design!$B$41/1000)) )</f>
        <v>4.7895165324249236</v>
      </c>
      <c r="Q32" s="171">
        <f ca="1">IF(P32&gt;Design!$C$27,Design!$C$27,P32)</f>
        <v>4.7895165324249236</v>
      </c>
      <c r="R32" s="181">
        <f>2*Design!$D$6/3</f>
        <v>2</v>
      </c>
      <c r="S32" s="116">
        <f ca="1">FORECAST(R32, OFFSET(Design!$C$14:$C$16,MATCH(R32,Design!$B$14:$B$16,1)-1,0,2), OFFSET(Design!$B$14:$B$16,MATCH(R32,Design!$B$14:$B$16,1)-1,0,2))+(AB32-25)*Design!$B$17/1000</f>
        <v>0.3977385579938863</v>
      </c>
      <c r="T32" s="182">
        <f ca="1">IF(100*(Design!$C$27+S32+R32*IF(ISBLANK(Design!$B$41),Constants!$C$6,Design!$B$41)/1000*(1+Constants!$C$32/100*(AC32-25)))/($B32+S32-R32*AD32/1000)&gt;Design!$C$34,Design!$C$35,100*(Design!$C$27+S32+R32*IF(ISBLANK(Design!$B$41),Constants!$C$6,Design!$B$41)/1000*(1+Constants!$C$32/100*(AC32-25)))/($B32+S32-R32*AD32/1000))</f>
        <v>95.012500000000003</v>
      </c>
      <c r="U32" s="117">
        <f ca="1">IF(($B32-R32*IF(ISBLANK(Design!$B$41),Constants!$C$6,Design!$B$41)/1000*(1+Constants!$C$32/100*(AC32-25))-Design!$C$27)/(Design!$B$40/1000000)*T32/100/(IF(ISBLANK(IF(ISBLANK(Design!$B$40),Design!$B$38,Design!$B$40)),Design!$B$30,Design!$B$31)*1000000)&lt;0,0,($B32-R32*IF(ISBLANK(Design!$B$41),Constants!$C$6,Design!$B$41)/1000*(1+Constants!$C$32/100*(AC32-25))-Design!$C$27)/(IF(ISBLANK(Design!$B$40),Design!$B$38,Design!$B$40)/1000000)*T32/100/(IF(ISBLANK(Design!$B$31),Design!$B$30,Design!$B$31)*1000000))</f>
        <v>0.11806955615628394</v>
      </c>
      <c r="V32" s="183">
        <f>$B32*Constants!$C$21/1000+IF(ISBLANK(Design!$B$31),Design!$B$30,Design!$B$31)*1000000*Constants!$D$25/1000000000*($B32-Constants!$C$24)</f>
        <v>2.5239999999999985E-2</v>
      </c>
      <c r="W32" s="183">
        <f>$B32*R32*($B32/(Constants!$C$26*1000000000)*IF(ISBLANK(Design!$B$31),Design!$B$30,Design!$B$31)*1000000/2+$B32/(Constants!$C$27*1000000000)*IF(ISBLANK(Design!$B$31),Design!$B$30,Design!$B$31)*1000000/2)</f>
        <v>0.20860233333333322</v>
      </c>
      <c r="X32" s="183">
        <f t="shared" ca="1" si="1"/>
        <v>0.77737485638142745</v>
      </c>
      <c r="Y32" s="183">
        <f>Constants!$D$25/1000000000*Constants!$C$24*IF(ISBLANK(Design!$B$31),Design!$B$30,Design!$B$31)*1000000</f>
        <v>5.2499999999999998E-2</v>
      </c>
      <c r="Z32" s="183">
        <f t="shared" ca="1" si="10"/>
        <v>1.0637171897147606</v>
      </c>
      <c r="AA32" s="183">
        <f t="shared" ca="1" si="7"/>
        <v>3.9674421159890158E-2</v>
      </c>
      <c r="AB32" s="184">
        <f ca="1">$A32+AA32*Design!$B$18</f>
        <v>87.261442006113739</v>
      </c>
      <c r="AC32" s="184">
        <f ca="1">Z32*Design!$C$11+$A32</f>
        <v>124.35753601944614</v>
      </c>
      <c r="AD32" s="184">
        <f ca="1">Constants!$D$22+Constants!$D$22*Constants!$C$23/100*(AC32-25)</f>
        <v>204.48602881555692</v>
      </c>
      <c r="AE32" s="183">
        <f ca="1">IF(100*(Design!$C$27+S32+R32*IF(ISBLANK(Design!$B$41),Constants!$C$6,Design!$B$41)/1000*(1+Constants!$C$32/100*(AC32-25)))/($B32+S32-R32*AD32/1000)&gt;Design!$C$34,  (1-Constants!$C$20/1000000000*IF(ISBLANK(Design!$B$31),Design!$B$30/4,Design!$B$31/4)*1000000) * ($B32+S32-R32*AD32/1000) - (S32+R32*(1+($A32-25)*Constants!$C$32/100)*IF(ISBLANK(Design!$B$41),Constants!$C$6/1000,Design!$B$41/1000)),   (1-Constants!$C$20/1000000000*IF(ISBLANK(Design!$B$31),Design!$B$30,Design!$B$31)*1000000) * ($B32+S32-R32*AD32/1000) - (S32+R32*(1+($A32-25)*Constants!$C$32/100)*IF(ISBLANK(Design!$B$41),Constants!$C$6/1000,Design!$B$41/1000)) )</f>
        <v>5.1621137131632917</v>
      </c>
      <c r="AF32" s="117">
        <f ca="1">IF(AE32&gt;Design!$C$27,Design!$C$27,AE32)</f>
        <v>4.9936842105263155</v>
      </c>
      <c r="AG32" s="118">
        <f>Design!$D$6/3</f>
        <v>1</v>
      </c>
      <c r="AH32" s="118">
        <f ca="1">FORECAST(AG32, OFFSET(Design!$C$14:$C$16,MATCH(AG32,Design!$B$14:$B$16,1)-1,0,2), OFFSET(Design!$B$14:$B$16,MATCH(AG32,Design!$B$14:$B$16,1)-1,0,2))+(AQ32-25)*Design!$B$17/1000</f>
        <v>0.32130878151995867</v>
      </c>
      <c r="AI32" s="194">
        <f ca="1">IF(100*(Design!$C$27+AH32+AG32*IF(ISBLANK(Design!$B$41),Constants!$C$6,Design!$B$41)/1000*(1+Constants!$C$32/100*(AR32-25)))/($B32+AH32-AG32*AS32/1000)&gt;Design!$C$34,Design!$C$35,100*(Design!$C$27+AH32+AG32*IF(ISBLANK(Design!$B$41),Constants!$C$6,Design!$B$41)/1000*(1+Constants!$C$32/100*(AR32-25)))/($B32+AH32-AG32*AS32/1000))</f>
        <v>95.012500000000003</v>
      </c>
      <c r="AJ32" s="119">
        <f ca="1">IF(($B32-AG32*IF(ISBLANK(Design!$B$41),Constants!$C$6,Design!$B$41)/1000*(1+Constants!$C$32/100*(AR32-25))-Design!$C$27)/(IF(ISBLANK(Design!$B$40),Design!$B$38,Design!$B$40)/1000000)*AI32/100/(IF(ISBLANK(Design!$B$31),Design!$B$30,Design!$B$31)*1000000)&lt;0,0,($B32-AG32*IF(ISBLANK(Design!$B$41),Constants!$C$6,Design!$B$41)/1000*(1+Constants!$C$32/100*(AR32-25))-Design!$C$27)/(IF(ISBLANK(Design!$B$40),Design!$B$38,Design!$B$40)/1000000)*AI32/100/(IF(ISBLANK(Design!$B$31),Design!$B$30,Design!$B$31)*1000000))</f>
        <v>0.12728259426834015</v>
      </c>
      <c r="AK32" s="195">
        <f>$B32*Constants!$C$21/1000+IF(ISBLANK(Design!$B$31),Design!$B$30,Design!$B$31)*1000000*Constants!$D$25/1000000000*($B32-Constants!$C$24)</f>
        <v>2.5239999999999985E-2</v>
      </c>
      <c r="AL32" s="195">
        <f>$B32*AG32*($B32/(Constants!$C$26*1000000000)*IF(ISBLANK(Design!$B$31),Design!$B$30,Design!$B$31)*1000000/2+$B32/(Constants!$C$27*1000000000)*IF(ISBLANK(Design!$B$31),Design!$B$30,Design!$B$31)*1000000/2)</f>
        <v>0.10430116666666661</v>
      </c>
      <c r="AM32" s="195">
        <f t="shared" ca="1" si="2"/>
        <v>0.17463822543970703</v>
      </c>
      <c r="AN32" s="195">
        <f>Constants!$D$25/1000000000*Constants!$C$24*IF(ISBLANK(Design!$B$31),Design!$B$30,Design!$B$31)*1000000</f>
        <v>5.2499999999999998E-2</v>
      </c>
      <c r="AO32" s="195">
        <f t="shared" ca="1" si="11"/>
        <v>0.35667939210637362</v>
      </c>
      <c r="AP32" s="195">
        <f t="shared" ca="1" si="9"/>
        <v>1.602527547830794E-2</v>
      </c>
      <c r="AQ32" s="196">
        <f ca="1">$A32+AP32*Design!$B$18</f>
        <v>85.913440702263557</v>
      </c>
      <c r="AR32" s="196">
        <f ca="1">AO32*Design!$C$11+$A32</f>
        <v>98.197137507935821</v>
      </c>
      <c r="AS32" s="196">
        <f ca="1">Constants!$D$22+Constants!$D$22*Constants!$C$23/100*(AR32-25)</f>
        <v>183.55771000634866</v>
      </c>
      <c r="AT32" s="195">
        <f ca="1">IF(100*(Design!$C$27+AH32+AG32*IF(ISBLANK(Design!$B$41),Constants!$C$6,Design!$B$41)/1000*(1+Constants!$C$32/100*(AR32-25)))/($B32+AH32-AG32*AS32/1000)&gt;Design!$C$34,  (1-Constants!$C$20/1000000000*IF(ISBLANK(Design!$B$31),Design!$B$30/4,Design!$B$31/4)*1000000) * ($B32+AH32-AG32*AS32/1000) - (AH32+AG32*(1+($A32-25)*Constants!$C$32/100)*IF(ISBLANK(Design!$B$41),Constants!$C$6/1000,Design!$B$41/1000)),   (1-Constants!$C$20/1000000000*IF(ISBLANK(Design!$B$31),Design!$B$30,Design!$B$31)*1000000) * ($B32+AH32-AG32*AS32/1000) - (AH32+AG32*(1+($A32-25)*Constants!$C$32/100)*IF(ISBLANK(Design!$B$41),Constants!$C$6/1000,Design!$B$41/1000)) )</f>
        <v>5.4357084553019082</v>
      </c>
      <c r="AU32" s="119">
        <f ca="1">IF(AT32&gt;Design!$C$27,Design!$C$27,AT32)</f>
        <v>4.9936842105263155</v>
      </c>
    </row>
    <row r="33" spans="1:47" s="120" customFormat="1" ht="12.75" customHeight="1" x14ac:dyDescent="0.25">
      <c r="A33" s="112">
        <f>Design!$D$12</f>
        <v>85</v>
      </c>
      <c r="B33" s="113">
        <f>$B34+$AU$88</f>
        <v>5.7649999999999988</v>
      </c>
      <c r="C33" s="114">
        <f>Design!$D$6</f>
        <v>3</v>
      </c>
      <c r="D33" s="114">
        <f ca="1">FORECAST(C33, OFFSET(Design!$C$14:$C$16,MATCH(C33,Design!$B$14:$B$16,1)-1,0,2), OFFSET(Design!$B$14:$B$16,MATCH(C33,Design!$B$14:$B$16,1)-1,0,2))+(M33-25)*Design!$B$17/1000</f>
        <v>0.42140598636949944</v>
      </c>
      <c r="E33" s="173">
        <f ca="1">IF(100*(Design!$C$27+D33+C33*IF(ISBLANK(Design!$B$41),Constants!$C$6,Design!$B$41)/1000*(1+Constants!$C$32/100*(N33-25)))/($B33+D33-C33*O33/1000)&gt;Design!$C$34,Design!$C$35,100*(Design!$C$27+D33+C33*IF(ISBLANK(Design!$B$41),Constants!$C$6,Design!$B$41)/1000*(1+Constants!$C$32/100*(N33-25)))/($B33+D33-C33*O33/1000))</f>
        <v>95.012500000000003</v>
      </c>
      <c r="F33" s="115">
        <f ca="1">IF(($B33-C33*IF(ISBLANK(Design!$B$41),Constants!$C$6,Design!$B$41)/1000*(1+Constants!$C$32/100*(N33-25))-Design!$C$27)/(IF(ISBLANK(Design!$B$40),Design!$B$38,Design!$B$40)/1000000)*E33/100/(IF(ISBLANK(Design!$B$31),Design!$B$30,Design!$B$31)*1000000)&lt;0, 0, ($B33-C33*IF(ISBLANK(Design!$B$41),Constants!$C$6,Design!$B$41)/1000*(1+Constants!$C$32/100*(N33-25))-Design!$C$27)/(IF(ISBLANK(Design!$B$40),Design!$B$38,Design!$B$40)/1000000)*E33/100/(IF(ISBLANK(Design!$B$31),Design!$B$30,Design!$B$31)*1000000))</f>
        <v>7.6227347930765729E-2</v>
      </c>
      <c r="G33" s="165">
        <f>B33*Constants!$C$21/1000+IF(ISBLANK(Design!$B$31),Design!$B$30,Design!$B$31)*1000000*Constants!$D$25/1000000000*(B33-Constants!$C$24)</f>
        <v>2.2444999999999986E-2</v>
      </c>
      <c r="H33" s="165">
        <f>B33*C33*(B33/(Constants!$C$26*1000000000)*IF(ISBLANK(Design!$B$31),Design!$B$30,Design!$B$31)*1000000/2+B33/(Constants!$C$27*1000000000)*IF(ISBLANK(Design!$B$31),Design!$B$30,Design!$B$31)*1000000/2)</f>
        <v>0.29080821874999985</v>
      </c>
      <c r="I33" s="165">
        <f t="shared" ca="1" si="0"/>
        <v>2.104783582988873</v>
      </c>
      <c r="J33" s="165">
        <f>Constants!$D$25/1000000000*Constants!$C$24*IF(ISBLANK(Design!$B$31),Design!$B$30,Design!$B$31)*1000000</f>
        <v>5.2499999999999998E-2</v>
      </c>
      <c r="K33" s="165">
        <f t="shared" ca="1" si="4"/>
        <v>2.4705368017388731</v>
      </c>
      <c r="L33" s="165">
        <f t="shared" ca="1" si="5"/>
        <v>6.3052870710536363E-2</v>
      </c>
      <c r="M33" s="166">
        <f ca="1">A33+L33*Design!$B$18</f>
        <v>88.594013630500569</v>
      </c>
      <c r="N33" s="166">
        <f ca="1">K33*Design!$C$11+A33</f>
        <v>176.40986166433831</v>
      </c>
      <c r="O33" s="166">
        <f ca="1">Constants!$D$22+Constants!$D$22*Constants!$C$23/100*(N33-25)</f>
        <v>246.12788933147067</v>
      </c>
      <c r="P33" s="165">
        <f ca="1">IF(100*(Design!$C$27+D33+C33*IF(ISBLANK(Design!$B$41),Constants!$C$6,Design!$B$41)/1000*(1+Constants!$C$32/100*(N33-25)))/($B33+D33-C33*O33/1000)&gt;Design!$C$34,  (1-Constants!$C$20/1000000000*IF(ISBLANK(Design!$B$31),Design!$B$30/4,Design!$B$31/4)*1000000) * ($B33+D33-C33*O33/1000) - (D33+C33*(1+($A33-25)*Constants!$C$32/100)*IF(ISBLANK(Design!$B$41),Constants!$C$6/1000,Design!$B$41/1000)),   (1-Constants!$C$20/1000000000*IF(ISBLANK(Design!$B$31),Design!$B$30,Design!$B$31)*1000000) * ($B33+D33-C33*O33/1000) - (D33+C33*(1+($A33-25)*Constants!$C$32/100)*IF(ISBLANK(Design!$B$41),Constants!$C$6/1000,Design!$B$41/1000)) )</f>
        <v>4.5880632188766297</v>
      </c>
      <c r="Q33" s="171">
        <f ca="1">IF(P33&gt;Design!$C$27,Design!$C$27,P33)</f>
        <v>4.5880632188766297</v>
      </c>
      <c r="R33" s="181">
        <f>2*Design!$D$6/3</f>
        <v>2</v>
      </c>
      <c r="S33" s="116">
        <f ca="1">FORECAST(R33, OFFSET(Design!$C$14:$C$16,MATCH(R33,Design!$B$14:$B$16,1)-1,0,2), OFFSET(Design!$B$14:$B$16,MATCH(R33,Design!$B$14:$B$16,1)-1,0,2))+(AB33-25)*Design!$B$17/1000</f>
        <v>0.3977385579938863</v>
      </c>
      <c r="T33" s="182">
        <f ca="1">IF(100*(Design!$C$27+S33+R33*IF(ISBLANK(Design!$B$41),Constants!$C$6,Design!$B$41)/1000*(1+Constants!$C$32/100*(AC33-25)))/($B33+S33-R33*AD33/1000)&gt;Design!$C$34,Design!$C$35,100*(Design!$C$27+S33+R33*IF(ISBLANK(Design!$B$41),Constants!$C$6,Design!$B$41)/1000*(1+Constants!$C$32/100*(AC33-25)))/($B33+S33-R33*AD33/1000))</f>
        <v>95.012500000000003</v>
      </c>
      <c r="U33" s="117">
        <f ca="1">IF(($B33-R33*IF(ISBLANK(Design!$B$41),Constants!$C$6,Design!$B$41)/1000*(1+Constants!$C$32/100*(AC33-25))-Design!$C$27)/(Design!$B$40/1000000)*T33/100/(IF(ISBLANK(IF(ISBLANK(Design!$B$40),Design!$B$38,Design!$B$40)),Design!$B$30,Design!$B$31)*1000000)&lt;0,0,($B33-R33*IF(ISBLANK(Design!$B$41),Constants!$C$6,Design!$B$41)/1000*(1+Constants!$C$32/100*(AC33-25))-Design!$C$27)/(IF(ISBLANK(Design!$B$40),Design!$B$38,Design!$B$40)/1000000)*T33/100/(IF(ISBLANK(Design!$B$31),Design!$B$30,Design!$B$31)*1000000))</f>
        <v>8.8628003948486994E-2</v>
      </c>
      <c r="V33" s="183">
        <f>$B33*Constants!$C$21/1000+IF(ISBLANK(Design!$B$31),Design!$B$30,Design!$B$31)*1000000*Constants!$D$25/1000000000*($B33-Constants!$C$24)</f>
        <v>2.2444999999999986E-2</v>
      </c>
      <c r="W33" s="183">
        <f>$B33*R33*($B33/(Constants!$C$26*1000000000)*IF(ISBLANK(Design!$B$31),Design!$B$30,Design!$B$31)*1000000/2+$B33/(Constants!$C$27*1000000000)*IF(ISBLANK(Design!$B$31),Design!$B$30,Design!$B$31)*1000000/2)</f>
        <v>0.19387214583333326</v>
      </c>
      <c r="X33" s="183">
        <f t="shared" ca="1" si="1"/>
        <v>0.77504204083987338</v>
      </c>
      <c r="Y33" s="183">
        <f>Constants!$D$25/1000000000*Constants!$C$24*IF(ISBLANK(Design!$B$31),Design!$B$30,Design!$B$31)*1000000</f>
        <v>5.2499999999999998E-2</v>
      </c>
      <c r="Z33" s="183">
        <f t="shared" ca="1" si="10"/>
        <v>1.0438591866732068</v>
      </c>
      <c r="AA33" s="183">
        <f t="shared" ca="1" si="7"/>
        <v>3.9674421159890158E-2</v>
      </c>
      <c r="AB33" s="184">
        <f ca="1">$A33+AA33*Design!$B$18</f>
        <v>87.261442006113739</v>
      </c>
      <c r="AC33" s="184">
        <f ca="1">Z33*Design!$C$11+$A33</f>
        <v>123.62278990690865</v>
      </c>
      <c r="AD33" s="184">
        <f ca="1">Constants!$D$22+Constants!$D$22*Constants!$C$23/100*(AC33-25)</f>
        <v>203.89823192552694</v>
      </c>
      <c r="AE33" s="183">
        <f ca="1">IF(100*(Design!$C$27+S33+R33*IF(ISBLANK(Design!$B$41),Constants!$C$6,Design!$B$41)/1000*(1+Constants!$C$32/100*(AC33-25)))/($B33+S33-R33*AD33/1000)&gt;Design!$C$34,  (1-Constants!$C$20/1000000000*IF(ISBLANK(Design!$B$31),Design!$B$30/4,Design!$B$31/4)*1000000) * ($B33+S33-R33*AD33/1000) - (S33+R33*(1+($A33-25)*Constants!$C$32/100)*IF(ISBLANK(Design!$B$41),Constants!$C$6/1000,Design!$B$41/1000)),   (1-Constants!$C$20/1000000000*IF(ISBLANK(Design!$B$31),Design!$B$30,Design!$B$31)*1000000) * ($B33+S33-R33*AD33/1000) - (S33+R33*(1+($A33-25)*Constants!$C$32/100)*IF(ISBLANK(Design!$B$41),Constants!$C$6/1000,Design!$B$41/1000)) )</f>
        <v>4.9589537992035719</v>
      </c>
      <c r="AF33" s="117">
        <f ca="1">IF(AE33&gt;Design!$C$27,Design!$C$27,AE33)</f>
        <v>4.9589537992035719</v>
      </c>
      <c r="AG33" s="118">
        <f>Design!$D$6/3</f>
        <v>1</v>
      </c>
      <c r="AH33" s="118">
        <f ca="1">FORECAST(AG33, OFFSET(Design!$C$14:$C$16,MATCH(AG33,Design!$B$14:$B$16,1)-1,0,2), OFFSET(Design!$B$14:$B$16,MATCH(AG33,Design!$B$14:$B$16,1)-1,0,2))+(AQ33-25)*Design!$B$17/1000</f>
        <v>0.32130878151995867</v>
      </c>
      <c r="AI33" s="194">
        <f ca="1">IF(100*(Design!$C$27+AH33+AG33*IF(ISBLANK(Design!$B$41),Constants!$C$6,Design!$B$41)/1000*(1+Constants!$C$32/100*(AR33-25)))/($B33+AH33-AG33*AS33/1000)&gt;Design!$C$34,Design!$C$35,100*(Design!$C$27+AH33+AG33*IF(ISBLANK(Design!$B$41),Constants!$C$6,Design!$B$41)/1000*(1+Constants!$C$32/100*(AR33-25)))/($B33+AH33-AG33*AS33/1000))</f>
        <v>95.012500000000003</v>
      </c>
      <c r="AJ33" s="119">
        <f ca="1">IF(($B33-AG33*IF(ISBLANK(Design!$B$41),Constants!$C$6,Design!$B$41)/1000*(1+Constants!$C$32/100*(AR33-25))-Design!$C$27)/(IF(ISBLANK(Design!$B$40),Design!$B$38,Design!$B$40)/1000000)*AI33/100/(IF(ISBLANK(Design!$B$31),Design!$B$30,Design!$B$31)*1000000)&lt;0,0,($B33-AG33*IF(ISBLANK(Design!$B$41),Constants!$C$6,Design!$B$41)/1000*(1+Constants!$C$32/100*(AR33-25))-Design!$C$27)/(IF(ISBLANK(Design!$B$40),Design!$B$38,Design!$B$40)/1000000)*AI33/100/(IF(ISBLANK(Design!$B$31),Design!$B$30,Design!$B$31)*1000000))</f>
        <v>9.7814879600309573E-2</v>
      </c>
      <c r="AK33" s="195">
        <f>$B33*Constants!$C$21/1000+IF(ISBLANK(Design!$B$31),Design!$B$30,Design!$B$31)*1000000*Constants!$D$25/1000000000*($B33-Constants!$C$24)</f>
        <v>2.2444999999999986E-2</v>
      </c>
      <c r="AL33" s="195">
        <f>$B33*AG33*($B33/(Constants!$C$26*1000000000)*IF(ISBLANK(Design!$B$31),Design!$B$30,Design!$B$31)*1000000/2+$B33/(Constants!$C$27*1000000000)*IF(ISBLANK(Design!$B$31),Design!$B$30,Design!$B$31)*1000000/2)</f>
        <v>9.693607291666663E-2</v>
      </c>
      <c r="AM33" s="195">
        <f t="shared" ca="1" si="2"/>
        <v>0.17424478156541115</v>
      </c>
      <c r="AN33" s="195">
        <f>Constants!$D$25/1000000000*Constants!$C$24*IF(ISBLANK(Design!$B$31),Design!$B$30,Design!$B$31)*1000000</f>
        <v>5.2499999999999998E-2</v>
      </c>
      <c r="AO33" s="195">
        <f t="shared" ca="1" si="11"/>
        <v>0.34612585448207778</v>
      </c>
      <c r="AP33" s="195">
        <f t="shared" ca="1" si="9"/>
        <v>1.602527547830794E-2</v>
      </c>
      <c r="AQ33" s="196">
        <f ca="1">$A33+AP33*Design!$B$18</f>
        <v>85.913440702263557</v>
      </c>
      <c r="AR33" s="196">
        <f ca="1">AO33*Design!$C$11+$A33</f>
        <v>97.806656615836886</v>
      </c>
      <c r="AS33" s="196">
        <f ca="1">Constants!$D$22+Constants!$D$22*Constants!$C$23/100*(AR33-25)</f>
        <v>183.24532529266952</v>
      </c>
      <c r="AT33" s="195">
        <f ca="1">IF(100*(Design!$C$27+AH33+AG33*IF(ISBLANK(Design!$B$41),Constants!$C$6,Design!$B$41)/1000*(1+Constants!$C$32/100*(AR33-25)))/($B33+AH33-AG33*AS33/1000)&gt;Design!$C$34,  (1-Constants!$C$20/1000000000*IF(ISBLANK(Design!$B$31),Design!$B$30/4,Design!$B$31/4)*1000000) * ($B33+AH33-AG33*AS33/1000) - (AH33+AG33*(1+($A33-25)*Constants!$C$32/100)*IF(ISBLANK(Design!$B$41),Constants!$C$6/1000,Design!$B$41/1000)),   (1-Constants!$C$20/1000000000*IF(ISBLANK(Design!$B$31),Design!$B$30,Design!$B$31)*1000000) * ($B33+AH33-AG33*AS33/1000) - (AH33+AG33*(1+($A33-25)*Constants!$C$32/100)*IF(ISBLANK(Design!$B$41),Constants!$C$6/1000,Design!$B$41/1000)) )</f>
        <v>5.2317283848279921</v>
      </c>
      <c r="AU33" s="119">
        <f ca="1">IF(AT33&gt;Design!$C$27,Design!$C$27,AT33)</f>
        <v>4.9936842105263155</v>
      </c>
    </row>
    <row r="34" spans="1:47" s="120" customFormat="1" ht="12.75" customHeight="1" x14ac:dyDescent="0.25">
      <c r="A34" s="112">
        <f>Design!$D$12</f>
        <v>85</v>
      </c>
      <c r="B34" s="113">
        <f t="shared" si="3"/>
        <v>5.5499999999999989</v>
      </c>
      <c r="C34" s="114">
        <f>Design!$D$6</f>
        <v>3</v>
      </c>
      <c r="D34" s="114">
        <f ca="1">FORECAST(C34, OFFSET(Design!$C$14:$C$16,MATCH(C34,Design!$B$14:$B$16,1)-1,0,2), OFFSET(Design!$B$14:$B$16,MATCH(C34,Design!$B$14:$B$16,1)-1,0,2))+(M34-25)*Design!$B$17/1000</f>
        <v>0.42140598636949944</v>
      </c>
      <c r="E34" s="173">
        <f ca="1">IF(100*(Design!$C$27+D34+C34*IF(ISBLANK(Design!$B$41),Constants!$C$6,Design!$B$41)/1000*(1+Constants!$C$32/100*(N34-25)))/($B34+D34-C34*O34/1000)&gt;Design!$C$34,Design!$C$35,100*(Design!$C$27+D34+C34*IF(ISBLANK(Design!$B$41),Constants!$C$6,Design!$B$41)/1000*(1+Constants!$C$32/100*(N34-25)))/($B34+D34-C34*O34/1000))</f>
        <v>95.012500000000003</v>
      </c>
      <c r="F34" s="115">
        <f ca="1">IF(($B34-C34*IF(ISBLANK(Design!$B$41),Constants!$C$6,Design!$B$41)/1000*(1+Constants!$C$32/100*(N34-25))-Design!$C$27)/(IF(ISBLANK(Design!$B$40),Design!$B$38,Design!$B$40)/1000000)*E34/100/(IF(ISBLANK(Design!$B$31),Design!$B$30,Design!$B$31)*1000000)&lt;0, 0, ($B34-C34*IF(ISBLANK(Design!$B$41),Constants!$C$6,Design!$B$41)/1000*(1+Constants!$C$32/100*(N34-25))-Design!$C$27)/(IF(ISBLANK(Design!$B$40),Design!$B$38,Design!$B$40)/1000000)*E34/100/(IF(ISBLANK(Design!$B$31),Design!$B$30,Design!$B$31)*1000000))</f>
        <v>4.6837196362983516E-2</v>
      </c>
      <c r="G34" s="165">
        <f>B34*Constants!$C$21/1000+IF(ISBLANK(Design!$B$31),Design!$B$30,Design!$B$31)*1000000*Constants!$D$25/1000000000*(B34-Constants!$C$24)</f>
        <v>1.9649999999999987E-2</v>
      </c>
      <c r="H34" s="165">
        <f>B34*C34*(B34/(Constants!$C$26*1000000000)*IF(ISBLANK(Design!$B$31),Design!$B$30,Design!$B$31)*1000000/2+B34/(Constants!$C$27*1000000000)*IF(ISBLANK(Design!$B$31),Design!$B$30,Design!$B$31)*1000000/2)</f>
        <v>0.26952187499999986</v>
      </c>
      <c r="I34" s="165">
        <f t="shared" ca="1" si="0"/>
        <v>2.0965280344854267</v>
      </c>
      <c r="J34" s="165">
        <f>Constants!$D$25/1000000000*Constants!$C$24*IF(ISBLANK(Design!$B$31),Design!$B$30,Design!$B$31)*1000000</f>
        <v>5.2499999999999998E-2</v>
      </c>
      <c r="K34" s="165">
        <f t="shared" ca="1" si="4"/>
        <v>2.4381999094854265</v>
      </c>
      <c r="L34" s="165">
        <f t="shared" ca="1" si="5"/>
        <v>6.3052870710536363E-2</v>
      </c>
      <c r="M34" s="166">
        <f ca="1">A34+L34*Design!$B$18</f>
        <v>88.594013630500569</v>
      </c>
      <c r="N34" s="166">
        <f ca="1">K34*Design!$C$11+A34</f>
        <v>175.21339665096079</v>
      </c>
      <c r="O34" s="166">
        <f ca="1">Constants!$D$22+Constants!$D$22*Constants!$C$23/100*(N34-25)</f>
        <v>245.17071732076863</v>
      </c>
      <c r="P34" s="165">
        <f ca="1">IF(100*(Design!$C$27+D34+C34*IF(ISBLANK(Design!$B$41),Constants!$C$6,Design!$B$41)/1000*(1+Constants!$C$32/100*(N34-25)))/($B34+D34-C34*O34/1000)&gt;Design!$C$34,  (1-Constants!$C$20/1000000000*IF(ISBLANK(Design!$B$31),Design!$B$30/4,Design!$B$31/4)*1000000) * ($B34+D34-C34*O34/1000) - (D34+C34*(1+($A34-25)*Constants!$C$32/100)*IF(ISBLANK(Design!$B$41),Constants!$C$6/1000,Design!$B$41/1000)),   (1-Constants!$C$20/1000000000*IF(ISBLANK(Design!$B$31),Design!$B$30,Design!$B$31)*1000000) * ($B34+D34-C34*O34/1000) - (D34+C34*(1+($A34-25)*Constants!$C$32/100)*IF(ISBLANK(Design!$B$41),Constants!$C$6/1000,Design!$B$41/1000)) )</f>
        <v>4.3865146430466346</v>
      </c>
      <c r="Q34" s="171">
        <f ca="1">IF(P34&gt;Design!$C$27,Design!$C$27,P34)</f>
        <v>4.3865146430466346</v>
      </c>
      <c r="R34" s="181">
        <f>2*Design!$D$6/3</f>
        <v>2</v>
      </c>
      <c r="S34" s="116">
        <f ca="1">FORECAST(R34, OFFSET(Design!$C$14:$C$16,MATCH(R34,Design!$B$14:$B$16,1)-1,0,2), OFFSET(Design!$B$14:$B$16,MATCH(R34,Design!$B$14:$B$16,1)-1,0,2))+(AB34-25)*Design!$B$17/1000</f>
        <v>0.3977385579938863</v>
      </c>
      <c r="T34" s="182">
        <f ca="1">IF(100*(Design!$C$27+S34+R34*IF(ISBLANK(Design!$B$41),Constants!$C$6,Design!$B$41)/1000*(1+Constants!$C$32/100*(AC34-25)))/($B34+S34-R34*AD34/1000)&gt;Design!$C$34,Design!$C$35,100*(Design!$C$27+S34+R34*IF(ISBLANK(Design!$B$41),Constants!$C$6,Design!$B$41)/1000*(1+Constants!$C$32/100*(AC34-25)))/($B34+S34-R34*AD34/1000))</f>
        <v>95.012500000000003</v>
      </c>
      <c r="U34" s="117">
        <f ca="1">IF(($B34-R34*IF(ISBLANK(Design!$B$41),Constants!$C$6,Design!$B$41)/1000*(1+Constants!$C$32/100*(AC34-25))-Design!$C$27)/(Design!$B$40/1000000)*T34/100/(IF(ISBLANK(IF(ISBLANK(Design!$B$40),Design!$B$38,Design!$B$40)),Design!$B$30,Design!$B$31)*1000000)&lt;0,0,($B34-R34*IF(ISBLANK(Design!$B$41),Constants!$C$6,Design!$B$41)/1000*(1+Constants!$C$32/100*(AC34-25))-Design!$C$27)/(IF(ISBLANK(Design!$B$40),Design!$B$38,Design!$B$40)/1000000)*T34/100/(IF(ISBLANK(Design!$B$31),Design!$B$30,Design!$B$31)*1000000))</f>
        <v>5.9185303892897889E-2</v>
      </c>
      <c r="V34" s="183">
        <f>$B34*Constants!$C$21/1000+IF(ISBLANK(Design!$B$31),Design!$B$30,Design!$B$31)*1000000*Constants!$D$25/1000000000*($B34-Constants!$C$24)</f>
        <v>1.9649999999999987E-2</v>
      </c>
      <c r="W34" s="183">
        <f>$B34*R34*($B34/(Constants!$C$26*1000000000)*IF(ISBLANK(Design!$B$31),Design!$B$30,Design!$B$31)*1000000/2+$B34/(Constants!$C$27*1000000000)*IF(ISBLANK(Design!$B$31),Design!$B$30,Design!$B$31)*1000000/2)</f>
        <v>0.1796812499999999</v>
      </c>
      <c r="X34" s="183">
        <f t="shared" ca="1" si="1"/>
        <v>0.77280966847949717</v>
      </c>
      <c r="Y34" s="183">
        <f>Constants!$D$25/1000000000*Constants!$C$24*IF(ISBLANK(Design!$B$31),Design!$B$30,Design!$B$31)*1000000</f>
        <v>5.2499999999999998E-2</v>
      </c>
      <c r="Z34" s="183">
        <f t="shared" ca="1" si="10"/>
        <v>1.0246409184794971</v>
      </c>
      <c r="AA34" s="183">
        <f t="shared" ca="1" si="7"/>
        <v>3.9674421159890158E-2</v>
      </c>
      <c r="AB34" s="184">
        <f ca="1">$A34+AA34*Design!$B$18</f>
        <v>87.261442006113739</v>
      </c>
      <c r="AC34" s="184">
        <f ca="1">Z34*Design!$C$11+$A34</f>
        <v>122.91171398374139</v>
      </c>
      <c r="AD34" s="184">
        <f ca="1">Constants!$D$22+Constants!$D$22*Constants!$C$23/100*(AC34-25)</f>
        <v>203.32937118699311</v>
      </c>
      <c r="AE34" s="183">
        <f ca="1">IF(100*(Design!$C$27+S34+R34*IF(ISBLANK(Design!$B$41),Constants!$C$6,Design!$B$41)/1000*(1+Constants!$C$32/100*(AC34-25)))/($B34+S34-R34*AD34/1000)&gt;Design!$C$34,  (1-Constants!$C$20/1000000000*IF(ISBLANK(Design!$B$31),Design!$B$30/4,Design!$B$31/4)*1000000) * ($B34+S34-R34*AD34/1000) - (S34+R34*(1+($A34-25)*Constants!$C$32/100)*IF(ISBLANK(Design!$B$41),Constants!$C$6/1000,Design!$B$41/1000)),   (1-Constants!$C$20/1000000000*IF(ISBLANK(Design!$B$31),Design!$B$30,Design!$B$31)*1000000) * ($B34+S34-R34*AD34/1000) - (S34+R34*(1+($A34-25)*Constants!$C$32/100)*IF(ISBLANK(Design!$B$41),Constants!$C$6/1000,Design!$B$41/1000)) )</f>
        <v>4.7557579018219691</v>
      </c>
      <c r="AF34" s="117">
        <f ca="1">IF(AE34&gt;Design!$C$27,Design!$C$27,AE34)</f>
        <v>4.7557579018219691</v>
      </c>
      <c r="AG34" s="118">
        <f>Design!$D$6/3</f>
        <v>1</v>
      </c>
      <c r="AH34" s="118">
        <f ca="1">FORECAST(AG34, OFFSET(Design!$C$14:$C$16,MATCH(AG34,Design!$B$14:$B$16,1)-1,0,2), OFFSET(Design!$B$14:$B$16,MATCH(AG34,Design!$B$14:$B$16,1)-1,0,2))+(AQ34-25)*Design!$B$17/1000</f>
        <v>0.32130878151995867</v>
      </c>
      <c r="AI34" s="194">
        <f ca="1">IF(100*(Design!$C$27+AH34+AG34*IF(ISBLANK(Design!$B$41),Constants!$C$6,Design!$B$41)/1000*(1+Constants!$C$32/100*(AR34-25)))/($B34+AH34-AG34*AS34/1000)&gt;Design!$C$34,Design!$C$35,100*(Design!$C$27+AH34+AG34*IF(ISBLANK(Design!$B$41),Constants!$C$6,Design!$B$41)/1000*(1+Constants!$C$32/100*(AR34-25)))/($B34+AH34-AG34*AS34/1000))</f>
        <v>95.012500000000003</v>
      </c>
      <c r="AJ34" s="119">
        <f ca="1">IF(($B34-AG34*IF(ISBLANK(Design!$B$41),Constants!$C$6,Design!$B$41)/1000*(1+Constants!$C$32/100*(AR34-25))-Design!$C$27)/(IF(ISBLANK(Design!$B$40),Design!$B$38,Design!$B$40)/1000000)*AI34/100/(IF(ISBLANK(Design!$B$31),Design!$B$30,Design!$B$31)*1000000)&lt;0,0,($B34-AG34*IF(ISBLANK(Design!$B$41),Constants!$C$6,Design!$B$41)/1000*(1+Constants!$C$32/100*(AR34-25))-Design!$C$27)/(IF(ISBLANK(Design!$B$40),Design!$B$38,Design!$B$40)/1000000)*AI34/100/(IF(ISBLANK(Design!$B$31),Design!$B$30,Design!$B$31)*1000000))</f>
        <v>6.8346892500117884E-2</v>
      </c>
      <c r="AK34" s="195">
        <f>$B34*Constants!$C$21/1000+IF(ISBLANK(Design!$B$31),Design!$B$30,Design!$B$31)*1000000*Constants!$D$25/1000000000*($B34-Constants!$C$24)</f>
        <v>1.9649999999999987E-2</v>
      </c>
      <c r="AL34" s="195">
        <f>$B34*AG34*($B34/(Constants!$C$26*1000000000)*IF(ISBLANK(Design!$B$31),Design!$B$30,Design!$B$31)*1000000/2+$B34/(Constants!$C$27*1000000000)*IF(ISBLANK(Design!$B$31),Design!$B$30,Design!$B$31)*1000000/2)</f>
        <v>8.9840624999999952E-2</v>
      </c>
      <c r="AM34" s="195">
        <f t="shared" ca="1" si="2"/>
        <v>0.17388536338686514</v>
      </c>
      <c r="AN34" s="195">
        <f>Constants!$D$25/1000000000*Constants!$C$24*IF(ISBLANK(Design!$B$31),Design!$B$30,Design!$B$31)*1000000</f>
        <v>5.2499999999999998E-2</v>
      </c>
      <c r="AO34" s="195">
        <f t="shared" ca="1" si="11"/>
        <v>0.33587598838686505</v>
      </c>
      <c r="AP34" s="195">
        <f t="shared" ca="1" si="9"/>
        <v>1.602527547830794E-2</v>
      </c>
      <c r="AQ34" s="196">
        <f ca="1">$A34+AP34*Design!$B$18</f>
        <v>85.913440702263557</v>
      </c>
      <c r="AR34" s="196">
        <f ca="1">AO34*Design!$C$11+$A34</f>
        <v>97.427411570314007</v>
      </c>
      <c r="AS34" s="196">
        <f ca="1">Constants!$D$22+Constants!$D$22*Constants!$C$23/100*(AR34-25)</f>
        <v>182.9419292562512</v>
      </c>
      <c r="AT34" s="195">
        <f ca="1">IF(100*(Design!$C$27+AH34+AG34*IF(ISBLANK(Design!$B$41),Constants!$C$6,Design!$B$41)/1000*(1+Constants!$C$32/100*(AR34-25)))/($B34+AH34-AG34*AS34/1000)&gt;Design!$C$34,  (1-Constants!$C$20/1000000000*IF(ISBLANK(Design!$B$31),Design!$B$30/4,Design!$B$31/4)*1000000) * ($B34+AH34-AG34*AS34/1000) - (AH34+AG34*(1+($A34-25)*Constants!$C$32/100)*IF(ISBLANK(Design!$B$41),Constants!$C$6/1000,Design!$B$41/1000)),   (1-Constants!$C$20/1000000000*IF(ISBLANK(Design!$B$31),Design!$B$30,Design!$B$31)*1000000) * ($B34+AH34-AG34*AS34/1000) - (AH34+AG34*(1+($A34-25)*Constants!$C$32/100)*IF(ISBLANK(Design!$B$41),Constants!$C$6/1000,Design!$B$41/1000)) )</f>
        <v>5.0277397739870944</v>
      </c>
      <c r="AU34" s="119">
        <f ca="1">IF(AT34&gt;Design!$C$27,Design!$C$27,AT34)</f>
        <v>4.9936842105263155</v>
      </c>
    </row>
    <row r="35" spans="1:47" s="120" customFormat="1" ht="12.75" customHeight="1" x14ac:dyDescent="0.25">
      <c r="A35" s="112">
        <f>Design!$D$12</f>
        <v>85</v>
      </c>
      <c r="B35" s="113">
        <f t="shared" si="3"/>
        <v>5.3349999999999991</v>
      </c>
      <c r="C35" s="114">
        <f>Design!$D$6</f>
        <v>3</v>
      </c>
      <c r="D35" s="114">
        <f ca="1">FORECAST(C35, OFFSET(Design!$C$14:$C$16,MATCH(C35,Design!$B$14:$B$16,1)-1,0,2), OFFSET(Design!$B$14:$B$16,MATCH(C35,Design!$B$14:$B$16,1)-1,0,2))+(M35-25)*Design!$B$17/1000</f>
        <v>0.42140598636949944</v>
      </c>
      <c r="E35" s="173">
        <f ca="1">IF(100*(Design!$C$27+D35+C35*IF(ISBLANK(Design!$B$41),Constants!$C$6,Design!$B$41)/1000*(1+Constants!$C$32/100*(N35-25)))/($B35+D35-C35*O35/1000)&gt;Design!$C$34,Design!$C$35,100*(Design!$C$27+D35+C35*IF(ISBLANK(Design!$B$41),Constants!$C$6,Design!$B$41)/1000*(1+Constants!$C$32/100*(N35-25)))/($B35+D35-C35*O35/1000))</f>
        <v>95.012500000000003</v>
      </c>
      <c r="F35" s="115">
        <f ca="1">IF(($B35-C35*IF(ISBLANK(Design!$B$41),Constants!$C$6,Design!$B$41)/1000*(1+Constants!$C$32/100*(N35-25))-Design!$C$27)/(IF(ISBLANK(Design!$B$40),Design!$B$38,Design!$B$40)/1000000)*E35/100/(IF(ISBLANK(Design!$B$31),Design!$B$30,Design!$B$31)*1000000)&lt;0, 0, ($B35-C35*IF(ISBLANK(Design!$B$41),Constants!$C$6,Design!$B$41)/1000*(1+Constants!$C$32/100*(N35-25))-Design!$C$27)/(IF(ISBLANK(Design!$B$40),Design!$B$38,Design!$B$40)/1000000)*E35/100/(IF(ISBLANK(Design!$B$31),Design!$B$30,Design!$B$31)*1000000))</f>
        <v>1.744400747122277E-2</v>
      </c>
      <c r="G35" s="165">
        <f>B35*Constants!$C$21/1000+IF(ISBLANK(Design!$B$31),Design!$B$30,Design!$B$31)*1000000*Constants!$D$25/1000000000*(B35-Constants!$C$24)</f>
        <v>1.6854999999999988E-2</v>
      </c>
      <c r="H35" s="165">
        <f>B35*C35*(B35/(Constants!$C$26*1000000000)*IF(ISBLANK(Design!$B$31),Design!$B$30,Design!$B$31)*1000000/2+B35/(Constants!$C$27*1000000000)*IF(ISBLANK(Design!$B$31),Design!$B$30,Design!$B$31)*1000000/2)</f>
        <v>0.24904446874999989</v>
      </c>
      <c r="I35" s="165">
        <f t="shared" ca="1" si="0"/>
        <v>2.0885920848649002</v>
      </c>
      <c r="J35" s="165">
        <f>Constants!$D$25/1000000000*Constants!$C$24*IF(ISBLANK(Design!$B$31),Design!$B$30,Design!$B$31)*1000000</f>
        <v>5.2499999999999998E-2</v>
      </c>
      <c r="K35" s="165">
        <f t="shared" ca="1" si="4"/>
        <v>2.4069915536149002</v>
      </c>
      <c r="L35" s="165">
        <f t="shared" ca="1" si="5"/>
        <v>6.3052870710536363E-2</v>
      </c>
      <c r="M35" s="166">
        <f ca="1">A35+L35*Design!$B$18</f>
        <v>88.594013630500569</v>
      </c>
      <c r="N35" s="166">
        <f ca="1">K35*Design!$C$11+A35</f>
        <v>174.05868748375133</v>
      </c>
      <c r="O35" s="166">
        <f ca="1">Constants!$D$22+Constants!$D$22*Constants!$C$23/100*(N35-25)</f>
        <v>244.24694998700107</v>
      </c>
      <c r="P35" s="165">
        <f ca="1">IF(100*(Design!$C$27+D35+C35*IF(ISBLANK(Design!$B$41),Constants!$C$6,Design!$B$41)/1000*(1+Constants!$C$32/100*(N35-25)))/($B35+D35-C35*O35/1000)&gt;Design!$C$34,  (1-Constants!$C$20/1000000000*IF(ISBLANK(Design!$B$31),Design!$B$30/4,Design!$B$31/4)*1000000) * ($B35+D35-C35*O35/1000) - (D35+C35*(1+($A35-25)*Constants!$C$32/100)*IF(ISBLANK(Design!$B$41),Constants!$C$6/1000,Design!$B$41/1000)),   (1-Constants!$C$20/1000000000*IF(ISBLANK(Design!$B$31),Design!$B$30,Design!$B$31)*1000000) * ($B35+D35-C35*O35/1000) - (D35+C35*(1+($A35-25)*Constants!$C$32/100)*IF(ISBLANK(Design!$B$41),Constants!$C$6/1000,Design!$B$41/1000)) )</f>
        <v>4.1848708513606221</v>
      </c>
      <c r="Q35" s="171">
        <f ca="1">IF(P35&gt;Design!$C$27,Design!$C$27,P35)</f>
        <v>4.1848708513606221</v>
      </c>
      <c r="R35" s="181">
        <f>2*Design!$D$6/3</f>
        <v>2</v>
      </c>
      <c r="S35" s="116">
        <f ca="1">FORECAST(R35, OFFSET(Design!$C$14:$C$16,MATCH(R35,Design!$B$14:$B$16,1)-1,0,2), OFFSET(Design!$B$14:$B$16,MATCH(R35,Design!$B$14:$B$16,1)-1,0,2))+(AB35-25)*Design!$B$17/1000</f>
        <v>0.3977385579938863</v>
      </c>
      <c r="T35" s="182">
        <f ca="1">IF(100*(Design!$C$27+S35+R35*IF(ISBLANK(Design!$B$41),Constants!$C$6,Design!$B$41)/1000*(1+Constants!$C$32/100*(AC35-25)))/($B35+S35-R35*AD35/1000)&gt;Design!$C$34,Design!$C$35,100*(Design!$C$27+S35+R35*IF(ISBLANK(Design!$B$41),Constants!$C$6,Design!$B$41)/1000*(1+Constants!$C$32/100*(AC35-25)))/($B35+S35-R35*AD35/1000))</f>
        <v>95.012500000000003</v>
      </c>
      <c r="U35" s="117">
        <f ca="1">IF(($B35-R35*IF(ISBLANK(Design!$B$41),Constants!$C$6,Design!$B$41)/1000*(1+Constants!$C$32/100*(AC35-25))-Design!$C$27)/(Design!$B$40/1000000)*T35/100/(IF(ISBLANK(IF(ISBLANK(Design!$B$40),Design!$B$38,Design!$B$40)),Design!$B$30,Design!$B$31)*1000000)&lt;0,0,($B35-R35*IF(ISBLANK(Design!$B$41),Constants!$C$6,Design!$B$41)/1000*(1+Constants!$C$32/100*(AC35-25))-Design!$C$27)/(IF(ISBLANK(Design!$B$40),Design!$B$38,Design!$B$40)/1000000)*T35/100/(IF(ISBLANK(Design!$B$31),Design!$B$30,Design!$B$31)*1000000))</f>
        <v>2.9741456496050384E-2</v>
      </c>
      <c r="V35" s="183">
        <f>$B35*Constants!$C$21/1000+IF(ISBLANK(Design!$B$31),Design!$B$30,Design!$B$31)*1000000*Constants!$D$25/1000000000*($B35-Constants!$C$24)</f>
        <v>1.6854999999999988E-2</v>
      </c>
      <c r="W35" s="183">
        <f>$B35*R35*($B35/(Constants!$C$26*1000000000)*IF(ISBLANK(Design!$B$31),Design!$B$30,Design!$B$31)*1000000/2+$B35/(Constants!$C$27*1000000000)*IF(ISBLANK(Design!$B$31),Design!$B$30,Design!$B$31)*1000000/2)</f>
        <v>0.16602964583333327</v>
      </c>
      <c r="X35" s="183">
        <f t="shared" ca="1" si="1"/>
        <v>0.77067745699166124</v>
      </c>
      <c r="Y35" s="183">
        <f>Constants!$D$25/1000000000*Constants!$C$24*IF(ISBLANK(Design!$B$31),Design!$B$30,Design!$B$31)*1000000</f>
        <v>5.2499999999999998E-2</v>
      </c>
      <c r="Z35" s="183">
        <f t="shared" ca="1" si="10"/>
        <v>1.0060621028249945</v>
      </c>
      <c r="AA35" s="183">
        <f t="shared" ca="1" si="7"/>
        <v>3.9674421159890158E-2</v>
      </c>
      <c r="AB35" s="184">
        <f ca="1">$A35+AA35*Design!$B$18</f>
        <v>87.261442006113739</v>
      </c>
      <c r="AC35" s="184">
        <f ca="1">Z35*Design!$C$11+$A35</f>
        <v>122.2242978045248</v>
      </c>
      <c r="AD35" s="184">
        <f ca="1">Constants!$D$22+Constants!$D$22*Constants!$C$23/100*(AC35-25)</f>
        <v>202.77943824361984</v>
      </c>
      <c r="AE35" s="183">
        <f ca="1">IF(100*(Design!$C$27+S35+R35*IF(ISBLANK(Design!$B$41),Constants!$C$6,Design!$B$41)/1000*(1+Constants!$C$32/100*(AC35-25)))/($B35+S35-R35*AD35/1000)&gt;Design!$C$34,  (1-Constants!$C$20/1000000000*IF(ISBLANK(Design!$B$31),Design!$B$30/4,Design!$B$31/4)*1000000) * ($B35+S35-R35*AD35/1000) - (S35+R35*(1+($A35-25)*Constants!$C$32/100)*IF(ISBLANK(Design!$B$41),Constants!$C$6/1000,Design!$B$41/1000)),   (1-Constants!$C$20/1000000000*IF(ISBLANK(Design!$B$31),Design!$B$30,Design!$B$31)*1000000) * ($B35+S35-R35*AD35/1000) - (S35+R35*(1+($A35-25)*Constants!$C$32/100)*IF(ISBLANK(Design!$B$41),Constants!$C$6/1000,Design!$B$41/1000)) )</f>
        <v>4.5525260368976159</v>
      </c>
      <c r="AF35" s="117">
        <f ca="1">IF(AE35&gt;Design!$C$27,Design!$C$27,AE35)</f>
        <v>4.5525260368976159</v>
      </c>
      <c r="AG35" s="118">
        <f>Design!$D$6/3</f>
        <v>1</v>
      </c>
      <c r="AH35" s="118">
        <f ca="1">FORECAST(AG35, OFFSET(Design!$C$14:$C$16,MATCH(AG35,Design!$B$14:$B$16,1)-1,0,2), OFFSET(Design!$B$14:$B$16,MATCH(AG35,Design!$B$14:$B$16,1)-1,0,2))+(AQ35-25)*Design!$B$17/1000</f>
        <v>0.32130878151995867</v>
      </c>
      <c r="AI35" s="194">
        <f ca="1">IF(100*(Design!$C$27+AH35+AG35*IF(ISBLANK(Design!$B$41),Constants!$C$6,Design!$B$41)/1000*(1+Constants!$C$32/100*(AR35-25)))/($B35+AH35-AG35*AS35/1000)&gt;Design!$C$34,Design!$C$35,100*(Design!$C$27+AH35+AG35*IF(ISBLANK(Design!$B$41),Constants!$C$6,Design!$B$41)/1000*(1+Constants!$C$32/100*(AR35-25)))/($B35+AH35-AG35*AS35/1000))</f>
        <v>95.012500000000003</v>
      </c>
      <c r="AJ35" s="119">
        <f ca="1">IF(($B35-AG35*IF(ISBLANK(Design!$B$41),Constants!$C$6,Design!$B$41)/1000*(1+Constants!$C$32/100*(AR35-25))-Design!$C$27)/(IF(ISBLANK(Design!$B$40),Design!$B$38,Design!$B$40)/1000000)*AI35/100/(IF(ISBLANK(Design!$B$31),Design!$B$30,Design!$B$31)*1000000)&lt;0,0,($B35-AG35*IF(ISBLANK(Design!$B$41),Constants!$C$6,Design!$B$41)/1000*(1+Constants!$C$32/100*(AR35-25))-Design!$C$27)/(IF(ISBLANK(Design!$B$40),Design!$B$38,Design!$B$40)/1000000)*AI35/100/(IF(ISBLANK(Design!$B$31),Design!$B$30,Design!$B$31)*1000000))</f>
        <v>3.8878633092300809E-2</v>
      </c>
      <c r="AK35" s="195">
        <f>$B35*Constants!$C$21/1000+IF(ISBLANK(Design!$B$31),Design!$B$30,Design!$B$31)*1000000*Constants!$D$25/1000000000*($B35-Constants!$C$24)</f>
        <v>1.6854999999999988E-2</v>
      </c>
      <c r="AL35" s="195">
        <f>$B35*AG35*($B35/(Constants!$C$26*1000000000)*IF(ISBLANK(Design!$B$31),Design!$B$30,Design!$B$31)*1000000/2+$B35/(Constants!$C$27*1000000000)*IF(ISBLANK(Design!$B$31),Design!$B$30,Design!$B$31)*1000000/2)</f>
        <v>8.3014822916666633E-2</v>
      </c>
      <c r="AM35" s="195">
        <f t="shared" ca="1" si="2"/>
        <v>0.17355983208804365</v>
      </c>
      <c r="AN35" s="195">
        <f>Constants!$D$25/1000000000*Constants!$C$24*IF(ISBLANK(Design!$B$31),Design!$B$30,Design!$B$31)*1000000</f>
        <v>5.2499999999999998E-2</v>
      </c>
      <c r="AO35" s="195">
        <f t="shared" ca="1" si="11"/>
        <v>0.32592965500471027</v>
      </c>
      <c r="AP35" s="195">
        <f t="shared" ca="1" si="9"/>
        <v>1.602527547830794E-2</v>
      </c>
      <c r="AQ35" s="196">
        <f ca="1">$A35+AP35*Design!$B$18</f>
        <v>85.913440702263557</v>
      </c>
      <c r="AR35" s="196">
        <f ca="1">AO35*Design!$C$11+$A35</f>
        <v>97.059397235174288</v>
      </c>
      <c r="AS35" s="196">
        <f ca="1">Constants!$D$22+Constants!$D$22*Constants!$C$23/100*(AR35-25)</f>
        <v>182.64751778813942</v>
      </c>
      <c r="AT35" s="195">
        <f ca="1">IF(100*(Design!$C$27+AH35+AG35*IF(ISBLANK(Design!$B$41),Constants!$C$6,Design!$B$41)/1000*(1+Constants!$C$32/100*(AR35-25)))/($B35+AH35-AG35*AS35/1000)&gt;Design!$C$34,  (1-Constants!$C$20/1000000000*IF(ISBLANK(Design!$B$31),Design!$B$30/4,Design!$B$31/4)*1000000) * ($B35+AH35-AG35*AS35/1000) - (AH35+AG35*(1+($A35-25)*Constants!$C$32/100)*IF(ISBLANK(Design!$B$41),Constants!$C$6/1000,Design!$B$41/1000)),   (1-Constants!$C$20/1000000000*IF(ISBLANK(Design!$B$31),Design!$B$30,Design!$B$31)*1000000) * ($B35+AH35-AG35*AS35/1000) - (AH35+AG35*(1+($A35-25)*Constants!$C$32/100)*IF(ISBLANK(Design!$B$41),Constants!$C$6/1000,Design!$B$41/1000)) )</f>
        <v>4.8237426266832344</v>
      </c>
      <c r="AU35" s="119">
        <f ca="1">IF(AT35&gt;Design!$C$27,Design!$C$27,AT35)</f>
        <v>4.8237426266832344</v>
      </c>
    </row>
    <row r="36" spans="1:47" s="120" customFormat="1" ht="12.75" customHeight="1" x14ac:dyDescent="0.25">
      <c r="A36" s="112">
        <f>Design!$D$12</f>
        <v>85</v>
      </c>
      <c r="B36" s="113">
        <f t="shared" si="3"/>
        <v>5.1199999999999992</v>
      </c>
      <c r="C36" s="114">
        <f>Design!$D$6</f>
        <v>3</v>
      </c>
      <c r="D36" s="114">
        <f ca="1">FORECAST(C36, OFFSET(Design!$C$14:$C$16,MATCH(C36,Design!$B$14:$B$16,1)-1,0,2), OFFSET(Design!$B$14:$B$16,MATCH(C36,Design!$B$14:$B$16,1)-1,0,2))+(M36-25)*Design!$B$17/1000</f>
        <v>0.42140598636949944</v>
      </c>
      <c r="E36" s="173">
        <f ca="1">IF(100*(Design!$C$27+D36+C36*IF(ISBLANK(Design!$B$41),Constants!$C$6,Design!$B$41)/1000*(1+Constants!$C$32/100*(N36-25)))/($B36+D36-C36*O36/1000)&gt;Design!$C$34,Design!$C$35,100*(Design!$C$27+D36+C36*IF(ISBLANK(Design!$B$41),Constants!$C$6,Design!$B$41)/1000*(1+Constants!$C$32/100*(N36-25)))/($B36+D36-C36*O36/1000))</f>
        <v>95.012500000000003</v>
      </c>
      <c r="F36" s="115">
        <f ca="1">IF(($B36-C36*IF(ISBLANK(Design!$B$41),Constants!$C$6,Design!$B$41)/1000*(1+Constants!$C$32/100*(N36-25))-Design!$C$27)/(IF(ISBLANK(Design!$B$40),Design!$B$38,Design!$B$40)/1000000)*E36/100/(IF(ISBLANK(Design!$B$31),Design!$B$30,Design!$B$31)*1000000)&lt;0, 0, ($B36-C36*IF(ISBLANK(Design!$B$41),Constants!$C$6,Design!$B$41)/1000*(1+Constants!$C$32/100*(N36-25))-Design!$C$27)/(IF(ISBLANK(Design!$B$40),Design!$B$38,Design!$B$40)/1000000)*E36/100/(IF(ISBLANK(Design!$B$31),Design!$B$30,Design!$B$31)*1000000))</f>
        <v>0</v>
      </c>
      <c r="G36" s="165">
        <f>B36*Constants!$C$21/1000+IF(ISBLANK(Design!$B$31),Design!$B$30,Design!$B$31)*1000000*Constants!$D$25/1000000000*(B36-Constants!$C$24)</f>
        <v>1.4059999999999989E-2</v>
      </c>
      <c r="H36" s="165">
        <f>B36*C36*(B36/(Constants!$C$26*1000000000)*IF(ISBLANK(Design!$B$31),Design!$B$30,Design!$B$31)*1000000/2+B36/(Constants!$C$27*1000000000)*IF(ISBLANK(Design!$B$31),Design!$B$30,Design!$B$31)*1000000/2)</f>
        <v>0.22937599999999994</v>
      </c>
      <c r="I36" s="165">
        <f t="shared" ca="1" si="0"/>
        <v>2.080971534971503</v>
      </c>
      <c r="J36" s="165">
        <f>Constants!$D$25/1000000000*Constants!$C$24*IF(ISBLANK(Design!$B$31),Design!$B$30,Design!$B$31)*1000000</f>
        <v>5.2499999999999998E-2</v>
      </c>
      <c r="K36" s="165">
        <f t="shared" ca="1" si="4"/>
        <v>2.3769075349715032</v>
      </c>
      <c r="L36" s="165">
        <f t="shared" ca="1" si="5"/>
        <v>6.3052870710536363E-2</v>
      </c>
      <c r="M36" s="166">
        <f ca="1">A36+L36*Design!$B$18</f>
        <v>88.594013630500569</v>
      </c>
      <c r="N36" s="166">
        <f ca="1">K36*Design!$C$11+A36</f>
        <v>172.94557879394563</v>
      </c>
      <c r="O36" s="166">
        <f ca="1">Constants!$D$22+Constants!$D$22*Constants!$C$23/100*(N36-25)</f>
        <v>243.35646303515651</v>
      </c>
      <c r="P36" s="165">
        <f ca="1">IF(100*(Design!$C$27+D36+C36*IF(ISBLANK(Design!$B$41),Constants!$C$6,Design!$B$41)/1000*(1+Constants!$C$32/100*(N36-25)))/($B36+D36-C36*O36/1000)&gt;Design!$C$34,  (1-Constants!$C$20/1000000000*IF(ISBLANK(Design!$B$31),Design!$B$30/4,Design!$B$31/4)*1000000) * ($B36+D36-C36*O36/1000) - (D36+C36*(1+($A36-25)*Constants!$C$32/100)*IF(ISBLANK(Design!$B$41),Constants!$C$6/1000,Design!$B$41/1000)),   (1-Constants!$C$20/1000000000*IF(ISBLANK(Design!$B$31),Design!$B$30,Design!$B$31)*1000000) * ($B36+D36-C36*O36/1000) - (D36+C36*(1+($A36-25)*Constants!$C$32/100)*IF(ISBLANK(Design!$B$41),Constants!$C$6/1000,Design!$B$41/1000)) )</f>
        <v>3.9831321981059862</v>
      </c>
      <c r="Q36" s="171">
        <f ca="1">IF(P36&gt;Design!$C$27,Design!$C$27,P36)</f>
        <v>3.9831321981059862</v>
      </c>
      <c r="R36" s="181">
        <f>2*Design!$D$6/3</f>
        <v>2</v>
      </c>
      <c r="S36" s="116">
        <f ca="1">FORECAST(R36, OFFSET(Design!$C$14:$C$16,MATCH(R36,Design!$B$14:$B$16,1)-1,0,2), OFFSET(Design!$B$14:$B$16,MATCH(R36,Design!$B$14:$B$16,1)-1,0,2))+(AB36-25)*Design!$B$17/1000</f>
        <v>0.3977385579938863</v>
      </c>
      <c r="T36" s="182">
        <f ca="1">IF(100*(Design!$C$27+S36+R36*IF(ISBLANK(Design!$B$41),Constants!$C$6,Design!$B$41)/1000*(1+Constants!$C$32/100*(AC36-25)))/($B36+S36-R36*AD36/1000)&gt;Design!$C$34,Design!$C$35,100*(Design!$C$27+S36+R36*IF(ISBLANK(Design!$B$41),Constants!$C$6,Design!$B$41)/1000*(1+Constants!$C$32/100*(AC36-25)))/($B36+S36-R36*AD36/1000))</f>
        <v>95.012500000000003</v>
      </c>
      <c r="U36" s="117">
        <f ca="1">IF(($B36-R36*IF(ISBLANK(Design!$B$41),Constants!$C$6,Design!$B$41)/1000*(1+Constants!$C$32/100*(AC36-25))-Design!$C$27)/(Design!$B$40/1000000)*T36/100/(IF(ISBLANK(IF(ISBLANK(Design!$B$40),Design!$B$38,Design!$B$40)),Design!$B$30,Design!$B$31)*1000000)&lt;0,0,($B36-R36*IF(ISBLANK(Design!$B$41),Constants!$C$6,Design!$B$41)/1000*(1+Constants!$C$32/100*(AC36-25))-Design!$C$27)/(IF(ISBLANK(Design!$B$40),Design!$B$38,Design!$B$40)/1000000)*T36/100/(IF(ISBLANK(Design!$B$31),Design!$B$30,Design!$B$31)*1000000))</f>
        <v>2.9646223302003859E-4</v>
      </c>
      <c r="V36" s="183">
        <f>$B36*Constants!$C$21/1000+IF(ISBLANK(Design!$B$31),Design!$B$30,Design!$B$31)*1000000*Constants!$D$25/1000000000*($B36-Constants!$C$24)</f>
        <v>1.4059999999999989E-2</v>
      </c>
      <c r="W36" s="183">
        <f>$B36*R36*($B36/(Constants!$C$26*1000000000)*IF(ISBLANK(Design!$B$31),Design!$B$30,Design!$B$31)*1000000/2+$B36/(Constants!$C$27*1000000000)*IF(ISBLANK(Design!$B$31),Design!$B$30,Design!$B$31)*1000000/2)</f>
        <v>0.15291733333333329</v>
      </c>
      <c r="X36" s="183">
        <f t="shared" ca="1" si="1"/>
        <v>0.76864514160061903</v>
      </c>
      <c r="Y36" s="183">
        <f>Constants!$D$25/1000000000*Constants!$C$24*IF(ISBLANK(Design!$B$31),Design!$B$30,Design!$B$31)*1000000</f>
        <v>5.2499999999999998E-2</v>
      </c>
      <c r="Z36" s="183">
        <f t="shared" ca="1" si="10"/>
        <v>0.98812247493395233</v>
      </c>
      <c r="AA36" s="183">
        <f t="shared" ca="1" si="7"/>
        <v>3.9674421159890158E-2</v>
      </c>
      <c r="AB36" s="184">
        <f ca="1">$A36+AA36*Design!$B$18</f>
        <v>87.261442006113739</v>
      </c>
      <c r="AC36" s="184">
        <f ca="1">Z36*Design!$C$11+$A36</f>
        <v>121.56053157255624</v>
      </c>
      <c r="AD36" s="184">
        <f ca="1">Constants!$D$22+Constants!$D$22*Constants!$C$23/100*(AC36-25)</f>
        <v>202.24842525804502</v>
      </c>
      <c r="AE36" s="183">
        <f ca="1">IF(100*(Design!$C$27+S36+R36*IF(ISBLANK(Design!$B$41),Constants!$C$6,Design!$B$41)/1000*(1+Constants!$C$32/100*(AC36-25)))/($B36+S36-R36*AD36/1000)&gt;Design!$C$34,  (1-Constants!$C$20/1000000000*IF(ISBLANK(Design!$B$31),Design!$B$30/4,Design!$B$31/4)*1000000) * ($B36+S36-R36*AD36/1000) - (S36+R36*(1+($A36-25)*Constants!$C$32/100)*IF(ISBLANK(Design!$B$41),Constants!$C$6/1000,Design!$B$41/1000)),   (1-Constants!$C$20/1000000000*IF(ISBLANK(Design!$B$31),Design!$B$30,Design!$B$31)*1000000) * ($B36+S36-R36*AD36/1000) - (S36+R36*(1+($A36-25)*Constants!$C$32/100)*IF(ISBLANK(Design!$B$41),Constants!$C$6/1000,Design!$B$41/1000)) )</f>
        <v>4.3492582193234544</v>
      </c>
      <c r="AF36" s="117">
        <f ca="1">IF(AE36&gt;Design!$C$27,Design!$C$27,AE36)</f>
        <v>4.3492582193234544</v>
      </c>
      <c r="AG36" s="118">
        <f>Design!$D$6/3</f>
        <v>1</v>
      </c>
      <c r="AH36" s="118">
        <f ca="1">FORECAST(AG36, OFFSET(Design!$C$14:$C$16,MATCH(AG36,Design!$B$14:$B$16,1)-1,0,2), OFFSET(Design!$B$14:$B$16,MATCH(AG36,Design!$B$14:$B$16,1)-1,0,2))+(AQ36-25)*Design!$B$17/1000</f>
        <v>0.32130878151995867</v>
      </c>
      <c r="AI36" s="194">
        <f ca="1">IF(100*(Design!$C$27+AH36+AG36*IF(ISBLANK(Design!$B$41),Constants!$C$6,Design!$B$41)/1000*(1+Constants!$C$32/100*(AR36-25)))/($B36+AH36-AG36*AS36/1000)&gt;Design!$C$34,Design!$C$35,100*(Design!$C$27+AH36+AG36*IF(ISBLANK(Design!$B$41),Constants!$C$6,Design!$B$41)/1000*(1+Constants!$C$32/100*(AR36-25)))/($B36+AH36-AG36*AS36/1000))</f>
        <v>95.012500000000003</v>
      </c>
      <c r="AJ36" s="119">
        <f ca="1">IF(($B36-AG36*IF(ISBLANK(Design!$B$41),Constants!$C$6,Design!$B$41)/1000*(1+Constants!$C$32/100*(AR36-25))-Design!$C$27)/(IF(ISBLANK(Design!$B$40),Design!$B$38,Design!$B$40)/1000000)*AI36/100/(IF(ISBLANK(Design!$B$31),Design!$B$30,Design!$B$31)*1000000)&lt;0,0,($B36-AG36*IF(ISBLANK(Design!$B$41),Constants!$C$6,Design!$B$41)/1000*(1+Constants!$C$32/100*(AR36-25))-Design!$C$27)/(IF(ISBLANK(Design!$B$40),Design!$B$38,Design!$B$40)/1000000)*AI36/100/(IF(ISBLANK(Design!$B$31),Design!$B$30,Design!$B$31)*1000000))</f>
        <v>9.4101014945514472E-3</v>
      </c>
      <c r="AK36" s="195">
        <f>$B36*Constants!$C$21/1000+IF(ISBLANK(Design!$B$31),Design!$B$30,Design!$B$31)*1000000*Constants!$D$25/1000000000*($B36-Constants!$C$24)</f>
        <v>1.4059999999999989E-2</v>
      </c>
      <c r="AL36" s="195">
        <f>$B36*AG36*($B36/(Constants!$C$26*1000000000)*IF(ISBLANK(Design!$B$31),Design!$B$30,Design!$B$31)*1000000/2+$B36/(Constants!$C$27*1000000000)*IF(ISBLANK(Design!$B$31),Design!$B$30,Design!$B$31)*1000000/2)</f>
        <v>7.6458666666666647E-2</v>
      </c>
      <c r="AM36" s="195">
        <f t="shared" ca="1" si="2"/>
        <v>0.17326805648034813</v>
      </c>
      <c r="AN36" s="195">
        <f>Constants!$D$25/1000000000*Constants!$C$24*IF(ISBLANK(Design!$B$31),Design!$B$30,Design!$B$31)*1000000</f>
        <v>5.2499999999999998E-2</v>
      </c>
      <c r="AO36" s="195">
        <f t="shared" ca="1" si="11"/>
        <v>0.31628672314701478</v>
      </c>
      <c r="AP36" s="195">
        <f t="shared" ca="1" si="9"/>
        <v>1.602527547830794E-2</v>
      </c>
      <c r="AQ36" s="196">
        <f ca="1">$A36+AP36*Design!$B$18</f>
        <v>85.913440702263557</v>
      </c>
      <c r="AR36" s="196">
        <f ca="1">AO36*Design!$C$11+$A36</f>
        <v>96.702608756439545</v>
      </c>
      <c r="AS36" s="196">
        <f ca="1">Constants!$D$22+Constants!$D$22*Constants!$C$23/100*(AR36-25)</f>
        <v>182.36208700515164</v>
      </c>
      <c r="AT36" s="195">
        <f ca="1">IF(100*(Design!$C$27+AH36+AG36*IF(ISBLANK(Design!$B$41),Constants!$C$6,Design!$B$41)/1000*(1+Constants!$C$32/100*(AR36-25)))/($B36+AH36-AG36*AS36/1000)&gt;Design!$C$34,  (1-Constants!$C$20/1000000000*IF(ISBLANK(Design!$B$31),Design!$B$30/4,Design!$B$31/4)*1000000) * ($B36+AH36-AG36*AS36/1000) - (AH36+AG36*(1+($A36-25)*Constants!$C$32/100)*IF(ISBLANK(Design!$B$41),Constants!$C$6/1000,Design!$B$41/1000)),   (1-Constants!$C$20/1000000000*IF(ISBLANK(Design!$B$31),Design!$B$30,Design!$B$31)*1000000) * ($B36+AH36-AG36*AS36/1000) - (AH36+AG36*(1+($A36-25)*Constants!$C$32/100)*IF(ISBLANK(Design!$B$41),Constants!$C$6/1000,Design!$B$41/1000)) )</f>
        <v>4.6197369466059204</v>
      </c>
      <c r="AU36" s="119">
        <f ca="1">IF(AT36&gt;Design!$C$27,Design!$C$27,AT36)</f>
        <v>4.6197369466059204</v>
      </c>
    </row>
    <row r="37" spans="1:47" s="120" customFormat="1" ht="12.75" customHeight="1" x14ac:dyDescent="0.25">
      <c r="A37" s="112">
        <f>Design!$D$12</f>
        <v>85</v>
      </c>
      <c r="B37" s="113">
        <f t="shared" si="3"/>
        <v>4.9049999999999994</v>
      </c>
      <c r="C37" s="114">
        <f>Design!$D$6</f>
        <v>3</v>
      </c>
      <c r="D37" s="114">
        <f ca="1">FORECAST(C37, OFFSET(Design!$C$14:$C$16,MATCH(C37,Design!$B$14:$B$16,1)-1,0,2), OFFSET(Design!$B$14:$B$16,MATCH(C37,Design!$B$14:$B$16,1)-1,0,2))+(M37-25)*Design!$B$17/1000</f>
        <v>0.42140598636949944</v>
      </c>
      <c r="E37" s="173">
        <f ca="1">IF(100*(Design!$C$27+D37+C37*IF(ISBLANK(Design!$B$41),Constants!$C$6,Design!$B$41)/1000*(1+Constants!$C$32/100*(N37-25)))/($B37+D37-C37*O37/1000)&gt;Design!$C$34,Design!$C$35,100*(Design!$C$27+D37+C37*IF(ISBLANK(Design!$B$41),Constants!$C$6,Design!$B$41)/1000*(1+Constants!$C$32/100*(N37-25)))/($B37+D37-C37*O37/1000))</f>
        <v>95.012500000000003</v>
      </c>
      <c r="F37" s="115">
        <f ca="1">IF(($B37-C37*IF(ISBLANK(Design!$B$41),Constants!$C$6,Design!$B$41)/1000*(1+Constants!$C$32/100*(N37-25))-Design!$C$27)/(IF(ISBLANK(Design!$B$40),Design!$B$38,Design!$B$40)/1000000)*E37/100/(IF(ISBLANK(Design!$B$31),Design!$B$30,Design!$B$31)*1000000)&lt;0, 0, ($B37-C37*IF(ISBLANK(Design!$B$41),Constants!$C$6,Design!$B$41)/1000*(1+Constants!$C$32/100*(N37-25))-Design!$C$27)/(IF(ISBLANK(Design!$B$40),Design!$B$38,Design!$B$40)/1000000)*E37/100/(IF(ISBLANK(Design!$B$31),Design!$B$30,Design!$B$31)*1000000))</f>
        <v>0</v>
      </c>
      <c r="G37" s="165">
        <f>B37*Constants!$C$21/1000+IF(ISBLANK(Design!$B$31),Design!$B$30,Design!$B$31)*1000000*Constants!$D$25/1000000000*(B37-Constants!$C$24)</f>
        <v>1.1264999999999992E-2</v>
      </c>
      <c r="H37" s="165">
        <f>B37*C37*(B37/(Constants!$C$26*1000000000)*IF(ISBLANK(Design!$B$31),Design!$B$30,Design!$B$31)*1000000/2+B37/(Constants!$C$27*1000000000)*IF(ISBLANK(Design!$B$31),Design!$B$30,Design!$B$31)*1000000/2)</f>
        <v>0.21051646874999994</v>
      </c>
      <c r="I37" s="165">
        <f t="shared" ca="1" si="0"/>
        <v>2.0736330057613288</v>
      </c>
      <c r="J37" s="165">
        <f>Constants!$D$25/1000000000*Constants!$C$24*IF(ISBLANK(Design!$B$31),Design!$B$30,Design!$B$31)*1000000</f>
        <v>5.2499999999999998E-2</v>
      </c>
      <c r="K37" s="165">
        <f t="shared" ca="1" si="4"/>
        <v>2.3479144745113292</v>
      </c>
      <c r="L37" s="165">
        <f t="shared" ca="1" si="5"/>
        <v>6.3052870710536363E-2</v>
      </c>
      <c r="M37" s="166">
        <f ca="1">A37+L37*Design!$B$18</f>
        <v>88.594013630500569</v>
      </c>
      <c r="N37" s="166">
        <f ca="1">K37*Design!$C$11+A37</f>
        <v>171.8728355569192</v>
      </c>
      <c r="O37" s="166">
        <f ca="1">Constants!$D$22+Constants!$D$22*Constants!$C$23/100*(N37-25)</f>
        <v>242.49826844553536</v>
      </c>
      <c r="P37" s="165">
        <f ca="1">IF(100*(Design!$C$27+D37+C37*IF(ISBLANK(Design!$B$41),Constants!$C$6,Design!$B$41)/1000*(1+Constants!$C$32/100*(N37-25)))/($B37+D37-C37*O37/1000)&gt;Design!$C$34,  (1-Constants!$C$20/1000000000*IF(ISBLANK(Design!$B$31),Design!$B$30/4,Design!$B$31/4)*1000000) * ($B37+D37-C37*O37/1000) - (D37+C37*(1+($A37-25)*Constants!$C$32/100)*IF(ISBLANK(Design!$B$41),Constants!$C$6/1000,Design!$B$41/1000)),   (1-Constants!$C$20/1000000000*IF(ISBLANK(Design!$B$31),Design!$B$30,Design!$B$31)*1000000) * ($B37+D37-C37*O37/1000) - (D37+C37*(1+($A37-25)*Constants!$C$32/100)*IF(ISBLANK(Design!$B$41),Constants!$C$6/1000,Design!$B$41/1000)) )</f>
        <v>3.7813014995093779</v>
      </c>
      <c r="Q37" s="171">
        <f ca="1">IF(P37&gt;Design!$C$27,Design!$C$27,P37)</f>
        <v>3.7813014995093779</v>
      </c>
      <c r="R37" s="181">
        <f>2*Design!$D$6/3</f>
        <v>2</v>
      </c>
      <c r="S37" s="116">
        <f ca="1">FORECAST(R37, OFFSET(Design!$C$14:$C$16,MATCH(R37,Design!$B$14:$B$16,1)-1,0,2), OFFSET(Design!$B$14:$B$16,MATCH(R37,Design!$B$14:$B$16,1)-1,0,2))+(AB37-25)*Design!$B$17/1000</f>
        <v>0.3977385579938863</v>
      </c>
      <c r="T37" s="182">
        <f ca="1">IF(100*(Design!$C$27+S37+R37*IF(ISBLANK(Design!$B$41),Constants!$C$6,Design!$B$41)/1000*(1+Constants!$C$32/100*(AC37-25)))/($B37+S37-R37*AD37/1000)&gt;Design!$C$34,Design!$C$35,100*(Design!$C$27+S37+R37*IF(ISBLANK(Design!$B$41),Constants!$C$6,Design!$B$41)/1000*(1+Constants!$C$32/100*(AC37-25)))/($B37+S37-R37*AD37/1000))</f>
        <v>95.012500000000003</v>
      </c>
      <c r="U37" s="117">
        <f ca="1">IF(($B37-R37*IF(ISBLANK(Design!$B$41),Constants!$C$6,Design!$B$41)/1000*(1+Constants!$C$32/100*(AC37-25))-Design!$C$27)/(Design!$B$40/1000000)*T37/100/(IF(ISBLANK(IF(ISBLANK(Design!$B$40),Design!$B$38,Design!$B$40)),Design!$B$30,Design!$B$31)*1000000)&lt;0,0,($B37-R37*IF(ISBLANK(Design!$B$41),Constants!$C$6,Design!$B$41)/1000*(1+Constants!$C$32/100*(AC37-25))-Design!$C$27)/(IF(ISBLANK(Design!$B$40),Design!$B$38,Design!$B$40)/1000000)*T37/100/(IF(ISBLANK(Design!$B$31),Design!$B$30,Design!$B$31)*1000000))</f>
        <v>0</v>
      </c>
      <c r="V37" s="183">
        <f>$B37*Constants!$C$21/1000+IF(ISBLANK(Design!$B$31),Design!$B$30,Design!$B$31)*1000000*Constants!$D$25/1000000000*($B37-Constants!$C$24)</f>
        <v>1.1264999999999992E-2</v>
      </c>
      <c r="W37" s="183">
        <f>$B37*R37*($B37/(Constants!$C$26*1000000000)*IF(ISBLANK(Design!$B$31),Design!$B$30,Design!$B$31)*1000000/2+$B37/(Constants!$C$27*1000000000)*IF(ISBLANK(Design!$B$31),Design!$B$30,Design!$B$31)*1000000/2)</f>
        <v>0.14034431249999996</v>
      </c>
      <c r="X37" s="183">
        <f t="shared" ca="1" si="1"/>
        <v>0.76669718249293062</v>
      </c>
      <c r="Y37" s="183">
        <f>Constants!$D$25/1000000000*Constants!$C$24*IF(ISBLANK(Design!$B$31),Design!$B$30,Design!$B$31)*1000000</f>
        <v>5.2499999999999998E-2</v>
      </c>
      <c r="Z37" s="183">
        <f t="shared" ca="1" si="10"/>
        <v>0.97080649499293059</v>
      </c>
      <c r="AA37" s="183">
        <f t="shared" ca="1" si="7"/>
        <v>3.9674421159890158E-2</v>
      </c>
      <c r="AB37" s="184">
        <f ca="1">$A37+AA37*Design!$B$18</f>
        <v>87.261442006113739</v>
      </c>
      <c r="AC37" s="184">
        <f ca="1">Z37*Design!$C$11+$A37</f>
        <v>120.91984031473842</v>
      </c>
      <c r="AD37" s="184">
        <f ca="1">Constants!$D$22+Constants!$D$22*Constants!$C$23/100*(AC37-25)</f>
        <v>201.73587225179074</v>
      </c>
      <c r="AE37" s="183">
        <f ca="1">IF(100*(Design!$C$27+S37+R37*IF(ISBLANK(Design!$B$41),Constants!$C$6,Design!$B$41)/1000*(1+Constants!$C$32/100*(AC37-25)))/($B37+S37-R37*AD37/1000)&gt;Design!$C$34,  (1-Constants!$C$20/1000000000*IF(ISBLANK(Design!$B$31),Design!$B$30/4,Design!$B$31/4)*1000000) * ($B37+S37-R37*AD37/1000) - (S37+R37*(1+($A37-25)*Constants!$C$32/100)*IF(ISBLANK(Design!$B$41),Constants!$C$6/1000,Design!$B$41/1000)),   (1-Constants!$C$20/1000000000*IF(ISBLANK(Design!$B$31),Design!$B$30,Design!$B$31)*1000000) * ($B37+S37-R37*AD37/1000) - (S37+R37*(1+($A37-25)*Constants!$C$32/100)*IF(ISBLANK(Design!$B$41),Constants!$C$6/1000,Design!$B$41/1000)) )</f>
        <v>4.1459553231735899</v>
      </c>
      <c r="AF37" s="117">
        <f ca="1">IF(AE37&gt;Design!$C$27,Design!$C$27,AE37)</f>
        <v>4.1459553231735899</v>
      </c>
      <c r="AG37" s="118">
        <f>Design!$D$6/3</f>
        <v>1</v>
      </c>
      <c r="AH37" s="118">
        <f ca="1">FORECAST(AG37, OFFSET(Design!$C$14:$C$16,MATCH(AG37,Design!$B$14:$B$16,1)-1,0,2), OFFSET(Design!$B$14:$B$16,MATCH(AG37,Design!$B$14:$B$16,1)-1,0,2))+(AQ37-25)*Design!$B$17/1000</f>
        <v>0.32130878151995867</v>
      </c>
      <c r="AI37" s="194">
        <f ca="1">IF(100*(Design!$C$27+AH37+AG37*IF(ISBLANK(Design!$B$41),Constants!$C$6,Design!$B$41)/1000*(1+Constants!$C$32/100*(AR37-25)))/($B37+AH37-AG37*AS37/1000)&gt;Design!$C$34,Design!$C$35,100*(Design!$C$27+AH37+AG37*IF(ISBLANK(Design!$B$41),Constants!$C$6,Design!$B$41)/1000*(1+Constants!$C$32/100*(AR37-25)))/($B37+AH37-AG37*AS37/1000))</f>
        <v>95.012500000000003</v>
      </c>
      <c r="AJ37" s="119">
        <f ca="1">IF(($B37-AG37*IF(ISBLANK(Design!$B$41),Constants!$C$6,Design!$B$41)/1000*(1+Constants!$C$32/100*(AR37-25))-Design!$C$27)/(IF(ISBLANK(Design!$B$40),Design!$B$38,Design!$B$40)/1000000)*AI37/100/(IF(ISBLANK(Design!$B$31),Design!$B$30,Design!$B$31)*1000000)&lt;0,0,($B37-AG37*IF(ISBLANK(Design!$B$41),Constants!$C$6,Design!$B$41)/1000*(1+Constants!$C$32/100*(AR37-25))-Design!$C$27)/(IF(ISBLANK(Design!$B$40),Design!$B$38,Design!$B$40)/1000000)*AI37/100/(IF(ISBLANK(Design!$B$31),Design!$B$30,Design!$B$31)*1000000))</f>
        <v>0</v>
      </c>
      <c r="AK37" s="195">
        <f>$B37*Constants!$C$21/1000+IF(ISBLANK(Design!$B$31),Design!$B$30,Design!$B$31)*1000000*Constants!$D$25/1000000000*($B37-Constants!$C$24)</f>
        <v>1.1264999999999992E-2</v>
      </c>
      <c r="AL37" s="195">
        <f>$B37*AG37*($B37/(Constants!$C$26*1000000000)*IF(ISBLANK(Design!$B$31),Design!$B$30,Design!$B$31)*1000000/2+$B37/(Constants!$C$27*1000000000)*IF(ISBLANK(Design!$B$31),Design!$B$30,Design!$B$31)*1000000/2)</f>
        <v>7.0172156249999978E-2</v>
      </c>
      <c r="AM37" s="195">
        <f t="shared" ca="1" si="2"/>
        <v>0.17300394443328657</v>
      </c>
      <c r="AN37" s="195">
        <f>Constants!$D$25/1000000000*Constants!$C$24*IF(ISBLANK(Design!$B$31),Design!$B$30,Design!$B$31)*1000000</f>
        <v>5.2499999999999998E-2</v>
      </c>
      <c r="AO37" s="195">
        <f t="shared" ca="1" si="11"/>
        <v>0.30694110068328651</v>
      </c>
      <c r="AP37" s="195">
        <f t="shared" ca="1" si="9"/>
        <v>1.602527547830794E-2</v>
      </c>
      <c r="AQ37" s="196">
        <f ca="1">$A37+AP37*Design!$B$18</f>
        <v>85.913440702263557</v>
      </c>
      <c r="AR37" s="196">
        <f ca="1">AO37*Design!$C$11+$A37</f>
        <v>96.356820725281608</v>
      </c>
      <c r="AS37" s="196">
        <f ca="1">Constants!$D$22+Constants!$D$22*Constants!$C$23/100*(AR37-25)</f>
        <v>182.0854565802253</v>
      </c>
      <c r="AT37" s="195">
        <f ca="1">IF(100*(Design!$C$27+AH37+AG37*IF(ISBLANK(Design!$B$41),Constants!$C$6,Design!$B$41)/1000*(1+Constants!$C$32/100*(AR37-25)))/($B37+AH37-AG37*AS37/1000)&gt;Design!$C$34,  (1-Constants!$C$20/1000000000*IF(ISBLANK(Design!$B$31),Design!$B$30/4,Design!$B$31/4)*1000000) * ($B37+AH37-AG37*AS37/1000) - (AH37+AG37*(1+($A37-25)*Constants!$C$32/100)*IF(ISBLANK(Design!$B$41),Constants!$C$6/1000,Design!$B$41/1000)),   (1-Constants!$C$20/1000000000*IF(ISBLANK(Design!$B$31),Design!$B$30,Design!$B$31)*1000000) * ($B37+AH37-AG37*AS37/1000) - (AH37+AG37*(1+($A37-25)*Constants!$C$32/100)*IF(ISBLANK(Design!$B$41),Constants!$C$6/1000,Design!$B$41/1000)) )</f>
        <v>4.4157229050884048</v>
      </c>
      <c r="AU37" s="119">
        <f ca="1">IF(AT37&gt;Design!$C$27,Design!$C$27,AT37)</f>
        <v>4.4157229050884048</v>
      </c>
    </row>
    <row r="38" spans="1:47" s="120" customFormat="1" ht="12.75" customHeight="1" x14ac:dyDescent="0.25">
      <c r="A38" s="112">
        <f>Design!$D$12</f>
        <v>85</v>
      </c>
      <c r="B38" s="113">
        <f t="shared" si="3"/>
        <v>4.6899999999999995</v>
      </c>
      <c r="C38" s="114">
        <f>Design!$D$6</f>
        <v>3</v>
      </c>
      <c r="D38" s="114">
        <f ca="1">FORECAST(C38, OFFSET(Design!$C$14:$C$16,MATCH(C38,Design!$B$14:$B$16,1)-1,0,2), OFFSET(Design!$B$14:$B$16,MATCH(C38,Design!$B$14:$B$16,1)-1,0,2))+(M38-25)*Design!$B$17/1000</f>
        <v>0.42140598636949944</v>
      </c>
      <c r="E38" s="173">
        <f ca="1">IF(100*(Design!$C$27+D38+C38*IF(ISBLANK(Design!$B$41),Constants!$C$6,Design!$B$41)/1000*(1+Constants!$C$32/100*(N38-25)))/($B38+D38-C38*O38/1000)&gt;Design!$C$34,Design!$C$35,100*(Design!$C$27+D38+C38*IF(ISBLANK(Design!$B$41),Constants!$C$6,Design!$B$41)/1000*(1+Constants!$C$32/100*(N38-25)))/($B38+D38-C38*O38/1000))</f>
        <v>95.012500000000003</v>
      </c>
      <c r="F38" s="115">
        <f ca="1">IF(($B38-C38*IF(ISBLANK(Design!$B$41),Constants!$C$6,Design!$B$41)/1000*(1+Constants!$C$32/100*(N38-25))-Design!$C$27)/(IF(ISBLANK(Design!$B$40),Design!$B$38,Design!$B$40)/1000000)*E38/100/(IF(ISBLANK(Design!$B$31),Design!$B$30,Design!$B$31)*1000000)&lt;0, 0, ($B38-C38*IF(ISBLANK(Design!$B$41),Constants!$C$6,Design!$B$41)/1000*(1+Constants!$C$32/100*(N38-25))-Design!$C$27)/(IF(ISBLANK(Design!$B$40),Design!$B$38,Design!$B$40)/1000000)*E38/100/(IF(ISBLANK(Design!$B$31),Design!$B$30,Design!$B$31)*1000000))</f>
        <v>0</v>
      </c>
      <c r="G38" s="165">
        <f>B38*Constants!$C$21/1000+IF(ISBLANK(Design!$B$31),Design!$B$30,Design!$B$31)*1000000*Constants!$D$25/1000000000*(B38-Constants!$C$24)</f>
        <v>8.4699999999999914E-3</v>
      </c>
      <c r="H38" s="165">
        <f>B38*C38*(B38/(Constants!$C$26*1000000000)*IF(ISBLANK(Design!$B$31),Design!$B$30,Design!$B$31)*1000000/2+B38/(Constants!$C$27*1000000000)*IF(ISBLANK(Design!$B$31),Design!$B$30,Design!$B$31)*1000000/2)</f>
        <v>0.19246587499999998</v>
      </c>
      <c r="I38" s="165">
        <f t="shared" ca="1" si="0"/>
        <v>2.0665686183187333</v>
      </c>
      <c r="J38" s="165">
        <f>Constants!$D$25/1000000000*Constants!$C$24*IF(ISBLANK(Design!$B$31),Design!$B$30,Design!$B$31)*1000000</f>
        <v>5.2499999999999998E-2</v>
      </c>
      <c r="K38" s="165">
        <f t="shared" ca="1" si="4"/>
        <v>2.3200044933187334</v>
      </c>
      <c r="L38" s="165">
        <f t="shared" ca="1" si="5"/>
        <v>6.3052870710536363E-2</v>
      </c>
      <c r="M38" s="166">
        <f ca="1">A38+L38*Design!$B$18</f>
        <v>88.594013630500569</v>
      </c>
      <c r="N38" s="166">
        <f ca="1">K38*Design!$C$11+A38</f>
        <v>170.84016625279315</v>
      </c>
      <c r="O38" s="166">
        <f ca="1">Constants!$D$22+Constants!$D$22*Constants!$C$23/100*(N38-25)</f>
        <v>241.67213300223455</v>
      </c>
      <c r="P38" s="165">
        <f ca="1">IF(100*(Design!$C$27+D38+C38*IF(ISBLANK(Design!$B$41),Constants!$C$6,Design!$B$41)/1000*(1+Constants!$C$32/100*(N38-25)))/($B38+D38-C38*O38/1000)&gt;Design!$C$34,  (1-Constants!$C$20/1000000000*IF(ISBLANK(Design!$B$31),Design!$B$30/4,Design!$B$31/4)*1000000) * ($B38+D38-C38*O38/1000) - (D38+C38*(1+($A38-25)*Constants!$C$32/100)*IF(ISBLANK(Design!$B$41),Constants!$C$6/1000,Design!$B$41/1000)),   (1-Constants!$C$20/1000000000*IF(ISBLANK(Design!$B$31),Design!$B$30,Design!$B$31)*1000000) * ($B38+D38-C38*O38/1000) - (D38+C38*(1+($A38-25)*Constants!$C$32/100)*IF(ISBLANK(Design!$B$41),Constants!$C$6/1000,Design!$B$41/1000)) )</f>
        <v>3.5793794203235771</v>
      </c>
      <c r="Q38" s="171">
        <f ca="1">IF(P38&gt;Design!$C$27,Design!$C$27,P38)</f>
        <v>3.5793794203235771</v>
      </c>
      <c r="R38" s="181">
        <f>2*Design!$D$6/3</f>
        <v>2</v>
      </c>
      <c r="S38" s="116">
        <f ca="1">FORECAST(R38, OFFSET(Design!$C$14:$C$16,MATCH(R38,Design!$B$14:$B$16,1)-1,0,2), OFFSET(Design!$B$14:$B$16,MATCH(R38,Design!$B$14:$B$16,1)-1,0,2))+(AB38-25)*Design!$B$17/1000</f>
        <v>0.3977385579938863</v>
      </c>
      <c r="T38" s="182">
        <f ca="1">IF(100*(Design!$C$27+S38+R38*IF(ISBLANK(Design!$B$41),Constants!$C$6,Design!$B$41)/1000*(1+Constants!$C$32/100*(AC38-25)))/($B38+S38-R38*AD38/1000)&gt;Design!$C$34,Design!$C$35,100*(Design!$C$27+S38+R38*IF(ISBLANK(Design!$B$41),Constants!$C$6,Design!$B$41)/1000*(1+Constants!$C$32/100*(AC38-25)))/($B38+S38-R38*AD38/1000))</f>
        <v>95.012500000000003</v>
      </c>
      <c r="U38" s="117">
        <f ca="1">IF(($B38-R38*IF(ISBLANK(Design!$B$41),Constants!$C$6,Design!$B$41)/1000*(1+Constants!$C$32/100*(AC38-25))-Design!$C$27)/(Design!$B$40/1000000)*T38/100/(IF(ISBLANK(IF(ISBLANK(Design!$B$40),Design!$B$38,Design!$B$40)),Design!$B$30,Design!$B$31)*1000000)&lt;0,0,($B38-R38*IF(ISBLANK(Design!$B$41),Constants!$C$6,Design!$B$41)/1000*(1+Constants!$C$32/100*(AC38-25))-Design!$C$27)/(IF(ISBLANK(Design!$B$40),Design!$B$38,Design!$B$40)/1000000)*T38/100/(IF(ISBLANK(Design!$B$31),Design!$B$30,Design!$B$31)*1000000))</f>
        <v>0</v>
      </c>
      <c r="V38" s="183">
        <f>$B38*Constants!$C$21/1000+IF(ISBLANK(Design!$B$31),Design!$B$30,Design!$B$31)*1000000*Constants!$D$25/1000000000*($B38-Constants!$C$24)</f>
        <v>8.4699999999999914E-3</v>
      </c>
      <c r="W38" s="183">
        <f>$B38*R38*($B38/(Constants!$C$26*1000000000)*IF(ISBLANK(Design!$B$31),Design!$B$30,Design!$B$31)*1000000/2+$B38/(Constants!$C$27*1000000000)*IF(ISBLANK(Design!$B$31),Design!$B$30,Design!$B$31)*1000000/2)</f>
        <v>0.12831058333333331</v>
      </c>
      <c r="X38" s="183">
        <f t="shared" ca="1" si="1"/>
        <v>0.76481758232624064</v>
      </c>
      <c r="Y38" s="183">
        <f>Constants!$D$25/1000000000*Constants!$C$24*IF(ISBLANK(Design!$B$31),Design!$B$30,Design!$B$31)*1000000</f>
        <v>5.2499999999999998E-2</v>
      </c>
      <c r="Z38" s="183">
        <f t="shared" ca="1" si="10"/>
        <v>0.95409816565957395</v>
      </c>
      <c r="AA38" s="183">
        <f t="shared" ca="1" si="7"/>
        <v>3.9674421159890158E-2</v>
      </c>
      <c r="AB38" s="184">
        <f ca="1">$A38+AA38*Design!$B$18</f>
        <v>87.261442006113739</v>
      </c>
      <c r="AC38" s="184">
        <f ca="1">Z38*Design!$C$11+$A38</f>
        <v>120.30163212940423</v>
      </c>
      <c r="AD38" s="184">
        <f ca="1">Constants!$D$22+Constants!$D$22*Constants!$C$23/100*(AC38-25)</f>
        <v>201.24130570352338</v>
      </c>
      <c r="AE38" s="183">
        <f ca="1">IF(100*(Design!$C$27+S38+R38*IF(ISBLANK(Design!$B$41),Constants!$C$6,Design!$B$41)/1000*(1+Constants!$C$32/100*(AC38-25)))/($B38+S38-R38*AD38/1000)&gt;Design!$C$34,  (1-Constants!$C$20/1000000000*IF(ISBLANK(Design!$B$31),Design!$B$30/4,Design!$B$31/4)*1000000) * ($B38+S38-R38*AD38/1000) - (S38+R38*(1+($A38-25)*Constants!$C$32/100)*IF(ISBLANK(Design!$B$41),Constants!$C$6/1000,Design!$B$41/1000)),   (1-Constants!$C$20/1000000000*IF(ISBLANK(Design!$B$31),Design!$B$30,Design!$B$31)*1000000) * ($B38+S38-R38*AD38/1000) - (S38+R38*(1+($A38-25)*Constants!$C$32/100)*IF(ISBLANK(Design!$B$41),Constants!$C$6/1000,Design!$B$41/1000)) )</f>
        <v>3.9426182482569341</v>
      </c>
      <c r="AF38" s="117">
        <f ca="1">IF(AE38&gt;Design!$C$27,Design!$C$27,AE38)</f>
        <v>3.9426182482569341</v>
      </c>
      <c r="AG38" s="118">
        <f>Design!$D$6/3</f>
        <v>1</v>
      </c>
      <c r="AH38" s="118">
        <f ca="1">FORECAST(AG38, OFFSET(Design!$C$14:$C$16,MATCH(AG38,Design!$B$14:$B$16,1)-1,0,2), OFFSET(Design!$B$14:$B$16,MATCH(AG38,Design!$B$14:$B$16,1)-1,0,2))+(AQ38-25)*Design!$B$17/1000</f>
        <v>0.32130878151995867</v>
      </c>
      <c r="AI38" s="194">
        <f ca="1">IF(100*(Design!$C$27+AH38+AG38*IF(ISBLANK(Design!$B$41),Constants!$C$6,Design!$B$41)/1000*(1+Constants!$C$32/100*(AR38-25)))/($B38+AH38-AG38*AS38/1000)&gt;Design!$C$34,Design!$C$35,100*(Design!$C$27+AH38+AG38*IF(ISBLANK(Design!$B$41),Constants!$C$6,Design!$B$41)/1000*(1+Constants!$C$32/100*(AR38-25)))/($B38+AH38-AG38*AS38/1000))</f>
        <v>95.012500000000003</v>
      </c>
      <c r="AJ38" s="119">
        <f ca="1">IF(($B38-AG38*IF(ISBLANK(Design!$B$41),Constants!$C$6,Design!$B$41)/1000*(1+Constants!$C$32/100*(AR38-25))-Design!$C$27)/(IF(ISBLANK(Design!$B$40),Design!$B$38,Design!$B$40)/1000000)*AI38/100/(IF(ISBLANK(Design!$B$31),Design!$B$30,Design!$B$31)*1000000)&lt;0,0,($B38-AG38*IF(ISBLANK(Design!$B$41),Constants!$C$6,Design!$B$41)/1000*(1+Constants!$C$32/100*(AR38-25))-Design!$C$27)/(IF(ISBLANK(Design!$B$40),Design!$B$38,Design!$B$40)/1000000)*AI38/100/(IF(ISBLANK(Design!$B$31),Design!$B$30,Design!$B$31)*1000000))</f>
        <v>0</v>
      </c>
      <c r="AK38" s="195">
        <f>$B38*Constants!$C$21/1000+IF(ISBLANK(Design!$B$31),Design!$B$30,Design!$B$31)*1000000*Constants!$D$25/1000000000*($B38-Constants!$C$24)</f>
        <v>8.4699999999999914E-3</v>
      </c>
      <c r="AL38" s="195">
        <f>$B38*AG38*($B38/(Constants!$C$26*1000000000)*IF(ISBLANK(Design!$B$31),Design!$B$30,Design!$B$31)*1000000/2+$B38/(Constants!$C$27*1000000000)*IF(ISBLANK(Design!$B$31),Design!$B$30,Design!$B$31)*1000000/2)</f>
        <v>6.4155291666666656E-2</v>
      </c>
      <c r="AM38" s="195">
        <f t="shared" ca="1" si="2"/>
        <v>0.17274895083381067</v>
      </c>
      <c r="AN38" s="195">
        <f>Constants!$D$25/1000000000*Constants!$C$24*IF(ISBLANK(Design!$B$31),Design!$B$30,Design!$B$31)*1000000</f>
        <v>5.2499999999999998E-2</v>
      </c>
      <c r="AO38" s="195">
        <f t="shared" ca="1" si="11"/>
        <v>0.29787424250047734</v>
      </c>
      <c r="AP38" s="195">
        <f t="shared" ca="1" si="9"/>
        <v>1.602527547830794E-2</v>
      </c>
      <c r="AQ38" s="196">
        <f ca="1">$A38+AP38*Design!$B$18</f>
        <v>85.913440702263557</v>
      </c>
      <c r="AR38" s="196">
        <f ca="1">AO38*Design!$C$11+$A38</f>
        <v>96.021346972517662</v>
      </c>
      <c r="AS38" s="196">
        <f ca="1">Constants!$D$22+Constants!$D$22*Constants!$C$23/100*(AR38-25)</f>
        <v>181.81707757801414</v>
      </c>
      <c r="AT38" s="195">
        <f ca="1">IF(100*(Design!$C$27+AH38+AG38*IF(ISBLANK(Design!$B$41),Constants!$C$6,Design!$B$41)/1000*(1+Constants!$C$32/100*(AR38-25)))/($B38+AH38-AG38*AS38/1000)&gt;Design!$C$34,  (1-Constants!$C$20/1000000000*IF(ISBLANK(Design!$B$31),Design!$B$30/4,Design!$B$31/4)*1000000) * ($B38+AH38-AG38*AS38/1000) - (AH38+AG38*(1+($A38-25)*Constants!$C$32/100)*IF(ISBLANK(Design!$B$41),Constants!$C$6/1000,Design!$B$41/1000)),   (1-Constants!$C$20/1000000000*IF(ISBLANK(Design!$B$31),Design!$B$30,Design!$B$31)*1000000) * ($B38+AH38-AG38*AS38/1000) - (AH38+AG38*(1+($A38-25)*Constants!$C$32/100)*IF(ISBLANK(Design!$B$41),Constants!$C$6/1000,Design!$B$41/1000)) )</f>
        <v>4.2117010236878807</v>
      </c>
      <c r="AU38" s="119">
        <f ca="1">IF(AT38&gt;Design!$C$27,Design!$C$27,AT38)</f>
        <v>4.2117010236878807</v>
      </c>
    </row>
    <row r="39" spans="1:47" s="120" customFormat="1" ht="12.75" customHeight="1" x14ac:dyDescent="0.25">
      <c r="A39" s="112">
        <f>Design!$D$12</f>
        <v>85</v>
      </c>
      <c r="B39" s="113">
        <f t="shared" si="3"/>
        <v>4.4749999999999996</v>
      </c>
      <c r="C39" s="114">
        <f>Design!$D$6</f>
        <v>3</v>
      </c>
      <c r="D39" s="114">
        <f ca="1">FORECAST(C39, OFFSET(Design!$C$14:$C$16,MATCH(C39,Design!$B$14:$B$16,1)-1,0,2), OFFSET(Design!$B$14:$B$16,MATCH(C39,Design!$B$14:$B$16,1)-1,0,2))+(M39-25)*Design!$B$17/1000</f>
        <v>0.42140598636949944</v>
      </c>
      <c r="E39" s="173">
        <f ca="1">IF(100*(Design!$C$27+D39+C39*IF(ISBLANK(Design!$B$41),Constants!$C$6,Design!$B$41)/1000*(1+Constants!$C$32/100*(N39-25)))/($B39+D39-C39*O39/1000)&gt;Design!$C$34,Design!$C$35,100*(Design!$C$27+D39+C39*IF(ISBLANK(Design!$B$41),Constants!$C$6,Design!$B$41)/1000*(1+Constants!$C$32/100*(N39-25)))/($B39+D39-C39*O39/1000))</f>
        <v>95.012500000000003</v>
      </c>
      <c r="F39" s="115">
        <f ca="1">IF(($B39-C39*IF(ISBLANK(Design!$B$41),Constants!$C$6,Design!$B$41)/1000*(1+Constants!$C$32/100*(N39-25))-Design!$C$27)/(IF(ISBLANK(Design!$B$40),Design!$B$38,Design!$B$40)/1000000)*E39/100/(IF(ISBLANK(Design!$B$31),Design!$B$30,Design!$B$31)*1000000)&lt;0, 0, ($B39-C39*IF(ISBLANK(Design!$B$41),Constants!$C$6,Design!$B$41)/1000*(1+Constants!$C$32/100*(N39-25))-Design!$C$27)/(IF(ISBLANK(Design!$B$40),Design!$B$38,Design!$B$40)/1000000)*E39/100/(IF(ISBLANK(Design!$B$31),Design!$B$30,Design!$B$31)*1000000))</f>
        <v>0</v>
      </c>
      <c r="G39" s="165">
        <f>B39*Constants!$C$21/1000+IF(ISBLANK(Design!$B$31),Design!$B$30,Design!$B$31)*1000000*Constants!$D$25/1000000000*(B39-Constants!$C$24)</f>
        <v>5.6749999999999952E-3</v>
      </c>
      <c r="H39" s="165">
        <f>B39*C39*(B39/(Constants!$C$26*1000000000)*IF(ISBLANK(Design!$B$31),Design!$B$30,Design!$B$31)*1000000/2+B39/(Constants!$C$27*1000000000)*IF(ISBLANK(Design!$B$31),Design!$B$30,Design!$B$31)*1000000/2)</f>
        <v>0.17522421874999997</v>
      </c>
      <c r="I39" s="165">
        <f t="shared" ca="1" si="0"/>
        <v>2.0597783726437151</v>
      </c>
      <c r="J39" s="165">
        <f>Constants!$D$25/1000000000*Constants!$C$24*IF(ISBLANK(Design!$B$31),Design!$B$30,Design!$B$31)*1000000</f>
        <v>5.2499999999999998E-2</v>
      </c>
      <c r="K39" s="165">
        <f t="shared" ca="1" si="4"/>
        <v>2.2931775913937154</v>
      </c>
      <c r="L39" s="165">
        <f t="shared" ca="1" si="5"/>
        <v>6.3052870710536363E-2</v>
      </c>
      <c r="M39" s="166">
        <f ca="1">A39+L39*Design!$B$18</f>
        <v>88.594013630500569</v>
      </c>
      <c r="N39" s="166">
        <f ca="1">K39*Design!$C$11+A39</f>
        <v>169.84757088156746</v>
      </c>
      <c r="O39" s="166">
        <f ca="1">Constants!$D$22+Constants!$D$22*Constants!$C$23/100*(N39-25)</f>
        <v>240.87805670525398</v>
      </c>
      <c r="P39" s="165">
        <f ca="1">IF(100*(Design!$C$27+D39+C39*IF(ISBLANK(Design!$B$41),Constants!$C$6,Design!$B$41)/1000*(1+Constants!$C$32/100*(N39-25)))/($B39+D39-C39*O39/1000)&gt;Design!$C$34,  (1-Constants!$C$20/1000000000*IF(ISBLANK(Design!$B$31),Design!$B$30/4,Design!$B$31/4)*1000000) * ($B39+D39-C39*O39/1000) - (D39+C39*(1+($A39-25)*Constants!$C$32/100)*IF(ISBLANK(Design!$B$41),Constants!$C$6/1000,Design!$B$41/1000)),   (1-Constants!$C$20/1000000000*IF(ISBLANK(Design!$B$31),Design!$B$30,Design!$B$31)*1000000) * ($B39+D39-C39*O39/1000) - (D39+C39*(1+($A39-25)*Constants!$C$32/100)*IF(ISBLANK(Design!$B$41),Constants!$C$6/1000,Design!$B$41/1000)) )</f>
        <v>3.3773659605485831</v>
      </c>
      <c r="Q39" s="171">
        <f ca="1">IF(P39&gt;Design!$C$27,Design!$C$27,P39)</f>
        <v>3.3773659605485831</v>
      </c>
      <c r="R39" s="181">
        <f>2*Design!$D$6/3</f>
        <v>2</v>
      </c>
      <c r="S39" s="116">
        <f ca="1">FORECAST(R39, OFFSET(Design!$C$14:$C$16,MATCH(R39,Design!$B$14:$B$16,1)-1,0,2), OFFSET(Design!$B$14:$B$16,MATCH(R39,Design!$B$14:$B$16,1)-1,0,2))+(AB39-25)*Design!$B$17/1000</f>
        <v>0.3977385579938863</v>
      </c>
      <c r="T39" s="182">
        <f ca="1">IF(100*(Design!$C$27+S39+R39*IF(ISBLANK(Design!$B$41),Constants!$C$6,Design!$B$41)/1000*(1+Constants!$C$32/100*(AC39-25)))/($B39+S39-R39*AD39/1000)&gt;Design!$C$34,Design!$C$35,100*(Design!$C$27+S39+R39*IF(ISBLANK(Design!$B$41),Constants!$C$6,Design!$B$41)/1000*(1+Constants!$C$32/100*(AC39-25)))/($B39+S39-R39*AD39/1000))</f>
        <v>95.012500000000003</v>
      </c>
      <c r="U39" s="117">
        <f ca="1">IF(($B39-R39*IF(ISBLANK(Design!$B$41),Constants!$C$6,Design!$B$41)/1000*(1+Constants!$C$32/100*(AC39-25))-Design!$C$27)/(Design!$B$40/1000000)*T39/100/(IF(ISBLANK(IF(ISBLANK(Design!$B$40),Design!$B$38,Design!$B$40)),Design!$B$30,Design!$B$31)*1000000)&lt;0,0,($B39-R39*IF(ISBLANK(Design!$B$41),Constants!$C$6,Design!$B$41)/1000*(1+Constants!$C$32/100*(AC39-25))-Design!$C$27)/(IF(ISBLANK(Design!$B$40),Design!$B$38,Design!$B$40)/1000000)*T39/100/(IF(ISBLANK(Design!$B$31),Design!$B$30,Design!$B$31)*1000000))</f>
        <v>0</v>
      </c>
      <c r="V39" s="183">
        <f>$B39*Constants!$C$21/1000+IF(ISBLANK(Design!$B$31),Design!$B$30,Design!$B$31)*1000000*Constants!$D$25/1000000000*($B39-Constants!$C$24)</f>
        <v>5.6749999999999952E-3</v>
      </c>
      <c r="W39" s="183">
        <f>$B39*R39*($B39/(Constants!$C$26*1000000000)*IF(ISBLANK(Design!$B$31),Design!$B$30,Design!$B$31)*1000000/2+$B39/(Constants!$C$27*1000000000)*IF(ISBLANK(Design!$B$31),Design!$B$30,Design!$B$31)*1000000/2)</f>
        <v>0.11681614583333332</v>
      </c>
      <c r="X39" s="183">
        <f t="shared" ca="1" si="1"/>
        <v>0.76300633951473373</v>
      </c>
      <c r="Y39" s="183">
        <f>Constants!$D$25/1000000000*Constants!$C$24*IF(ISBLANK(Design!$B$31),Design!$B$30,Design!$B$31)*1000000</f>
        <v>5.2499999999999998E-2</v>
      </c>
      <c r="Z39" s="183">
        <f t="shared" ca="1" si="10"/>
        <v>0.93799748534806704</v>
      </c>
      <c r="AA39" s="183">
        <f t="shared" ca="1" si="7"/>
        <v>3.9674421159890158E-2</v>
      </c>
      <c r="AB39" s="184">
        <f ca="1">$A39+AA39*Design!$B$18</f>
        <v>87.261442006113739</v>
      </c>
      <c r="AC39" s="184">
        <f ca="1">Z39*Design!$C$11+$A39</f>
        <v>119.70590695787848</v>
      </c>
      <c r="AD39" s="184">
        <f ca="1">Constants!$D$22+Constants!$D$22*Constants!$C$23/100*(AC39-25)</f>
        <v>200.76472556630279</v>
      </c>
      <c r="AE39" s="183">
        <f ca="1">IF(100*(Design!$C$27+S39+R39*IF(ISBLANK(Design!$B$41),Constants!$C$6,Design!$B$41)/1000*(1+Constants!$C$32/100*(AC39-25)))/($B39+S39-R39*AD39/1000)&gt;Design!$C$34,  (1-Constants!$C$20/1000000000*IF(ISBLANK(Design!$B$31),Design!$B$30/4,Design!$B$31/4)*1000000) * ($B39+S39-R39*AD39/1000) - (S39+R39*(1+($A39-25)*Constants!$C$32/100)*IF(ISBLANK(Design!$B$41),Constants!$C$6/1000,Design!$B$41/1000)),   (1-Constants!$C$20/1000000000*IF(ISBLANK(Design!$B$31),Design!$B$30,Design!$B$31)*1000000) * ($B39+S39-R39*AD39/1000) - (S39+R39*(1+($A39-25)*Constants!$C$32/100)*IF(ISBLANK(Design!$B$41),Constants!$C$6/1000,Design!$B$41/1000)) )</f>
        <v>3.7392469946626874</v>
      </c>
      <c r="AF39" s="117">
        <f ca="1">IF(AE39&gt;Design!$C$27,Design!$C$27,AE39)</f>
        <v>3.7392469946626874</v>
      </c>
      <c r="AG39" s="118">
        <f>Design!$D$6/3</f>
        <v>1</v>
      </c>
      <c r="AH39" s="118">
        <f ca="1">FORECAST(AG39, OFFSET(Design!$C$14:$C$16,MATCH(AG39,Design!$B$14:$B$16,1)-1,0,2), OFFSET(Design!$B$14:$B$16,MATCH(AG39,Design!$B$14:$B$16,1)-1,0,2))+(AQ39-25)*Design!$B$17/1000</f>
        <v>0.32130878151995867</v>
      </c>
      <c r="AI39" s="194">
        <f ca="1">IF(100*(Design!$C$27+AH39+AG39*IF(ISBLANK(Design!$B$41),Constants!$C$6,Design!$B$41)/1000*(1+Constants!$C$32/100*(AR39-25)))/($B39+AH39-AG39*AS39/1000)&gt;Design!$C$34,Design!$C$35,100*(Design!$C$27+AH39+AG39*IF(ISBLANK(Design!$B$41),Constants!$C$6,Design!$B$41)/1000*(1+Constants!$C$32/100*(AR39-25)))/($B39+AH39-AG39*AS39/1000))</f>
        <v>95.012500000000003</v>
      </c>
      <c r="AJ39" s="119">
        <f ca="1">IF(($B39-AG39*IF(ISBLANK(Design!$B$41),Constants!$C$6,Design!$B$41)/1000*(1+Constants!$C$32/100*(AR39-25))-Design!$C$27)/(IF(ISBLANK(Design!$B$40),Design!$B$38,Design!$B$40)/1000000)*AI39/100/(IF(ISBLANK(Design!$B$31),Design!$B$30,Design!$B$31)*1000000)&lt;0,0,($B39-AG39*IF(ISBLANK(Design!$B$41),Constants!$C$6,Design!$B$41)/1000*(1+Constants!$C$32/100*(AR39-25))-Design!$C$27)/(IF(ISBLANK(Design!$B$40),Design!$B$38,Design!$B$40)/1000000)*AI39/100/(IF(ISBLANK(Design!$B$31),Design!$B$30,Design!$B$31)*1000000))</f>
        <v>0</v>
      </c>
      <c r="AK39" s="195">
        <f>$B39*Constants!$C$21/1000+IF(ISBLANK(Design!$B$31),Design!$B$30,Design!$B$31)*1000000*Constants!$D$25/1000000000*($B39-Constants!$C$24)</f>
        <v>5.6749999999999952E-3</v>
      </c>
      <c r="AL39" s="195">
        <f>$B39*AG39*($B39/(Constants!$C$26*1000000000)*IF(ISBLANK(Design!$B$31),Design!$B$30,Design!$B$31)*1000000/2+$B39/(Constants!$C$27*1000000000)*IF(ISBLANK(Design!$B$31),Design!$B$30,Design!$B$31)*1000000/2)</f>
        <v>5.8408072916666658E-2</v>
      </c>
      <c r="AM39" s="195">
        <f t="shared" ca="1" si="2"/>
        <v>0.17250176011884069</v>
      </c>
      <c r="AN39" s="195">
        <f>Constants!$D$25/1000000000*Constants!$C$24*IF(ISBLANK(Design!$B$31),Design!$B$30,Design!$B$31)*1000000</f>
        <v>5.2499999999999998E-2</v>
      </c>
      <c r="AO39" s="195">
        <f t="shared" ca="1" si="11"/>
        <v>0.28908483303550736</v>
      </c>
      <c r="AP39" s="195">
        <f t="shared" ca="1" si="9"/>
        <v>1.602527547830794E-2</v>
      </c>
      <c r="AQ39" s="196">
        <f ca="1">$A39+AP39*Design!$B$18</f>
        <v>85.913440702263557</v>
      </c>
      <c r="AR39" s="196">
        <f ca="1">AO39*Design!$C$11+$A39</f>
        <v>95.69613882231377</v>
      </c>
      <c r="AS39" s="196">
        <f ca="1">Constants!$D$22+Constants!$D$22*Constants!$C$23/100*(AR39-25)</f>
        <v>181.55691105785101</v>
      </c>
      <c r="AT39" s="195">
        <f ca="1">IF(100*(Design!$C$27+AH39+AG39*IF(ISBLANK(Design!$B$41),Constants!$C$6,Design!$B$41)/1000*(1+Constants!$C$32/100*(AR39-25)))/($B39+AH39-AG39*AS39/1000)&gt;Design!$C$34,  (1-Constants!$C$20/1000000000*IF(ISBLANK(Design!$B$31),Design!$B$30/4,Design!$B$31/4)*1000000) * ($B39+AH39-AG39*AS39/1000) - (AH39+AG39*(1+($A39-25)*Constants!$C$32/100)*IF(ISBLANK(Design!$B$41),Constants!$C$6/1000,Design!$B$41/1000)),   (1-Constants!$C$20/1000000000*IF(ISBLANK(Design!$B$31),Design!$B$30,Design!$B$31)*1000000) * ($B39+AH39-AG39*AS39/1000) - (AH39+AG39*(1+($A39-25)*Constants!$C$32/100)*IF(ISBLANK(Design!$B$41),Constants!$C$6/1000,Design!$B$41/1000)) )</f>
        <v>4.00767133940285</v>
      </c>
      <c r="AU39" s="119">
        <f ca="1">IF(AT39&gt;Design!$C$27,Design!$C$27,AT39)</f>
        <v>4.00767133940285</v>
      </c>
    </row>
    <row r="40" spans="1:47" s="120" customFormat="1" ht="12.75" customHeight="1" x14ac:dyDescent="0.25">
      <c r="A40" s="112">
        <f>Design!$D$12</f>
        <v>85</v>
      </c>
      <c r="B40" s="113">
        <f t="shared" si="3"/>
        <v>4.26</v>
      </c>
      <c r="C40" s="114">
        <f>Design!$D$6</f>
        <v>3</v>
      </c>
      <c r="D40" s="114">
        <f ca="1">FORECAST(C40, OFFSET(Design!$C$14:$C$16,MATCH(C40,Design!$B$14:$B$16,1)-1,0,2), OFFSET(Design!$B$14:$B$16,MATCH(C40,Design!$B$14:$B$16,1)-1,0,2))+(M40-25)*Design!$B$17/1000</f>
        <v>0.42140598636949944</v>
      </c>
      <c r="E40" s="173">
        <f ca="1">IF(100*(Design!$C$27+D40+C40*IF(ISBLANK(Design!$B$41),Constants!$C$6,Design!$B$41)/1000*(1+Constants!$C$32/100*(N40-25)))/($B40+D40-C40*O40/1000)&gt;Design!$C$34,Design!$C$35,100*(Design!$C$27+D40+C40*IF(ISBLANK(Design!$B$41),Constants!$C$6,Design!$B$41)/1000*(1+Constants!$C$32/100*(N40-25)))/($B40+D40-C40*O40/1000))</f>
        <v>95.012500000000003</v>
      </c>
      <c r="F40" s="115">
        <f ca="1">IF(($B40-C40*IF(ISBLANK(Design!$B$41),Constants!$C$6,Design!$B$41)/1000*(1+Constants!$C$32/100*(N40-25))-Design!$C$27)/(IF(ISBLANK(Design!$B$40),Design!$B$38,Design!$B$40)/1000000)*E40/100/(IF(ISBLANK(Design!$B$31),Design!$B$30,Design!$B$31)*1000000)&lt;0, 0, ($B40-C40*IF(ISBLANK(Design!$B$41),Constants!$C$6,Design!$B$41)/1000*(1+Constants!$C$32/100*(N40-25))-Design!$C$27)/(IF(ISBLANK(Design!$B$40),Design!$B$38,Design!$B$40)/1000000)*E40/100/(IF(ISBLANK(Design!$B$31),Design!$B$30,Design!$B$31)*1000000))</f>
        <v>0</v>
      </c>
      <c r="G40" s="165">
        <f>B40*Constants!$C$21/1000+IF(ISBLANK(Design!$B$31),Design!$B$30,Design!$B$31)*1000000*Constants!$D$25/1000000000*(B40-Constants!$C$24)</f>
        <v>2.8799999999999954E-3</v>
      </c>
      <c r="H40" s="165">
        <f>B40*C40*(B40/(Constants!$C$26*1000000000)*IF(ISBLANK(Design!$B$31),Design!$B$30,Design!$B$31)*1000000/2+B40/(Constants!$C$27*1000000000)*IF(ISBLANK(Design!$B$31),Design!$B$30,Design!$B$31)*1000000/2)</f>
        <v>0.1587915</v>
      </c>
      <c r="I40" s="165">
        <f t="shared" ca="1" si="0"/>
        <v>2.053262268736276</v>
      </c>
      <c r="J40" s="165">
        <f>Constants!$D$25/1000000000*Constants!$C$24*IF(ISBLANK(Design!$B$31),Design!$B$30,Design!$B$31)*1000000</f>
        <v>5.2499999999999998E-2</v>
      </c>
      <c r="K40" s="165">
        <f t="shared" ca="1" si="4"/>
        <v>2.2674337687362764</v>
      </c>
      <c r="L40" s="165">
        <f t="shared" ca="1" si="5"/>
        <v>6.3052870710536363E-2</v>
      </c>
      <c r="M40" s="166">
        <f ca="1">A40+L40*Design!$B$18</f>
        <v>88.594013630500569</v>
      </c>
      <c r="N40" s="166">
        <f ca="1">K40*Design!$C$11+A40</f>
        <v>168.89504944324221</v>
      </c>
      <c r="O40" s="166">
        <f ca="1">Constants!$D$22+Constants!$D$22*Constants!$C$23/100*(N40-25)</f>
        <v>240.11603955459378</v>
      </c>
      <c r="P40" s="165">
        <f ca="1">IF(100*(Design!$C$27+D40+C40*IF(ISBLANK(Design!$B$41),Constants!$C$6,Design!$B$41)/1000*(1+Constants!$C$32/100*(N40-25)))/($B40+D40-C40*O40/1000)&gt;Design!$C$34,  (1-Constants!$C$20/1000000000*IF(ISBLANK(Design!$B$31),Design!$B$30/4,Design!$B$31/4)*1000000) * ($B40+D40-C40*O40/1000) - (D40+C40*(1+($A40-25)*Constants!$C$32/100)*IF(ISBLANK(Design!$B$41),Constants!$C$6/1000,Design!$B$41/1000)),   (1-Constants!$C$20/1000000000*IF(ISBLANK(Design!$B$31),Design!$B$30,Design!$B$31)*1000000) * ($B40+D40-C40*O40/1000) - (D40+C40*(1+($A40-25)*Constants!$C$32/100)*IF(ISBLANK(Design!$B$41),Constants!$C$6/1000,Design!$B$41/1000)) )</f>
        <v>3.1752611201843961</v>
      </c>
      <c r="Q40" s="171">
        <f ca="1">IF(P40&gt;Design!$C$27,Design!$C$27,P40)</f>
        <v>3.1752611201843961</v>
      </c>
      <c r="R40" s="181">
        <f>2*Design!$D$6/3</f>
        <v>2</v>
      </c>
      <c r="S40" s="116">
        <f ca="1">FORECAST(R40, OFFSET(Design!$C$14:$C$16,MATCH(R40,Design!$B$14:$B$16,1)-1,0,2), OFFSET(Design!$B$14:$B$16,MATCH(R40,Design!$B$14:$B$16,1)-1,0,2))+(AB40-25)*Design!$B$17/1000</f>
        <v>0.3977385579938863</v>
      </c>
      <c r="T40" s="182">
        <f ca="1">IF(100*(Design!$C$27+S40+R40*IF(ISBLANK(Design!$B$41),Constants!$C$6,Design!$B$41)/1000*(1+Constants!$C$32/100*(AC40-25)))/($B40+S40-R40*AD40/1000)&gt;Design!$C$34,Design!$C$35,100*(Design!$C$27+S40+R40*IF(ISBLANK(Design!$B$41),Constants!$C$6,Design!$B$41)/1000*(1+Constants!$C$32/100*(AC40-25)))/($B40+S40-R40*AD40/1000))</f>
        <v>95.012500000000003</v>
      </c>
      <c r="U40" s="117">
        <f ca="1">IF(($B40-R40*IF(ISBLANK(Design!$B$41),Constants!$C$6,Design!$B$41)/1000*(1+Constants!$C$32/100*(AC40-25))-Design!$C$27)/(Design!$B$40/1000000)*T40/100/(IF(ISBLANK(IF(ISBLANK(Design!$B$40),Design!$B$38,Design!$B$40)),Design!$B$30,Design!$B$31)*1000000)&lt;0,0,($B40-R40*IF(ISBLANK(Design!$B$41),Constants!$C$6,Design!$B$41)/1000*(1+Constants!$C$32/100*(AC40-25))-Design!$C$27)/(IF(ISBLANK(Design!$B$40),Design!$B$38,Design!$B$40)/1000000)*T40/100/(IF(ISBLANK(Design!$B$31),Design!$B$30,Design!$B$31)*1000000))</f>
        <v>0</v>
      </c>
      <c r="V40" s="183">
        <f>$B40*Constants!$C$21/1000+IF(ISBLANK(Design!$B$31),Design!$B$30,Design!$B$31)*1000000*Constants!$D$25/1000000000*($B40-Constants!$C$24)</f>
        <v>2.8799999999999954E-3</v>
      </c>
      <c r="W40" s="183">
        <f>$B40*R40*($B40/(Constants!$C$26*1000000000)*IF(ISBLANK(Design!$B$31),Design!$B$30,Design!$B$31)*1000000/2+$B40/(Constants!$C$27*1000000000)*IF(ISBLANK(Design!$B$31),Design!$B$30,Design!$B$31)*1000000/2)</f>
        <v>0.105861</v>
      </c>
      <c r="X40" s="183">
        <f t="shared" ca="1" si="1"/>
        <v>0.76126345405841001</v>
      </c>
      <c r="Y40" s="183">
        <f>Constants!$D$25/1000000000*Constants!$C$24*IF(ISBLANK(Design!$B$31),Design!$B$30,Design!$B$31)*1000000</f>
        <v>5.2499999999999998E-2</v>
      </c>
      <c r="Z40" s="183">
        <f t="shared" ca="1" si="10"/>
        <v>0.92250445405840997</v>
      </c>
      <c r="AA40" s="183">
        <f t="shared" ca="1" si="7"/>
        <v>3.9674421159890158E-2</v>
      </c>
      <c r="AB40" s="184">
        <f ca="1">$A40+AA40*Design!$B$18</f>
        <v>87.261442006113739</v>
      </c>
      <c r="AC40" s="184">
        <f ca="1">Z40*Design!$C$11+$A40</f>
        <v>119.13266480016117</v>
      </c>
      <c r="AD40" s="184">
        <f ca="1">Constants!$D$22+Constants!$D$22*Constants!$C$23/100*(AC40-25)</f>
        <v>200.30613184012896</v>
      </c>
      <c r="AE40" s="183">
        <f ca="1">IF(100*(Design!$C$27+S40+R40*IF(ISBLANK(Design!$B$41),Constants!$C$6,Design!$B$41)/1000*(1+Constants!$C$32/100*(AC40-25)))/($B40+S40-R40*AD40/1000)&gt;Design!$C$34,  (1-Constants!$C$20/1000000000*IF(ISBLANK(Design!$B$31),Design!$B$30/4,Design!$B$31/4)*1000000) * ($B40+S40-R40*AD40/1000) - (S40+R40*(1+($A40-25)*Constants!$C$32/100)*IF(ISBLANK(Design!$B$41),Constants!$C$6/1000,Design!$B$41/1000)),   (1-Constants!$C$20/1000000000*IF(ISBLANK(Design!$B$31),Design!$B$30,Design!$B$31)*1000000) * ($B40+S40-R40*AD40/1000) - (S40+R40*(1+($A40-25)*Constants!$C$32/100)*IF(ISBLANK(Design!$B$41),Constants!$C$6/1000,Design!$B$41/1000)) )</f>
        <v>3.5358415623908495</v>
      </c>
      <c r="AF40" s="117">
        <f ca="1">IF(AE40&gt;Design!$C$27,Design!$C$27,AE40)</f>
        <v>3.5358415623908495</v>
      </c>
      <c r="AG40" s="118">
        <f>Design!$D$6/3</f>
        <v>1</v>
      </c>
      <c r="AH40" s="118">
        <f ca="1">FORECAST(AG40, OFFSET(Design!$C$14:$C$16,MATCH(AG40,Design!$B$14:$B$16,1)-1,0,2), OFFSET(Design!$B$14:$B$16,MATCH(AG40,Design!$B$14:$B$16,1)-1,0,2))+(AQ40-25)*Design!$B$17/1000</f>
        <v>0.32130878151995867</v>
      </c>
      <c r="AI40" s="194">
        <f ca="1">IF(100*(Design!$C$27+AH40+AG40*IF(ISBLANK(Design!$B$41),Constants!$C$6,Design!$B$41)/1000*(1+Constants!$C$32/100*(AR40-25)))/($B40+AH40-AG40*AS40/1000)&gt;Design!$C$34,Design!$C$35,100*(Design!$C$27+AH40+AG40*IF(ISBLANK(Design!$B$41),Constants!$C$6,Design!$B$41)/1000*(1+Constants!$C$32/100*(AR40-25)))/($B40+AH40-AG40*AS40/1000))</f>
        <v>95.012500000000003</v>
      </c>
      <c r="AJ40" s="119">
        <f ca="1">IF(($B40-AG40*IF(ISBLANK(Design!$B$41),Constants!$C$6,Design!$B$41)/1000*(1+Constants!$C$32/100*(AR40-25))-Design!$C$27)/(IF(ISBLANK(Design!$B$40),Design!$B$38,Design!$B$40)/1000000)*AI40/100/(IF(ISBLANK(Design!$B$31),Design!$B$30,Design!$B$31)*1000000)&lt;0,0,($B40-AG40*IF(ISBLANK(Design!$B$41),Constants!$C$6,Design!$B$41)/1000*(1+Constants!$C$32/100*(AR40-25))-Design!$C$27)/(IF(ISBLANK(Design!$B$40),Design!$B$38,Design!$B$40)/1000000)*AI40/100/(IF(ISBLANK(Design!$B$31),Design!$B$30,Design!$B$31)*1000000))</f>
        <v>0</v>
      </c>
      <c r="AK40" s="195">
        <f>$B40*Constants!$C$21/1000+IF(ISBLANK(Design!$B$31),Design!$B$30,Design!$B$31)*1000000*Constants!$D$25/1000000000*($B40-Constants!$C$24)</f>
        <v>2.8799999999999954E-3</v>
      </c>
      <c r="AL40" s="195">
        <f>$B40*AG40*($B40/(Constants!$C$26*1000000000)*IF(ISBLANK(Design!$B$31),Design!$B$30,Design!$B$31)*1000000/2+$B40/(Constants!$C$27*1000000000)*IF(ISBLANK(Design!$B$31),Design!$B$30,Design!$B$31)*1000000/2)</f>
        <v>5.2930499999999998E-2</v>
      </c>
      <c r="AM40" s="195">
        <f t="shared" ca="1" si="2"/>
        <v>0.1722623722883766</v>
      </c>
      <c r="AN40" s="195">
        <f>Constants!$D$25/1000000000*Constants!$C$24*IF(ISBLANK(Design!$B$31),Design!$B$30,Design!$B$31)*1000000</f>
        <v>5.2499999999999998E-2</v>
      </c>
      <c r="AO40" s="195">
        <f t="shared" ca="1" si="11"/>
        <v>0.28057287228837657</v>
      </c>
      <c r="AP40" s="195">
        <f t="shared" ca="1" si="9"/>
        <v>1.602527547830794E-2</v>
      </c>
      <c r="AQ40" s="196">
        <f ca="1">$A40+AP40*Design!$B$18</f>
        <v>85.913440702263557</v>
      </c>
      <c r="AR40" s="196">
        <f ca="1">AO40*Design!$C$11+$A40</f>
        <v>95.381196274669932</v>
      </c>
      <c r="AS40" s="196">
        <f ca="1">Constants!$D$22+Constants!$D$22*Constants!$C$23/100*(AR40-25)</f>
        <v>181.30495701973595</v>
      </c>
      <c r="AT40" s="195">
        <f ca="1">IF(100*(Design!$C$27+AH40+AG40*IF(ISBLANK(Design!$B$41),Constants!$C$6,Design!$B$41)/1000*(1+Constants!$C$32/100*(AR40-25)))/($B40+AH40-AG40*AS40/1000)&gt;Design!$C$34,  (1-Constants!$C$20/1000000000*IF(ISBLANK(Design!$B$31),Design!$B$30/4,Design!$B$31/4)*1000000) * ($B40+AH40-AG40*AS40/1000) - (AH40+AG40*(1+($A40-25)*Constants!$C$32/100)*IF(ISBLANK(Design!$B$41),Constants!$C$6/1000,Design!$B$41/1000)),   (1-Constants!$C$20/1000000000*IF(ISBLANK(Design!$B$31),Design!$B$30,Design!$B$31)*1000000) * ($B40+AH40-AG40*AS40/1000) - (AH40+AG40*(1+($A40-25)*Constants!$C$32/100)*IF(ISBLANK(Design!$B$41),Constants!$C$6/1000,Design!$B$41/1000)) )</f>
        <v>3.8036338522333151</v>
      </c>
      <c r="AU40" s="119">
        <f ca="1">IF(AT40&gt;Design!$C$27,Design!$C$27,AT40)</f>
        <v>3.8036338522333151</v>
      </c>
    </row>
    <row r="41" spans="1:47" s="120" customFormat="1" ht="12.75" customHeight="1" x14ac:dyDescent="0.25">
      <c r="A41" s="112">
        <f>Design!$D$12</f>
        <v>85</v>
      </c>
      <c r="B41" s="113">
        <f t="shared" si="3"/>
        <v>4.0449999999999999</v>
      </c>
      <c r="C41" s="114">
        <f>Design!$D$6</f>
        <v>3</v>
      </c>
      <c r="D41" s="114">
        <f ca="1">FORECAST(C41, OFFSET(Design!$C$14:$C$16,MATCH(C41,Design!$B$14:$B$16,1)-1,0,2), OFFSET(Design!$B$14:$B$16,MATCH(C41,Design!$B$14:$B$16,1)-1,0,2))+(M41-25)*Design!$B$17/1000</f>
        <v>0.42140598636949944</v>
      </c>
      <c r="E41" s="173">
        <f ca="1">IF(100*(Design!$C$27+D41+C41*IF(ISBLANK(Design!$B$41),Constants!$C$6,Design!$B$41)/1000*(1+Constants!$C$32/100*(N41-25)))/($B41+D41-C41*O41/1000)&gt;Design!$C$34,Design!$C$35,100*(Design!$C$27+D41+C41*IF(ISBLANK(Design!$B$41),Constants!$C$6,Design!$B$41)/1000*(1+Constants!$C$32/100*(N41-25)))/($B41+D41-C41*O41/1000))</f>
        <v>95.012500000000003</v>
      </c>
      <c r="F41" s="115">
        <f ca="1">IF(($B41-C41*IF(ISBLANK(Design!$B$41),Constants!$C$6,Design!$B$41)/1000*(1+Constants!$C$32/100*(N41-25))-Design!$C$27)/(IF(ISBLANK(Design!$B$40),Design!$B$38,Design!$B$40)/1000000)*E41/100/(IF(ISBLANK(Design!$B$31),Design!$B$30,Design!$B$31)*1000000)&lt;0, 0, ($B41-C41*IF(ISBLANK(Design!$B$41),Constants!$C$6,Design!$B$41)/1000*(1+Constants!$C$32/100*(N41-25))-Design!$C$27)/(IF(ISBLANK(Design!$B$40),Design!$B$38,Design!$B$40)/1000000)*E41/100/(IF(ISBLANK(Design!$B$31),Design!$B$30,Design!$B$31)*1000000))</f>
        <v>0</v>
      </c>
      <c r="G41" s="165">
        <f>B41*Constants!$C$21/1000+IF(ISBLANK(Design!$B$31),Design!$B$30,Design!$B$31)*1000000*Constants!$D$25/1000000000*(B41-Constants!$C$24)</f>
        <v>8.4999999999998271E-5</v>
      </c>
      <c r="H41" s="165">
        <f>B41*C41*(B41/(Constants!$C$26*1000000000)*IF(ISBLANK(Design!$B$31),Design!$B$30,Design!$B$31)*1000000/2+B41/(Constants!$C$27*1000000000)*IF(ISBLANK(Design!$B$31),Design!$B$30,Design!$B$31)*1000000/2)</f>
        <v>0.14316771875000001</v>
      </c>
      <c r="I41" s="165">
        <f t="shared" ca="1" si="0"/>
        <v>2.0470203065964148</v>
      </c>
      <c r="J41" s="165">
        <f>Constants!$D$25/1000000000*Constants!$C$24*IF(ISBLANK(Design!$B$31),Design!$B$30,Design!$B$31)*1000000</f>
        <v>5.2499999999999998E-2</v>
      </c>
      <c r="K41" s="165">
        <f t="shared" ca="1" si="4"/>
        <v>2.2427730253464149</v>
      </c>
      <c r="L41" s="165">
        <f t="shared" ca="1" si="5"/>
        <v>6.3052870710536363E-2</v>
      </c>
      <c r="M41" s="166">
        <f ca="1">A41+L41*Design!$B$18</f>
        <v>88.594013630500569</v>
      </c>
      <c r="N41" s="166">
        <f ca="1">K41*Design!$C$11+A41</f>
        <v>167.98260193781735</v>
      </c>
      <c r="O41" s="166">
        <f ca="1">Constants!$D$22+Constants!$D$22*Constants!$C$23/100*(N41-25)</f>
        <v>239.38608155025389</v>
      </c>
      <c r="P41" s="165">
        <f ca="1">IF(100*(Design!$C$27+D41+C41*IF(ISBLANK(Design!$B$41),Constants!$C$6,Design!$B$41)/1000*(1+Constants!$C$32/100*(N41-25)))/($B41+D41-C41*O41/1000)&gt;Design!$C$34,  (1-Constants!$C$20/1000000000*IF(ISBLANK(Design!$B$31),Design!$B$30/4,Design!$B$31/4)*1000000) * ($B41+D41-C41*O41/1000) - (D41+C41*(1+($A41-25)*Constants!$C$32/100)*IF(ISBLANK(Design!$B$41),Constants!$C$6/1000,Design!$B$41/1000)),   (1-Constants!$C$20/1000000000*IF(ISBLANK(Design!$B$31),Design!$B$30,Design!$B$31)*1000000) * ($B41+D41-C41*O41/1000) - (D41+C41*(1+($A41-25)*Constants!$C$32/100)*IF(ISBLANK(Design!$B$41),Constants!$C$6/1000,Design!$B$41/1000)) )</f>
        <v>2.9730648992310167</v>
      </c>
      <c r="Q41" s="171">
        <f ca="1">IF(P41&gt;Design!$C$27,Design!$C$27,P41)</f>
        <v>2.9730648992310167</v>
      </c>
      <c r="R41" s="181">
        <f>2*Design!$D$6/3</f>
        <v>2</v>
      </c>
      <c r="S41" s="116">
        <f ca="1">FORECAST(R41, OFFSET(Design!$C$14:$C$16,MATCH(R41,Design!$B$14:$B$16,1)-1,0,2), OFFSET(Design!$B$14:$B$16,MATCH(R41,Design!$B$14:$B$16,1)-1,0,2))+(AB41-25)*Design!$B$17/1000</f>
        <v>0.3977385579938863</v>
      </c>
      <c r="T41" s="182">
        <f ca="1">IF(100*(Design!$C$27+S41+R41*IF(ISBLANK(Design!$B$41),Constants!$C$6,Design!$B$41)/1000*(1+Constants!$C$32/100*(AC41-25)))/($B41+S41-R41*AD41/1000)&gt;Design!$C$34,Design!$C$35,100*(Design!$C$27+S41+R41*IF(ISBLANK(Design!$B$41),Constants!$C$6,Design!$B$41)/1000*(1+Constants!$C$32/100*(AC41-25)))/($B41+S41-R41*AD41/1000))</f>
        <v>95.012500000000003</v>
      </c>
      <c r="U41" s="117">
        <f ca="1">IF(($B41-R41*IF(ISBLANK(Design!$B$41),Constants!$C$6,Design!$B$41)/1000*(1+Constants!$C$32/100*(AC41-25))-Design!$C$27)/(Design!$B$40/1000000)*T41/100/(IF(ISBLANK(IF(ISBLANK(Design!$B$40),Design!$B$38,Design!$B$40)),Design!$B$30,Design!$B$31)*1000000)&lt;0,0,($B41-R41*IF(ISBLANK(Design!$B$41),Constants!$C$6,Design!$B$41)/1000*(1+Constants!$C$32/100*(AC41-25))-Design!$C$27)/(IF(ISBLANK(Design!$B$40),Design!$B$38,Design!$B$40)/1000000)*T41/100/(IF(ISBLANK(Design!$B$31),Design!$B$30,Design!$B$31)*1000000))</f>
        <v>0</v>
      </c>
      <c r="V41" s="183">
        <f>$B41*Constants!$C$21/1000+IF(ISBLANK(Design!$B$31),Design!$B$30,Design!$B$31)*1000000*Constants!$D$25/1000000000*($B41-Constants!$C$24)</f>
        <v>8.4999999999998271E-5</v>
      </c>
      <c r="W41" s="183">
        <f>$B41*R41*($B41/(Constants!$C$26*1000000000)*IF(ISBLANK(Design!$B$31),Design!$B$30,Design!$B$31)*1000000/2+$B41/(Constants!$C$27*1000000000)*IF(ISBLANK(Design!$B$31),Design!$B$30,Design!$B$31)*1000000/2)</f>
        <v>9.5445145833333328E-2</v>
      </c>
      <c r="X41" s="183">
        <f t="shared" ca="1" si="1"/>
        <v>0.75958892595726946</v>
      </c>
      <c r="Y41" s="183">
        <f>Constants!$D$25/1000000000*Constants!$C$24*IF(ISBLANK(Design!$B$31),Design!$B$30,Design!$B$31)*1000000</f>
        <v>5.2499999999999998E-2</v>
      </c>
      <c r="Z41" s="183">
        <f t="shared" ca="1" si="10"/>
        <v>0.90761907179060275</v>
      </c>
      <c r="AA41" s="183">
        <f t="shared" ca="1" si="7"/>
        <v>3.9674421159890158E-2</v>
      </c>
      <c r="AB41" s="184">
        <f ca="1">$A41+AA41*Design!$B$18</f>
        <v>87.261442006113739</v>
      </c>
      <c r="AC41" s="184">
        <f ca="1">Z41*Design!$C$11+$A41</f>
        <v>118.5819056562523</v>
      </c>
      <c r="AD41" s="184">
        <f ca="1">Constants!$D$22+Constants!$D$22*Constants!$C$23/100*(AC41-25)</f>
        <v>199.86552452500183</v>
      </c>
      <c r="AE41" s="183">
        <f ca="1">IF(100*(Design!$C$27+S41+R41*IF(ISBLANK(Design!$B$41),Constants!$C$6,Design!$B$41)/1000*(1+Constants!$C$32/100*(AC41-25)))/($B41+S41-R41*AD41/1000)&gt;Design!$C$34,  (1-Constants!$C$20/1000000000*IF(ISBLANK(Design!$B$31),Design!$B$30/4,Design!$B$31/4)*1000000) * ($B41+S41-R41*AD41/1000) - (S41+R41*(1+($A41-25)*Constants!$C$32/100)*IF(ISBLANK(Design!$B$41),Constants!$C$6/1000,Design!$B$41/1000)),   (1-Constants!$C$20/1000000000*IF(ISBLANK(Design!$B$31),Design!$B$30,Design!$B$31)*1000000) * ($B41+S41-R41*AD41/1000) - (S41+R41*(1+($A41-25)*Constants!$C$32/100)*IF(ISBLANK(Design!$B$41),Constants!$C$6/1000,Design!$B$41/1000)) )</f>
        <v>3.3324019514414194</v>
      </c>
      <c r="AF41" s="117">
        <f ca="1">IF(AE41&gt;Design!$C$27,Design!$C$27,AE41)</f>
        <v>3.3324019514414194</v>
      </c>
      <c r="AG41" s="118">
        <f>Design!$D$6/3</f>
        <v>1</v>
      </c>
      <c r="AH41" s="118">
        <f ca="1">FORECAST(AG41, OFFSET(Design!$C$14:$C$16,MATCH(AG41,Design!$B$14:$B$16,1)-1,0,2), OFFSET(Design!$B$14:$B$16,MATCH(AG41,Design!$B$14:$B$16,1)-1,0,2))+(AQ41-25)*Design!$B$17/1000</f>
        <v>0.32130878151995867</v>
      </c>
      <c r="AI41" s="194">
        <f ca="1">IF(100*(Design!$C$27+AH41+AG41*IF(ISBLANK(Design!$B$41),Constants!$C$6,Design!$B$41)/1000*(1+Constants!$C$32/100*(AR41-25)))/($B41+AH41-AG41*AS41/1000)&gt;Design!$C$34,Design!$C$35,100*(Design!$C$27+AH41+AG41*IF(ISBLANK(Design!$B$41),Constants!$C$6,Design!$B$41)/1000*(1+Constants!$C$32/100*(AR41-25)))/($B41+AH41-AG41*AS41/1000))</f>
        <v>95.012500000000003</v>
      </c>
      <c r="AJ41" s="119">
        <f ca="1">IF(($B41-AG41*IF(ISBLANK(Design!$B$41),Constants!$C$6,Design!$B$41)/1000*(1+Constants!$C$32/100*(AR41-25))-Design!$C$27)/(IF(ISBLANK(Design!$B$40),Design!$B$38,Design!$B$40)/1000000)*AI41/100/(IF(ISBLANK(Design!$B$31),Design!$B$30,Design!$B$31)*1000000)&lt;0,0,($B41-AG41*IF(ISBLANK(Design!$B$41),Constants!$C$6,Design!$B$41)/1000*(1+Constants!$C$32/100*(AR41-25))-Design!$C$27)/(IF(ISBLANK(Design!$B$40),Design!$B$38,Design!$B$40)/1000000)*AI41/100/(IF(ISBLANK(Design!$B$31),Design!$B$30,Design!$B$31)*1000000))</f>
        <v>0</v>
      </c>
      <c r="AK41" s="195">
        <f>$B41*Constants!$C$21/1000+IF(ISBLANK(Design!$B$31),Design!$B$30,Design!$B$31)*1000000*Constants!$D$25/1000000000*($B41-Constants!$C$24)</f>
        <v>8.4999999999998271E-5</v>
      </c>
      <c r="AL41" s="195">
        <f>$B41*AG41*($B41/(Constants!$C$26*1000000000)*IF(ISBLANK(Design!$B$31),Design!$B$30,Design!$B$31)*1000000/2+$B41/(Constants!$C$27*1000000000)*IF(ISBLANK(Design!$B$31),Design!$B$30,Design!$B$31)*1000000/2)</f>
        <v>4.7722572916666664E-2</v>
      </c>
      <c r="AM41" s="195">
        <f t="shared" ca="1" si="2"/>
        <v>0.17203078734241845</v>
      </c>
      <c r="AN41" s="195">
        <f>Constants!$D$25/1000000000*Constants!$C$24*IF(ISBLANK(Design!$B$31),Design!$B$30,Design!$B$31)*1000000</f>
        <v>5.2499999999999998E-2</v>
      </c>
      <c r="AO41" s="195">
        <f t="shared" ca="1" si="11"/>
        <v>0.27233836025908509</v>
      </c>
      <c r="AP41" s="195">
        <f t="shared" ca="1" si="9"/>
        <v>1.602527547830794E-2</v>
      </c>
      <c r="AQ41" s="196">
        <f ca="1">$A41+AP41*Design!$B$18</f>
        <v>85.913440702263557</v>
      </c>
      <c r="AR41" s="196">
        <f ca="1">AO41*Design!$C$11+$A41</f>
        <v>95.076519329586148</v>
      </c>
      <c r="AS41" s="196">
        <f ca="1">Constants!$D$22+Constants!$D$22*Constants!$C$23/100*(AR41-25)</f>
        <v>181.06121546366893</v>
      </c>
      <c r="AT41" s="195">
        <f ca="1">IF(100*(Design!$C$27+AH41+AG41*IF(ISBLANK(Design!$B$41),Constants!$C$6,Design!$B$41)/1000*(1+Constants!$C$32/100*(AR41-25)))/($B41+AH41-AG41*AS41/1000)&gt;Design!$C$34,  (1-Constants!$C$20/1000000000*IF(ISBLANK(Design!$B$31),Design!$B$30/4,Design!$B$31/4)*1000000) * ($B41+AH41-AG41*AS41/1000) - (AH41+AG41*(1+($A41-25)*Constants!$C$32/100)*IF(ISBLANK(Design!$B$41),Constants!$C$6/1000,Design!$B$41/1000)),   (1-Constants!$C$20/1000000000*IF(ISBLANK(Design!$B$31),Design!$B$30,Design!$B$31)*1000000) * ($B41+AH41-AG41*AS41/1000) - (AH41+AG41*(1+($A41-25)*Constants!$C$32/100)*IF(ISBLANK(Design!$B$41),Constants!$C$6/1000,Design!$B$41/1000)) )</f>
        <v>3.5995885621792731</v>
      </c>
      <c r="AU41" s="119">
        <f ca="1">IF(AT41&gt;Design!$C$27,Design!$C$27,AT41)</f>
        <v>3.5995885621792731</v>
      </c>
    </row>
    <row r="42" spans="1:47" s="120" customFormat="1" ht="12.75" customHeight="1" x14ac:dyDescent="0.25">
      <c r="A42" s="112">
        <f>Design!$D$12</f>
        <v>85</v>
      </c>
      <c r="B42" s="113">
        <f t="shared" si="3"/>
        <v>3.8299999999999996</v>
      </c>
      <c r="C42" s="114">
        <f>Design!$D$6</f>
        <v>3</v>
      </c>
      <c r="D42" s="114">
        <f ca="1">FORECAST(C42, OFFSET(Design!$C$14:$C$16,MATCH(C42,Design!$B$14:$B$16,1)-1,0,2), OFFSET(Design!$B$14:$B$16,MATCH(C42,Design!$B$14:$B$16,1)-1,0,2))+(M42-25)*Design!$B$17/1000</f>
        <v>0.42140598636949944</v>
      </c>
      <c r="E42" s="173">
        <f ca="1">IF(100*(Design!$C$27+D42+C42*IF(ISBLANK(Design!$B$41),Constants!$C$6,Design!$B$41)/1000*(1+Constants!$C$32/100*(N42-25)))/($B42+D42-C42*O42/1000)&gt;Design!$C$34,Design!$C$35,100*(Design!$C$27+D42+C42*IF(ISBLANK(Design!$B$41),Constants!$C$6,Design!$B$41)/1000*(1+Constants!$C$32/100*(N42-25)))/($B42+D42-C42*O42/1000))</f>
        <v>95.012500000000003</v>
      </c>
      <c r="F42" s="115">
        <f ca="1">IF(($B42-C42*IF(ISBLANK(Design!$B$41),Constants!$C$6,Design!$B$41)/1000*(1+Constants!$C$32/100*(N42-25))-Design!$C$27)/(IF(ISBLANK(Design!$B$40),Design!$B$38,Design!$B$40)/1000000)*E42/100/(IF(ISBLANK(Design!$B$31),Design!$B$30,Design!$B$31)*1000000)&lt;0, 0, ($B42-C42*IF(ISBLANK(Design!$B$41),Constants!$C$6,Design!$B$41)/1000*(1+Constants!$C$32/100*(N42-25))-Design!$C$27)/(IF(ISBLANK(Design!$B$40),Design!$B$38,Design!$B$40)/1000000)*E42/100/(IF(ISBLANK(Design!$B$31),Design!$B$30,Design!$B$31)*1000000))</f>
        <v>0</v>
      </c>
      <c r="G42" s="165">
        <f>B42*Constants!$C$21/1000+IF(ISBLANK(Design!$B$31),Design!$B$30,Design!$B$31)*1000000*Constants!$D$25/1000000000*(B42-Constants!$C$24)</f>
        <v>-2.7100000000000058E-3</v>
      </c>
      <c r="H42" s="165">
        <f>B42*C42*(B42/(Constants!$C$26*1000000000)*IF(ISBLANK(Design!$B$31),Design!$B$30,Design!$B$31)*1000000/2+B42/(Constants!$C$27*1000000000)*IF(ISBLANK(Design!$B$31),Design!$B$30,Design!$B$31)*1000000/2)</f>
        <v>0.12835287499999998</v>
      </c>
      <c r="I42" s="165">
        <f t="shared" ca="1" si="0"/>
        <v>2.0410524862241326</v>
      </c>
      <c r="J42" s="165">
        <f>Constants!$D$25/1000000000*Constants!$C$24*IF(ISBLANK(Design!$B$31),Design!$B$30,Design!$B$31)*1000000</f>
        <v>5.2499999999999998E-2</v>
      </c>
      <c r="K42" s="165">
        <f t="shared" ca="1" si="4"/>
        <v>2.2191953612241329</v>
      </c>
      <c r="L42" s="165">
        <f t="shared" ca="1" si="5"/>
        <v>6.3052870710536363E-2</v>
      </c>
      <c r="M42" s="166">
        <f ca="1">A42+L42*Design!$B$18</f>
        <v>88.594013630500569</v>
      </c>
      <c r="N42" s="166">
        <f ca="1">K42*Design!$C$11+A42</f>
        <v>167.11022836529293</v>
      </c>
      <c r="O42" s="166">
        <f ca="1">Constants!$D$22+Constants!$D$22*Constants!$C$23/100*(N42-25)</f>
        <v>238.68818269223436</v>
      </c>
      <c r="P42" s="165">
        <f ca="1">IF(100*(Design!$C$27+D42+C42*IF(ISBLANK(Design!$B$41),Constants!$C$6,Design!$B$41)/1000*(1+Constants!$C$32/100*(N42-25)))/($B42+D42-C42*O42/1000)&gt;Design!$C$34,  (1-Constants!$C$20/1000000000*IF(ISBLANK(Design!$B$31),Design!$B$30/4,Design!$B$31/4)*1000000) * ($B42+D42-C42*O42/1000) - (D42+C42*(1+($A42-25)*Constants!$C$32/100)*IF(ISBLANK(Design!$B$41),Constants!$C$6/1000,Design!$B$41/1000)),   (1-Constants!$C$20/1000000000*IF(ISBLANK(Design!$B$31),Design!$B$30,Design!$B$31)*1000000) * ($B42+D42-C42*O42/1000) - (D42+C42*(1+($A42-25)*Constants!$C$32/100)*IF(ISBLANK(Design!$B$41),Constants!$C$6/1000,Design!$B$41/1000)) )</f>
        <v>2.7707772976884435</v>
      </c>
      <c r="Q42" s="171">
        <f ca="1">IF(P42&gt;Design!$C$27,Design!$C$27,P42)</f>
        <v>2.7707772976884435</v>
      </c>
      <c r="R42" s="181">
        <f>2*Design!$D$6/3</f>
        <v>2</v>
      </c>
      <c r="S42" s="116">
        <f ca="1">FORECAST(R42, OFFSET(Design!$C$14:$C$16,MATCH(R42,Design!$B$14:$B$16,1)-1,0,2), OFFSET(Design!$B$14:$B$16,MATCH(R42,Design!$B$14:$B$16,1)-1,0,2))+(AB42-25)*Design!$B$17/1000</f>
        <v>0.3977385579938863</v>
      </c>
      <c r="T42" s="182">
        <f ca="1">IF(100*(Design!$C$27+S42+R42*IF(ISBLANK(Design!$B$41),Constants!$C$6,Design!$B$41)/1000*(1+Constants!$C$32/100*(AC42-25)))/($B42+S42-R42*AD42/1000)&gt;Design!$C$34,Design!$C$35,100*(Design!$C$27+S42+R42*IF(ISBLANK(Design!$B$41),Constants!$C$6,Design!$B$41)/1000*(1+Constants!$C$32/100*(AC42-25)))/($B42+S42-R42*AD42/1000))</f>
        <v>95.012500000000003</v>
      </c>
      <c r="U42" s="117">
        <f ca="1">IF(($B42-R42*IF(ISBLANK(Design!$B$41),Constants!$C$6,Design!$B$41)/1000*(1+Constants!$C$32/100*(AC42-25))-Design!$C$27)/(Design!$B$40/1000000)*T42/100/(IF(ISBLANK(IF(ISBLANK(Design!$B$40),Design!$B$38,Design!$B$40)),Design!$B$30,Design!$B$31)*1000000)&lt;0,0,($B42-R42*IF(ISBLANK(Design!$B$41),Constants!$C$6,Design!$B$41)/1000*(1+Constants!$C$32/100*(AC42-25))-Design!$C$27)/(IF(ISBLANK(Design!$B$40),Design!$B$38,Design!$B$40)/1000000)*T42/100/(IF(ISBLANK(Design!$B$31),Design!$B$30,Design!$B$31)*1000000))</f>
        <v>0</v>
      </c>
      <c r="V42" s="183">
        <f>$B42*Constants!$C$21/1000+IF(ISBLANK(Design!$B$31),Design!$B$30,Design!$B$31)*1000000*Constants!$D$25/1000000000*($B42-Constants!$C$24)</f>
        <v>-2.7100000000000058E-3</v>
      </c>
      <c r="W42" s="183">
        <f>$B42*R42*($B42/(Constants!$C$26*1000000000)*IF(ISBLANK(Design!$B$31),Design!$B$30,Design!$B$31)*1000000/2+$B42/(Constants!$C$27*1000000000)*IF(ISBLANK(Design!$B$31),Design!$B$30,Design!$B$31)*1000000/2)</f>
        <v>8.5568583333333323E-2</v>
      </c>
      <c r="X42" s="183">
        <f t="shared" ca="1" si="1"/>
        <v>0.7579827552113122</v>
      </c>
      <c r="Y42" s="183">
        <f>Constants!$D$25/1000000000*Constants!$C$24*IF(ISBLANK(Design!$B$31),Design!$B$30,Design!$B$31)*1000000</f>
        <v>5.2499999999999998E-2</v>
      </c>
      <c r="Z42" s="183">
        <f t="shared" ca="1" si="10"/>
        <v>0.89334133854464548</v>
      </c>
      <c r="AA42" s="183">
        <f t="shared" ca="1" si="7"/>
        <v>3.9674421159890158E-2</v>
      </c>
      <c r="AB42" s="184">
        <f ca="1">$A42+AA42*Design!$B$18</f>
        <v>87.261442006113739</v>
      </c>
      <c r="AC42" s="184">
        <f ca="1">Z42*Design!$C$11+$A42</f>
        <v>118.05362952615188</v>
      </c>
      <c r="AD42" s="184">
        <f ca="1">Constants!$D$22+Constants!$D$22*Constants!$C$23/100*(AC42-25)</f>
        <v>199.44290362092153</v>
      </c>
      <c r="AE42" s="183">
        <f ca="1">IF(100*(Design!$C$27+S42+R42*IF(ISBLANK(Design!$B$41),Constants!$C$6,Design!$B$41)/1000*(1+Constants!$C$32/100*(AC42-25)))/($B42+S42-R42*AD42/1000)&gt;Design!$C$34,  (1-Constants!$C$20/1000000000*IF(ISBLANK(Design!$B$31),Design!$B$30/4,Design!$B$31/4)*1000000) * ($B42+S42-R42*AD42/1000) - (S42+R42*(1+($A42-25)*Constants!$C$32/100)*IF(ISBLANK(Design!$B$41),Constants!$C$6/1000,Design!$B$41/1000)),   (1-Constants!$C$20/1000000000*IF(ISBLANK(Design!$B$31),Design!$B$30,Design!$B$31)*1000000) * ($B42+S42-R42*AD42/1000) - (S42+R42*(1+($A42-25)*Constants!$C$32/100)*IF(ISBLANK(Design!$B$41),Constants!$C$6/1000,Design!$B$41/1000)) )</f>
        <v>3.1289281618143985</v>
      </c>
      <c r="AF42" s="117">
        <f ca="1">IF(AE42&gt;Design!$C$27,Design!$C$27,AE42)</f>
        <v>3.1289281618143985</v>
      </c>
      <c r="AG42" s="118">
        <f>Design!$D$6/3</f>
        <v>1</v>
      </c>
      <c r="AH42" s="118">
        <f ca="1">FORECAST(AG42, OFFSET(Design!$C$14:$C$16,MATCH(AG42,Design!$B$14:$B$16,1)-1,0,2), OFFSET(Design!$B$14:$B$16,MATCH(AG42,Design!$B$14:$B$16,1)-1,0,2))+(AQ42-25)*Design!$B$17/1000</f>
        <v>0.32130878151995867</v>
      </c>
      <c r="AI42" s="194">
        <f ca="1">IF(100*(Design!$C$27+AH42+AG42*IF(ISBLANK(Design!$B$41),Constants!$C$6,Design!$B$41)/1000*(1+Constants!$C$32/100*(AR42-25)))/($B42+AH42-AG42*AS42/1000)&gt;Design!$C$34,Design!$C$35,100*(Design!$C$27+AH42+AG42*IF(ISBLANK(Design!$B$41),Constants!$C$6,Design!$B$41)/1000*(1+Constants!$C$32/100*(AR42-25)))/($B42+AH42-AG42*AS42/1000))</f>
        <v>95.012500000000003</v>
      </c>
      <c r="AJ42" s="119">
        <f ca="1">IF(($B42-AG42*IF(ISBLANK(Design!$B$41),Constants!$C$6,Design!$B$41)/1000*(1+Constants!$C$32/100*(AR42-25))-Design!$C$27)/(IF(ISBLANK(Design!$B$40),Design!$B$38,Design!$B$40)/1000000)*AI42/100/(IF(ISBLANK(Design!$B$31),Design!$B$30,Design!$B$31)*1000000)&lt;0,0,($B42-AG42*IF(ISBLANK(Design!$B$41),Constants!$C$6,Design!$B$41)/1000*(1+Constants!$C$32/100*(AR42-25))-Design!$C$27)/(IF(ISBLANK(Design!$B$40),Design!$B$38,Design!$B$40)/1000000)*AI42/100/(IF(ISBLANK(Design!$B$31),Design!$B$30,Design!$B$31)*1000000))</f>
        <v>0</v>
      </c>
      <c r="AK42" s="195">
        <f>$B42*Constants!$C$21/1000+IF(ISBLANK(Design!$B$31),Design!$B$30,Design!$B$31)*1000000*Constants!$D$25/1000000000*($B42-Constants!$C$24)</f>
        <v>-2.7100000000000058E-3</v>
      </c>
      <c r="AL42" s="195">
        <f>$B42*AG42*($B42/(Constants!$C$26*1000000000)*IF(ISBLANK(Design!$B$31),Design!$B$30,Design!$B$31)*1000000/2+$B42/(Constants!$C$27*1000000000)*IF(ISBLANK(Design!$B$31),Design!$B$30,Design!$B$31)*1000000/2)</f>
        <v>4.2784291666666661E-2</v>
      </c>
      <c r="AM42" s="195">
        <f t="shared" ca="1" si="2"/>
        <v>0.17180700528096618</v>
      </c>
      <c r="AN42" s="195">
        <f>Constants!$D$25/1000000000*Constants!$C$24*IF(ISBLANK(Design!$B$31),Design!$B$30,Design!$B$31)*1000000</f>
        <v>5.2499999999999998E-2</v>
      </c>
      <c r="AO42" s="195">
        <f t="shared" ca="1" si="11"/>
        <v>0.26438129694763285</v>
      </c>
      <c r="AP42" s="195">
        <f t="shared" ca="1" si="9"/>
        <v>1.602527547830794E-2</v>
      </c>
      <c r="AQ42" s="196">
        <f ca="1">$A42+AP42*Design!$B$18</f>
        <v>85.913440702263557</v>
      </c>
      <c r="AR42" s="196">
        <f ca="1">AO42*Design!$C$11+$A42</f>
        <v>94.782107987062417</v>
      </c>
      <c r="AS42" s="196">
        <f ca="1">Constants!$D$22+Constants!$D$22*Constants!$C$23/100*(AR42-25)</f>
        <v>180.82568638964995</v>
      </c>
      <c r="AT42" s="195">
        <f ca="1">IF(100*(Design!$C$27+AH42+AG42*IF(ISBLANK(Design!$B$41),Constants!$C$6,Design!$B$41)/1000*(1+Constants!$C$32/100*(AR42-25)))/($B42+AH42-AG42*AS42/1000)&gt;Design!$C$34,  (1-Constants!$C$20/1000000000*IF(ISBLANK(Design!$B$31),Design!$B$30/4,Design!$B$31/4)*1000000) * ($B42+AH42-AG42*AS42/1000) - (AH42+AG42*(1+($A42-25)*Constants!$C$32/100)*IF(ISBLANK(Design!$B$41),Constants!$C$6/1000,Design!$B$41/1000)),   (1-Constants!$C$20/1000000000*IF(ISBLANK(Design!$B$31),Design!$B$30,Design!$B$31)*1000000) * ($B42+AH42-AG42*AS42/1000) - (AH42+AG42*(1+($A42-25)*Constants!$C$32/100)*IF(ISBLANK(Design!$B$41),Constants!$C$6/1000,Design!$B$41/1000)) )</f>
        <v>3.3955354692407256</v>
      </c>
      <c r="AU42" s="119">
        <f ca="1">IF(AT42&gt;Design!$C$27,Design!$C$27,AT42)</f>
        <v>3.3955354692407256</v>
      </c>
    </row>
    <row r="43" spans="1:47" s="120" customFormat="1" ht="12.75" customHeight="1" x14ac:dyDescent="0.25">
      <c r="A43" s="112">
        <f>Design!$D$12</f>
        <v>85</v>
      </c>
      <c r="B43" s="113">
        <f t="shared" si="3"/>
        <v>3.6149999999999998</v>
      </c>
      <c r="C43" s="114">
        <f>Design!$D$6</f>
        <v>3</v>
      </c>
      <c r="D43" s="114">
        <f ca="1">FORECAST(C43, OFFSET(Design!$C$14:$C$16,MATCH(C43,Design!$B$14:$B$16,1)-1,0,2), OFFSET(Design!$B$14:$B$16,MATCH(C43,Design!$B$14:$B$16,1)-1,0,2))+(M43-25)*Design!$B$17/1000</f>
        <v>0.42140598636949944</v>
      </c>
      <c r="E43" s="173">
        <f ca="1">IF(100*(Design!$C$27+D43+C43*IF(ISBLANK(Design!$B$41),Constants!$C$6,Design!$B$41)/1000*(1+Constants!$C$32/100*(N43-25)))/($B43+D43-C43*O43/1000)&gt;Design!$C$34,Design!$C$35,100*(Design!$C$27+D43+C43*IF(ISBLANK(Design!$B$41),Constants!$C$6,Design!$B$41)/1000*(1+Constants!$C$32/100*(N43-25)))/($B43+D43-C43*O43/1000))</f>
        <v>95.012500000000003</v>
      </c>
      <c r="F43" s="115">
        <f ca="1">IF(($B43-C43*IF(ISBLANK(Design!$B$41),Constants!$C$6,Design!$B$41)/1000*(1+Constants!$C$32/100*(N43-25))-Design!$C$27)/(IF(ISBLANK(Design!$B$40),Design!$B$38,Design!$B$40)/1000000)*E43/100/(IF(ISBLANK(Design!$B$31),Design!$B$30,Design!$B$31)*1000000)&lt;0, 0, ($B43-C43*IF(ISBLANK(Design!$B$41),Constants!$C$6,Design!$B$41)/1000*(1+Constants!$C$32/100*(N43-25))-Design!$C$27)/(IF(ISBLANK(Design!$B$40),Design!$B$38,Design!$B$40)/1000000)*E43/100/(IF(ISBLANK(Design!$B$31),Design!$B$30,Design!$B$31)*1000000))</f>
        <v>0</v>
      </c>
      <c r="G43" s="165">
        <f>B43*Constants!$C$21/1000+IF(ISBLANK(Design!$B$31),Design!$B$30,Design!$B$31)*1000000*Constants!$D$25/1000000000*(B43-Constants!$C$24)</f>
        <v>-5.5050000000000029E-3</v>
      </c>
      <c r="H43" s="165">
        <f>B43*C43*(B43/(Constants!$C$26*1000000000)*IF(ISBLANK(Design!$B$31),Design!$B$30,Design!$B$31)*1000000/2+B43/(Constants!$C$27*1000000000)*IF(ISBLANK(Design!$B$31),Design!$B$30,Design!$B$31)*1000000/2)</f>
        <v>0.11434696874999999</v>
      </c>
      <c r="I43" s="165">
        <f t="shared" ca="1" si="0"/>
        <v>2.0353588076194282</v>
      </c>
      <c r="J43" s="165">
        <f>Constants!$D$25/1000000000*Constants!$C$24*IF(ISBLANK(Design!$B$31),Design!$B$30,Design!$B$31)*1000000</f>
        <v>5.2499999999999998E-2</v>
      </c>
      <c r="K43" s="165">
        <f t="shared" ca="1" si="4"/>
        <v>2.1967007763694286</v>
      </c>
      <c r="L43" s="165">
        <f t="shared" ca="1" si="5"/>
        <v>6.3052870710536363E-2</v>
      </c>
      <c r="M43" s="166">
        <f ca="1">A43+L43*Design!$B$18</f>
        <v>88.594013630500569</v>
      </c>
      <c r="N43" s="166">
        <f ca="1">K43*Design!$C$11+A43</f>
        <v>166.27792872566886</v>
      </c>
      <c r="O43" s="166">
        <f ca="1">Constants!$D$22+Constants!$D$22*Constants!$C$23/100*(N43-25)</f>
        <v>238.02234298053509</v>
      </c>
      <c r="P43" s="165">
        <f ca="1">IF(100*(Design!$C$27+D43+C43*IF(ISBLANK(Design!$B$41),Constants!$C$6,Design!$B$41)/1000*(1+Constants!$C$32/100*(N43-25)))/($B43+D43-C43*O43/1000)&gt;Design!$C$34,  (1-Constants!$C$20/1000000000*IF(ISBLANK(Design!$B$31),Design!$B$30/4,Design!$B$31/4)*1000000) * ($B43+D43-C43*O43/1000) - (D43+C43*(1+($A43-25)*Constants!$C$32/100)*IF(ISBLANK(Design!$B$41),Constants!$C$6/1000,Design!$B$41/1000)),   (1-Constants!$C$20/1000000000*IF(ISBLANK(Design!$B$31),Design!$B$30,Design!$B$31)*1000000) * ($B43+D43-C43*O43/1000) - (D43+C43*(1+($A43-25)*Constants!$C$32/100)*IF(ISBLANK(Design!$B$41),Constants!$C$6/1000,Design!$B$41/1000)) )</f>
        <v>2.5683983155566783</v>
      </c>
      <c r="Q43" s="171">
        <f ca="1">IF(P43&gt;Design!$C$27,Design!$C$27,P43)</f>
        <v>2.5683983155566783</v>
      </c>
      <c r="R43" s="181">
        <f>2*Design!$D$6/3</f>
        <v>2</v>
      </c>
      <c r="S43" s="116">
        <f ca="1">FORECAST(R43, OFFSET(Design!$C$14:$C$16,MATCH(R43,Design!$B$14:$B$16,1)-1,0,2), OFFSET(Design!$B$14:$B$16,MATCH(R43,Design!$B$14:$B$16,1)-1,0,2))+(AB43-25)*Design!$B$17/1000</f>
        <v>0.3977385579938863</v>
      </c>
      <c r="T43" s="182">
        <f ca="1">IF(100*(Design!$C$27+S43+R43*IF(ISBLANK(Design!$B$41),Constants!$C$6,Design!$B$41)/1000*(1+Constants!$C$32/100*(AC43-25)))/($B43+S43-R43*AD43/1000)&gt;Design!$C$34,Design!$C$35,100*(Design!$C$27+S43+R43*IF(ISBLANK(Design!$B$41),Constants!$C$6,Design!$B$41)/1000*(1+Constants!$C$32/100*(AC43-25)))/($B43+S43-R43*AD43/1000))</f>
        <v>95.012500000000003</v>
      </c>
      <c r="U43" s="117">
        <f ca="1">IF(($B43-R43*IF(ISBLANK(Design!$B$41),Constants!$C$6,Design!$B$41)/1000*(1+Constants!$C$32/100*(AC43-25))-Design!$C$27)/(Design!$B$40/1000000)*T43/100/(IF(ISBLANK(IF(ISBLANK(Design!$B$40),Design!$B$38,Design!$B$40)),Design!$B$30,Design!$B$31)*1000000)&lt;0,0,($B43-R43*IF(ISBLANK(Design!$B$41),Constants!$C$6,Design!$B$41)/1000*(1+Constants!$C$32/100*(AC43-25))-Design!$C$27)/(IF(ISBLANK(Design!$B$40),Design!$B$38,Design!$B$40)/1000000)*T43/100/(IF(ISBLANK(Design!$B$31),Design!$B$30,Design!$B$31)*1000000))</f>
        <v>0</v>
      </c>
      <c r="V43" s="183">
        <f>$B43*Constants!$C$21/1000+IF(ISBLANK(Design!$B$31),Design!$B$30,Design!$B$31)*1000000*Constants!$D$25/1000000000*($B43-Constants!$C$24)</f>
        <v>-5.5050000000000029E-3</v>
      </c>
      <c r="W43" s="183">
        <f>$B43*R43*($B43/(Constants!$C$26*1000000000)*IF(ISBLANK(Design!$B$31),Design!$B$30,Design!$B$31)*1000000/2+$B43/(Constants!$C$27*1000000000)*IF(ISBLANK(Design!$B$31),Design!$B$30,Design!$B$31)*1000000/2)</f>
        <v>7.6231312499999995E-2</v>
      </c>
      <c r="X43" s="183">
        <f t="shared" ca="1" si="1"/>
        <v>0.75644494182053801</v>
      </c>
      <c r="Y43" s="183">
        <f>Constants!$D$25/1000000000*Constants!$C$24*IF(ISBLANK(Design!$B$31),Design!$B$30,Design!$B$31)*1000000</f>
        <v>5.2499999999999998E-2</v>
      </c>
      <c r="Z43" s="183">
        <f t="shared" ca="1" si="10"/>
        <v>0.87967125432053805</v>
      </c>
      <c r="AA43" s="183">
        <f t="shared" ca="1" si="7"/>
        <v>3.9674421159890158E-2</v>
      </c>
      <c r="AB43" s="184">
        <f ca="1">$A43+AA43*Design!$B$18</f>
        <v>87.261442006113739</v>
      </c>
      <c r="AC43" s="184">
        <f ca="1">Z43*Design!$C$11+$A43</f>
        <v>117.54783640985991</v>
      </c>
      <c r="AD43" s="184">
        <f ca="1">Constants!$D$22+Constants!$D$22*Constants!$C$23/100*(AC43-25)</f>
        <v>199.03826912788793</v>
      </c>
      <c r="AE43" s="183">
        <f ca="1">IF(100*(Design!$C$27+S43+R43*IF(ISBLANK(Design!$B$41),Constants!$C$6,Design!$B$41)/1000*(1+Constants!$C$32/100*(AC43-25)))/($B43+S43-R43*AD43/1000)&gt;Design!$C$34,  (1-Constants!$C$20/1000000000*IF(ISBLANK(Design!$B$31),Design!$B$30/4,Design!$B$31/4)*1000000) * ($B43+S43-R43*AD43/1000) - (S43+R43*(1+($A43-25)*Constants!$C$32/100)*IF(ISBLANK(Design!$B$41),Constants!$C$6/1000,Design!$B$41/1000)),   (1-Constants!$C$20/1000000000*IF(ISBLANK(Design!$B$31),Design!$B$30,Design!$B$31)*1000000) * ($B43+S43-R43*AD43/1000) - (S43+R43*(1+($A43-25)*Constants!$C$32/100)*IF(ISBLANK(Design!$B$41),Constants!$C$6/1000,Design!$B$41/1000)) )</f>
        <v>2.9254201935097859</v>
      </c>
      <c r="AF43" s="117">
        <f ca="1">IF(AE43&gt;Design!$C$27,Design!$C$27,AE43)</f>
        <v>2.9254201935097859</v>
      </c>
      <c r="AG43" s="118">
        <f>Design!$D$6/3</f>
        <v>1</v>
      </c>
      <c r="AH43" s="118">
        <f ca="1">FORECAST(AG43, OFFSET(Design!$C$14:$C$16,MATCH(AG43,Design!$B$14:$B$16,1)-1,0,2), OFFSET(Design!$B$14:$B$16,MATCH(AG43,Design!$B$14:$B$16,1)-1,0,2))+(AQ43-25)*Design!$B$17/1000</f>
        <v>0.32130878151995867</v>
      </c>
      <c r="AI43" s="194">
        <f ca="1">IF(100*(Design!$C$27+AH43+AG43*IF(ISBLANK(Design!$B$41),Constants!$C$6,Design!$B$41)/1000*(1+Constants!$C$32/100*(AR43-25)))/($B43+AH43-AG43*AS43/1000)&gt;Design!$C$34,Design!$C$35,100*(Design!$C$27+AH43+AG43*IF(ISBLANK(Design!$B$41),Constants!$C$6,Design!$B$41)/1000*(1+Constants!$C$32/100*(AR43-25)))/($B43+AH43-AG43*AS43/1000))</f>
        <v>95.012500000000003</v>
      </c>
      <c r="AJ43" s="119">
        <f ca="1">IF(($B43-AG43*IF(ISBLANK(Design!$B$41),Constants!$C$6,Design!$B$41)/1000*(1+Constants!$C$32/100*(AR43-25))-Design!$C$27)/(IF(ISBLANK(Design!$B$40),Design!$B$38,Design!$B$40)/1000000)*AI43/100/(IF(ISBLANK(Design!$B$31),Design!$B$30,Design!$B$31)*1000000)&lt;0,0,($B43-AG43*IF(ISBLANK(Design!$B$41),Constants!$C$6,Design!$B$41)/1000*(1+Constants!$C$32/100*(AR43-25))-Design!$C$27)/(IF(ISBLANK(Design!$B$40),Design!$B$38,Design!$B$40)/1000000)*AI43/100/(IF(ISBLANK(Design!$B$31),Design!$B$30,Design!$B$31)*1000000))</f>
        <v>0</v>
      </c>
      <c r="AK43" s="195">
        <f>$B43*Constants!$C$21/1000+IF(ISBLANK(Design!$B$31),Design!$B$30,Design!$B$31)*1000000*Constants!$D$25/1000000000*($B43-Constants!$C$24)</f>
        <v>-5.5050000000000029E-3</v>
      </c>
      <c r="AL43" s="195">
        <f>$B43*AG43*($B43/(Constants!$C$26*1000000000)*IF(ISBLANK(Design!$B$31),Design!$B$30,Design!$B$31)*1000000/2+$B43/(Constants!$C$27*1000000000)*IF(ISBLANK(Design!$B$31),Design!$B$30,Design!$B$31)*1000000/2)</f>
        <v>3.8115656249999998E-2</v>
      </c>
      <c r="AM43" s="195">
        <f t="shared" ca="1" si="2"/>
        <v>0.17159102610401974</v>
      </c>
      <c r="AN43" s="195">
        <f>Constants!$D$25/1000000000*Constants!$C$24*IF(ISBLANK(Design!$B$31),Design!$B$30,Design!$B$31)*1000000</f>
        <v>5.2499999999999998E-2</v>
      </c>
      <c r="AO43" s="195">
        <f t="shared" ca="1" si="11"/>
        <v>0.25670168235401974</v>
      </c>
      <c r="AP43" s="195">
        <f t="shared" ca="1" si="9"/>
        <v>1.602527547830794E-2</v>
      </c>
      <c r="AQ43" s="196">
        <f ca="1">$A43+AP43*Design!$B$18</f>
        <v>85.913440702263557</v>
      </c>
      <c r="AR43" s="196">
        <f ca="1">AO43*Design!$C$11+$A43</f>
        <v>94.497962247098727</v>
      </c>
      <c r="AS43" s="196">
        <f ca="1">Constants!$D$22+Constants!$D$22*Constants!$C$23/100*(AR43-25)</f>
        <v>180.59836979767897</v>
      </c>
      <c r="AT43" s="195">
        <f ca="1">IF(100*(Design!$C$27+AH43+AG43*IF(ISBLANK(Design!$B$41),Constants!$C$6,Design!$B$41)/1000*(1+Constants!$C$32/100*(AR43-25)))/($B43+AH43-AG43*AS43/1000)&gt;Design!$C$34,  (1-Constants!$C$20/1000000000*IF(ISBLANK(Design!$B$31),Design!$B$30/4,Design!$B$31/4)*1000000) * ($B43+AH43-AG43*AS43/1000) - (AH43+AG43*(1+($A43-25)*Constants!$C$32/100)*IF(ISBLANK(Design!$B$41),Constants!$C$6/1000,Design!$B$41/1000)),   (1-Constants!$C$20/1000000000*IF(ISBLANK(Design!$B$31),Design!$B$30,Design!$B$31)*1000000) * ($B43+AH43-AG43*AS43/1000) - (AH43+AG43*(1+($A43-25)*Constants!$C$32/100)*IF(ISBLANK(Design!$B$41),Constants!$C$6/1000,Design!$B$41/1000)) )</f>
        <v>3.1914745734176724</v>
      </c>
      <c r="AU43" s="119">
        <f ca="1">IF(AT43&gt;Design!$C$27,Design!$C$27,AT43)</f>
        <v>3.1914745734176724</v>
      </c>
    </row>
    <row r="44" spans="1:47" s="120" customFormat="1" ht="12.75" customHeight="1" thickBot="1" x14ac:dyDescent="0.3">
      <c r="A44" s="121">
        <f>Design!$D$12</f>
        <v>85</v>
      </c>
      <c r="B44" s="122">
        <f>Constants!$C$7</f>
        <v>3.4</v>
      </c>
      <c r="C44" s="123">
        <f>Design!$D$6</f>
        <v>3</v>
      </c>
      <c r="D44" s="123">
        <f ca="1">FORECAST(C44, OFFSET(Design!$C$14:$C$16,MATCH(C44,Design!$B$14:$B$16,1)-1,0,2), OFFSET(Design!$B$14:$B$16,MATCH(C44,Design!$B$14:$B$16,1)-1,0,2))+(M44-25)*Design!$B$17/1000</f>
        <v>0.42140598636949944</v>
      </c>
      <c r="E44" s="174">
        <f ca="1">IF(100*(Design!$C$27+D44+C44*IF(ISBLANK(Design!$B$41),Constants!$C$6,Design!$B$41)/1000*(1+Constants!$C$32/100*(N44-25)))/($B44+D44-C44*O44/1000)&gt;Design!$C$34,Design!$C$35,100*(Design!$C$27+D44+C44*IF(ISBLANK(Design!$B$41),Constants!$C$6,Design!$B$41)/1000*(1+Constants!$C$32/100*(N44-25)))/($B44+D44-C44*O44/1000))</f>
        <v>95.012500000000003</v>
      </c>
      <c r="F44" s="124">
        <f ca="1">IF(($B44-C44*IF(ISBLANK(Design!$B$41),Constants!$C$6,Design!$B$41)/1000*(1+Constants!$C$32/100*(N44-25))-Design!$C$27)/(IF(ISBLANK(Design!$B$40),Design!$B$38,Design!$B$40)/1000000)*E44/100/(IF(ISBLANK(Design!$B$31),Design!$B$30,Design!$B$31)*1000000)&lt;0, 0, ($B44-C44*IF(ISBLANK(Design!$B$41),Constants!$C$6,Design!$B$41)/1000*(1+Constants!$C$32/100*(N44-25))-Design!$C$27)/(IF(ISBLANK(Design!$B$40),Design!$B$38,Design!$B$40)/1000000)*E44/100/(IF(ISBLANK(Design!$B$31),Design!$B$30,Design!$B$31)*1000000))</f>
        <v>0</v>
      </c>
      <c r="G44" s="167">
        <f>B44*Constants!$C$21/1000+IF(ISBLANK(Design!$B$31),Design!$B$30,Design!$B$31)*1000000*Constants!$D$25/1000000000*(B44-Constants!$C$24)</f>
        <v>-8.3000000000000018E-3</v>
      </c>
      <c r="H44" s="167">
        <f>B44*C44*(B44/(Constants!$C$26*1000000000)*IF(ISBLANK(Design!$B$31),Design!$B$30,Design!$B$31)*1000000/2+B44/(Constants!$C$27*1000000000)*IF(ISBLANK(Design!$B$31),Design!$B$30,Design!$B$31)*1000000/2)</f>
        <v>0.10114999999999998</v>
      </c>
      <c r="I44" s="167">
        <f t="shared" ca="1" si="0"/>
        <v>2.0299392707823025</v>
      </c>
      <c r="J44" s="167">
        <f>Constants!$D$25/1000000000*Constants!$C$24*IF(ISBLANK(Design!$B$31),Design!$B$30,Design!$B$31)*1000000</f>
        <v>5.2499999999999998E-2</v>
      </c>
      <c r="K44" s="167">
        <f t="shared" ca="1" si="4"/>
        <v>2.1752892707823026</v>
      </c>
      <c r="L44" s="167">
        <f t="shared" ca="1" si="5"/>
        <v>6.3052870710536363E-2</v>
      </c>
      <c r="M44" s="168">
        <f ca="1">A44+L44*Design!$B$18</f>
        <v>88.594013630500569</v>
      </c>
      <c r="N44" s="168">
        <f ca="1">K44*Design!$C$11+A44</f>
        <v>165.4857030189452</v>
      </c>
      <c r="O44" s="168">
        <f ca="1">Constants!$D$22+Constants!$D$22*Constants!$C$23/100*(N44-25)</f>
        <v>237.38856241515617</v>
      </c>
      <c r="P44" s="167">
        <f ca="1">IF(100*(Design!$C$27+D44+C44*IF(ISBLANK(Design!$B$41),Constants!$C$6,Design!$B$41)/1000*(1+Constants!$C$32/100*(N44-25)))/($B44+D44-C44*O44/1000)&gt;Design!$C$34,  (1-Constants!$C$20/1000000000*IF(ISBLANK(Design!$B$31),Design!$B$30/4,Design!$B$31/4)*1000000) * ($B44+D44-C44*O44/1000) - (D44+C44*(1+($A44-25)*Constants!$C$32/100)*IF(ISBLANK(Design!$B$41),Constants!$C$6/1000,Design!$B$41/1000)),   (1-Constants!$C$20/1000000000*IF(ISBLANK(Design!$B$31),Design!$B$30,Design!$B$31)*1000000) * ($B44+D44-C44*O44/1000) - (D44+C44*(1+($A44-25)*Constants!$C$32/100)*IF(ISBLANK(Design!$B$41),Constants!$C$6/1000,Design!$B$41/1000)) )</f>
        <v>2.3659279528357207</v>
      </c>
      <c r="Q44" s="314">
        <f ca="1">IF(P44&gt;Design!$C$27,Design!$C$27,P44)</f>
        <v>2.3659279528357207</v>
      </c>
      <c r="R44" s="185">
        <f>2*Design!$D$6/3</f>
        <v>2</v>
      </c>
      <c r="S44" s="125">
        <f ca="1">FORECAST(R44, OFFSET(Design!$C$14:$C$16,MATCH(R44,Design!$B$14:$B$16,1)-1,0,2), OFFSET(Design!$B$14:$B$16,MATCH(R44,Design!$B$14:$B$16,1)-1,0,2))+(AB44-25)*Design!$B$17/1000</f>
        <v>0.3977385579938863</v>
      </c>
      <c r="T44" s="186">
        <f ca="1">IF(100*(Design!$C$27+S44+R44*IF(ISBLANK(Design!$B$41),Constants!$C$6,Design!$B$41)/1000*(1+Constants!$C$32/100*(AC44-25)))/($B44+S44-R44*AD44/1000)&gt;Design!$C$34,Design!$C$35,100*(Design!$C$27+S44+R44*IF(ISBLANK(Design!$B$41),Constants!$C$6,Design!$B$41)/1000*(1+Constants!$C$32/100*(AC44-25)))/($B44+S44-R44*AD44/1000))</f>
        <v>95.012500000000003</v>
      </c>
      <c r="U44" s="126">
        <f ca="1">IF(($B44-R44*IF(ISBLANK(Design!$B$41),Constants!$C$6,Design!$B$41)/1000*(1+Constants!$C$32/100*(AC44-25))-Design!$C$27)/(Design!$B$40/1000000)*T44/100/(IF(ISBLANK(IF(ISBLANK(Design!$B$40),Design!$B$38,Design!$B$40)),Design!$B$30,Design!$B$31)*1000000)&lt;0,0,($B44-R44*IF(ISBLANK(Design!$B$41),Constants!$C$6,Design!$B$41)/1000*(1+Constants!$C$32/100*(AC44-25))-Design!$C$27)/(IF(ISBLANK(Design!$B$40),Design!$B$38,Design!$B$40)/1000000)*T44/100/(IF(ISBLANK(Design!$B$31),Design!$B$30,Design!$B$31)*1000000))</f>
        <v>0</v>
      </c>
      <c r="V44" s="187">
        <f>$B44*Constants!$C$21/1000+IF(ISBLANK(Design!$B$31),Design!$B$30,Design!$B$31)*1000000*Constants!$D$25/1000000000*($B44-Constants!$C$24)</f>
        <v>-8.3000000000000018E-3</v>
      </c>
      <c r="W44" s="187">
        <f>$B44*R44*($B44/(Constants!$C$26*1000000000)*IF(ISBLANK(Design!$B$31),Design!$B$30,Design!$B$31)*1000000/2+$B44/(Constants!$C$27*1000000000)*IF(ISBLANK(Design!$B$31),Design!$B$30,Design!$B$31)*1000000/2)</f>
        <v>6.7433333333333331E-2</v>
      </c>
      <c r="X44" s="187">
        <f t="shared" ca="1" si="1"/>
        <v>0.75497548578494711</v>
      </c>
      <c r="Y44" s="187">
        <f>Constants!$D$25/1000000000*Constants!$C$24*IF(ISBLANK(Design!$B$31),Design!$B$30,Design!$B$31)*1000000</f>
        <v>5.2499999999999998E-2</v>
      </c>
      <c r="Z44" s="187">
        <f t="shared" ca="1" si="10"/>
        <v>0.86660881911828047</v>
      </c>
      <c r="AA44" s="187">
        <f t="shared" ca="1" si="7"/>
        <v>3.9674421159890158E-2</v>
      </c>
      <c r="AB44" s="188">
        <f ca="1">$A44+AA44*Design!$B$18</f>
        <v>87.261442006113739</v>
      </c>
      <c r="AC44" s="188">
        <f ca="1">Z44*Design!$C$11+$A44</f>
        <v>117.06452630737638</v>
      </c>
      <c r="AD44" s="188">
        <f ca="1">Constants!$D$22+Constants!$D$22*Constants!$C$23/100*(AC44-25)</f>
        <v>198.65162104590109</v>
      </c>
      <c r="AE44" s="187">
        <f ca="1">IF(100*(Design!$C$27+S44+R44*IF(ISBLANK(Design!$B$41),Constants!$C$6,Design!$B$41)/1000*(1+Constants!$C$32/100*(AC44-25)))/($B44+S44-R44*AD44/1000)&gt;Design!$C$34,  (1-Constants!$C$20/1000000000*IF(ISBLANK(Design!$B$31),Design!$B$30/4,Design!$B$31/4)*1000000) * ($B44+S44-R44*AD44/1000) - (S44+R44*(1+($A44-25)*Constants!$C$32/100)*IF(ISBLANK(Design!$B$41),Constants!$C$6/1000,Design!$B$41/1000)),   (1-Constants!$C$20/1000000000*IF(ISBLANK(Design!$B$31),Design!$B$30,Design!$B$31)*1000000) * ($B44+S44-R44*AD44/1000) - (S44+R44*(1+($A44-25)*Constants!$C$32/100)*IF(ISBLANK(Design!$B$41),Constants!$C$6/1000,Design!$B$41/1000)) )</f>
        <v>2.7218780465275811</v>
      </c>
      <c r="AF44" s="126">
        <f ca="1">IF(AE44&gt;Design!$C$27,Design!$C$27,AE44)</f>
        <v>2.7218780465275811</v>
      </c>
      <c r="AG44" s="127">
        <f>Design!$D$6/3</f>
        <v>1</v>
      </c>
      <c r="AH44" s="127">
        <f ca="1">FORECAST(AG44, OFFSET(Design!$C$14:$C$16,MATCH(AG44,Design!$B$14:$B$16,1)-1,0,2), OFFSET(Design!$B$14:$B$16,MATCH(AG44,Design!$B$14:$B$16,1)-1,0,2))+(AQ44-25)*Design!$B$17/1000</f>
        <v>0.32130878151995867</v>
      </c>
      <c r="AI44" s="197">
        <f ca="1">IF(100*(Design!$C$27+AH44+AG44*IF(ISBLANK(Design!$B$41),Constants!$C$6,Design!$B$41)/1000*(1+Constants!$C$32/100*(AR44-25)))/($B44+AH44-AG44*AS44/1000)&gt;Design!$C$34,Design!$C$35,100*(Design!$C$27+AH44+AG44*IF(ISBLANK(Design!$B$41),Constants!$C$6,Design!$B$41)/1000*(1+Constants!$C$32/100*(AR44-25)))/($B44+AH44-AG44*AS44/1000))</f>
        <v>95.012500000000003</v>
      </c>
      <c r="AJ44" s="128">
        <f ca="1">IF(($B44-AG44*IF(ISBLANK(Design!$B$41),Constants!$C$6,Design!$B$41)/1000*(1+Constants!$C$32/100*(AR44-25))-Design!$C$27)/(IF(ISBLANK(Design!$B$40),Design!$B$38,Design!$B$40)/1000000)*AI44/100/(IF(ISBLANK(Design!$B$31),Design!$B$30,Design!$B$31)*1000000)&lt;0,0,($B44-AG44*IF(ISBLANK(Design!$B$41),Constants!$C$6,Design!$B$41)/1000*(1+Constants!$C$32/100*(AR44-25))-Design!$C$27)/(IF(ISBLANK(Design!$B$40),Design!$B$38,Design!$B$40)/1000000)*AI44/100/(IF(ISBLANK(Design!$B$31),Design!$B$30,Design!$B$31)*1000000))</f>
        <v>0</v>
      </c>
      <c r="AK44" s="198">
        <f>$B44*Constants!$C$21/1000+IF(ISBLANK(Design!$B$31),Design!$B$30,Design!$B$31)*1000000*Constants!$D$25/1000000000*($B44-Constants!$C$24)</f>
        <v>-8.3000000000000018E-3</v>
      </c>
      <c r="AL44" s="198">
        <f>$B44*AG44*($B44/(Constants!$C$26*1000000000)*IF(ISBLANK(Design!$B$31),Design!$B$30,Design!$B$31)*1000000/2+$B44/(Constants!$C$27*1000000000)*IF(ISBLANK(Design!$B$31),Design!$B$30,Design!$B$31)*1000000/2)</f>
        <v>3.3716666666666666E-2</v>
      </c>
      <c r="AM44" s="198">
        <f t="shared" ca="1" si="2"/>
        <v>0.17138284981157925</v>
      </c>
      <c r="AN44" s="198">
        <f>Constants!$D$25/1000000000*Constants!$C$24*IF(ISBLANK(Design!$B$31),Design!$B$30,Design!$B$31)*1000000</f>
        <v>5.2499999999999998E-2</v>
      </c>
      <c r="AO44" s="198">
        <f t="shared" ca="1" si="11"/>
        <v>0.24929951647824591</v>
      </c>
      <c r="AP44" s="198">
        <f t="shared" ca="1" si="9"/>
        <v>1.602527547830794E-2</v>
      </c>
      <c r="AQ44" s="199">
        <f ca="1">$A44+AP44*Design!$B$18</f>
        <v>85.913440702263557</v>
      </c>
      <c r="AR44" s="199">
        <f ca="1">AO44*Design!$C$11+$A44</f>
        <v>94.224082109695104</v>
      </c>
      <c r="AS44" s="199">
        <f ca="1">Constants!$D$22+Constants!$D$22*Constants!$C$23/100*(AR44-25)</f>
        <v>180.37926568775609</v>
      </c>
      <c r="AT44" s="198">
        <f ca="1">IF(100*(Design!$C$27+AH44+AG44*IF(ISBLANK(Design!$B$41),Constants!$C$6,Design!$B$41)/1000*(1+Constants!$C$32/100*(AR44-25)))/($B44+AH44-AG44*AS44/1000)&gt;Design!$C$34,  (1-Constants!$C$20/1000000000*IF(ISBLANK(Design!$B$31),Design!$B$30/4,Design!$B$31/4)*1000000) * ($B44+AH44-AG44*AS44/1000) - (AH44+AG44*(1+($A44-25)*Constants!$C$32/100)*IF(ISBLANK(Design!$B$41),Constants!$C$6/1000,Design!$B$41/1000)),   (1-Constants!$C$20/1000000000*IF(ISBLANK(Design!$B$31),Design!$B$30,Design!$B$31)*1000000) * ($B44+AH44-AG44*AS44/1000) - (AH44+AG44*(1+($A44-25)*Constants!$C$32/100)*IF(ISBLANK(Design!$B$41),Constants!$C$6/1000,Design!$B$41/1000)) )</f>
        <v>2.9874058747101127</v>
      </c>
      <c r="AU44" s="128">
        <f ca="1">IF(AT44&gt;Design!$C$27,Design!$C$27,AT44)</f>
        <v>2.9874058747101127</v>
      </c>
    </row>
    <row r="45" spans="1:47" s="229" customFormat="1" ht="18" customHeight="1" x14ac:dyDescent="0.3">
      <c r="A45" s="237" t="s">
        <v>263</v>
      </c>
      <c r="B45" s="230"/>
      <c r="C45" s="231"/>
      <c r="D45" s="231"/>
      <c r="E45" s="232"/>
      <c r="F45" s="233"/>
      <c r="G45" s="233"/>
      <c r="H45" s="233"/>
      <c r="I45" s="233"/>
      <c r="J45" s="233"/>
      <c r="K45" s="233"/>
      <c r="L45" s="233"/>
      <c r="M45" s="233"/>
      <c r="N45" s="232"/>
      <c r="O45" s="232"/>
      <c r="P45" s="233"/>
      <c r="Q45" s="233"/>
      <c r="R45" s="231"/>
      <c r="S45" s="231"/>
      <c r="T45" s="232"/>
      <c r="U45" s="233"/>
      <c r="V45" s="233"/>
      <c r="W45" s="233"/>
      <c r="X45" s="233"/>
      <c r="Y45" s="233"/>
      <c r="Z45" s="233"/>
      <c r="AA45" s="233"/>
      <c r="AB45" s="233"/>
      <c r="AC45" s="232"/>
      <c r="AD45" s="232"/>
      <c r="AE45" s="233"/>
      <c r="AF45" s="233"/>
      <c r="AG45" s="231"/>
      <c r="AH45" s="231"/>
      <c r="AI45" s="232"/>
      <c r="AJ45" s="233"/>
      <c r="AK45" s="233"/>
      <c r="AL45" s="233"/>
      <c r="AM45" s="233"/>
      <c r="AN45" s="233"/>
      <c r="AO45" s="233"/>
      <c r="AP45" s="233"/>
      <c r="AQ45" s="233"/>
      <c r="AR45" s="232"/>
      <c r="AS45" s="232"/>
      <c r="AT45" s="233"/>
      <c r="AU45" s="234"/>
    </row>
    <row r="46" spans="1:47" ht="16.2" thickBot="1" x14ac:dyDescent="0.35">
      <c r="A46" s="210" t="s">
        <v>194</v>
      </c>
      <c r="B46" s="235" t="s">
        <v>106</v>
      </c>
      <c r="C46" s="208" t="s">
        <v>92</v>
      </c>
      <c r="D46" s="208" t="s">
        <v>219</v>
      </c>
      <c r="E46" s="200" t="s">
        <v>217</v>
      </c>
      <c r="F46" s="200" t="s">
        <v>218</v>
      </c>
      <c r="G46" s="200" t="s">
        <v>93</v>
      </c>
      <c r="H46" s="200" t="s">
        <v>94</v>
      </c>
      <c r="I46" s="200" t="s">
        <v>95</v>
      </c>
      <c r="J46" s="200" t="s">
        <v>182</v>
      </c>
      <c r="K46" s="200" t="s">
        <v>96</v>
      </c>
      <c r="L46" s="200" t="s">
        <v>237</v>
      </c>
      <c r="M46" s="200" t="s">
        <v>264</v>
      </c>
      <c r="N46" s="200" t="s">
        <v>265</v>
      </c>
      <c r="O46" s="200" t="s">
        <v>111</v>
      </c>
      <c r="P46" s="200" t="s">
        <v>231</v>
      </c>
      <c r="Q46" s="211" t="s">
        <v>230</v>
      </c>
      <c r="R46" s="208" t="s">
        <v>92</v>
      </c>
      <c r="S46" s="208" t="s">
        <v>219</v>
      </c>
      <c r="T46" s="200" t="s">
        <v>217</v>
      </c>
      <c r="U46" s="200" t="s">
        <v>218</v>
      </c>
      <c r="V46" s="200" t="s">
        <v>93</v>
      </c>
      <c r="W46" s="200" t="s">
        <v>94</v>
      </c>
      <c r="X46" s="200" t="s">
        <v>95</v>
      </c>
      <c r="Y46" s="200" t="s">
        <v>182</v>
      </c>
      <c r="Z46" s="200" t="s">
        <v>96</v>
      </c>
      <c r="AA46" s="200" t="s">
        <v>237</v>
      </c>
      <c r="AB46" s="200" t="s">
        <v>264</v>
      </c>
      <c r="AC46" s="200" t="s">
        <v>265</v>
      </c>
      <c r="AD46" s="200" t="s">
        <v>111</v>
      </c>
      <c r="AE46" s="200" t="s">
        <v>231</v>
      </c>
      <c r="AF46" s="211" t="s">
        <v>230</v>
      </c>
      <c r="AG46" s="208" t="s">
        <v>92</v>
      </c>
      <c r="AH46" s="208" t="s">
        <v>219</v>
      </c>
      <c r="AI46" s="200" t="s">
        <v>217</v>
      </c>
      <c r="AJ46" s="200" t="s">
        <v>218</v>
      </c>
      <c r="AK46" s="200" t="s">
        <v>93</v>
      </c>
      <c r="AL46" s="200" t="s">
        <v>94</v>
      </c>
      <c r="AM46" s="200" t="s">
        <v>95</v>
      </c>
      <c r="AN46" s="200" t="s">
        <v>182</v>
      </c>
      <c r="AO46" s="200" t="s">
        <v>96</v>
      </c>
      <c r="AP46" s="200" t="s">
        <v>237</v>
      </c>
      <c r="AQ46" s="200" t="s">
        <v>264</v>
      </c>
      <c r="AR46" s="200" t="s">
        <v>265</v>
      </c>
      <c r="AS46" s="200" t="s">
        <v>111</v>
      </c>
      <c r="AT46" s="200" t="s">
        <v>231</v>
      </c>
      <c r="AU46" s="211" t="s">
        <v>230</v>
      </c>
    </row>
    <row r="47" spans="1:47" ht="12.75" customHeight="1" x14ac:dyDescent="0.3">
      <c r="A47" s="159">
        <f>Design!$D$12</f>
        <v>85</v>
      </c>
      <c r="B47" s="160">
        <f t="shared" ref="B47:B86" si="12">$B48+$AU$88</f>
        <v>11.999999999999995</v>
      </c>
      <c r="C47" s="161">
        <f>Design!$D$6</f>
        <v>3</v>
      </c>
      <c r="D47" s="161">
        <f ca="1">FORECAST(C47, OFFSET(Design!$C$14:$C$16,MATCH(C47,Design!$B$14:$B$16,1)-1,0,2), OFFSET(Design!$B$14:$B$16,MATCH(C47,Design!$B$14:$B$16,1)-1,0,2))+(M47-25)*Design!$B$17/1000</f>
        <v>0.39033333180338131</v>
      </c>
      <c r="E47" s="172">
        <f ca="1">IF(100*(Design!$C$27+D47+C47*IF(ISBLANK(Design!$B$41),Constants!$C$6,Design!$B$41)/1000*(1+Constants!$C$32/100*(N47-25)))/($B47+D47-C47*O47/1000)&gt;Design!$B$34,Design!$B$35,100*(Design!$C$27+D47+C47*IF(ISBLANK(Design!$B$41),Constants!$C$6,Design!$B$41)/1000*(1+Constants!$C$32/100*(N47-25)))/($B47+D47-C47*O47/1000))</f>
        <v>48.062582089834358</v>
      </c>
      <c r="F47" s="162">
        <f ca="1">IF(($B47-C47*IF(ISBLANK(Design!$B$41),Constants!$C$6,Design!$B$41)/1000*(1+Constants!$C$32/100*(N47-25))-Design!$C$27)/(IF(ISBLANK(Design!$B$40),Design!$B$38,Design!$B$40)/1000000)*E47/100/(IF(ISBLANK(Design!$B$31),Design!$B$30,Design!$B$31)*1000000)&lt;0,0,($B47-C47*IF(ISBLANK(Design!$B$41),Constants!$C$6,Design!$B$41)/1000*(1+Constants!$C$32/100*(N47-25))-Design!$C$27)/(IF(ISBLANK(Design!$B$40),Design!$B$38,Design!$B$40)/1000000)*E47/100/(IF(ISBLANK(Design!$B$31),Design!$B$30,Design!$B$31)*1000000))</f>
        <v>0.47096531840612466</v>
      </c>
      <c r="G47" s="163">
        <f>B47*Constants!$C$21/1000+IF(ISBLANK(Design!$B$31),Design!$B$30,Design!$B$31)*1000000*Constants!$D$25/1000000000*(B47-Constants!$C$24)</f>
        <v>0.10349999999999994</v>
      </c>
      <c r="H47" s="163">
        <f>B47*C47*(B47/(Constants!$C$26*1000000000)*IF(ISBLANK(Design!$B$31),Design!$B$30,Design!$B$31)*1000000/2+B47/(Constants!$C$27*1000000000)*IF(ISBLANK(Design!$B$31),Design!$B$30,Design!$B$31)*1000000/2)</f>
        <v>1.2599999999999991</v>
      </c>
      <c r="I47" s="163">
        <f t="shared" ref="I47:I87" ca="1" si="13">IF($D$115,1,E47/100*(C47^2+F47^2/12)*O47/1000)</f>
        <v>1.0686569893070876</v>
      </c>
      <c r="J47" s="163">
        <f>Constants!$D$25/1000000000*Constants!$C$24*IF(ISBLANK(Design!$B$31),Design!$B$30,Design!$B$31)*1000000</f>
        <v>5.2499999999999998E-2</v>
      </c>
      <c r="K47" s="163">
        <f ca="1">SUM(G47:J47)</f>
        <v>2.4846569893070871</v>
      </c>
      <c r="L47" s="163">
        <f ca="1">C47*D47*(1-E47/100)</f>
        <v>0.60818716134418693</v>
      </c>
      <c r="M47" s="164">
        <f ca="1">$A47+L47*Design!$B$18</f>
        <v>119.66666819661866</v>
      </c>
      <c r="N47" s="164">
        <f ca="1">K47*Design!$C$11+A47</f>
        <v>176.93230860436222</v>
      </c>
      <c r="O47" s="164">
        <f ca="1">Constants!$D$22+Constants!$D$22*Constants!$C$23/100*(N47-25)</f>
        <v>246.54584688348979</v>
      </c>
      <c r="P47" s="163">
        <f ca="1">IF(100*(Design!$C$27+D47+C47*IF(ISBLANK(Design!$B$41),Constants!$C$6,Design!$B$41)/1000*(1+Constants!$C$32/100*(N47-25)))/($B47+D47-C47*O47/1000)&gt;Design!$B$34,   (1-Constants!$D$20/1000000000*IF(ISBLANK(Design!$B$31),Design!$B$30/4,Design!$B$31/4)*1000000) * ($B47+D47-C47*O47/1000) - (D47+C47*(1+($A47-25)*Constants!$C$32/100)*IF(ISBLANK(Design!$B$41),Constants!$C$6/1000,Design!$B$41/1000)),  (1-Constants!$D$20/1000000000*IF(ISBLANK(Design!$B$31),Design!$B$30,Design!$B$31)*1000000) * ($B47+D47-C47*O47/1000) - (D47+C47*(1+($A47-25)*Constants!$C$32/100)*IF(ISBLANK(Design!$B$41),Constants!$C$6/1000,Design!$B$41/1000)))</f>
        <v>7.9128895083647812</v>
      </c>
      <c r="Q47" s="162">
        <f ca="1">IF(P47&gt;Design!$C$27,Design!$C$27,P47)</f>
        <v>4.9936842105263155</v>
      </c>
      <c r="R47" s="176">
        <f>2*Design!$D$6/3</f>
        <v>2</v>
      </c>
      <c r="S47" s="176">
        <f ca="1">FORECAST(R47, OFFSET(Design!$C$14:$C$16,MATCH(R47,Design!$B$14:$B$16,1)-1,0,2), OFFSET(Design!$B$14:$B$16,MATCH(R47,Design!$B$14:$B$16,1)-1,0,2))+(AB47-25)*Design!$B$17/1000</f>
        <v>0.37681639765046288</v>
      </c>
      <c r="T47" s="177">
        <f ca="1">IF(100*(Design!$C$27+S47+R47*IF(ISBLANK(Design!$B$41),Constants!$C$6,Design!$B$41)/1000*(1+Constants!$C$32/100*(AC47-25)))/($B47+S47-R47*AD47/1000)&gt;Design!$B$34,Design!$B$35,100*(Design!$C$27+S47+R47*IF(ISBLANK(Design!$B$41),Constants!$C$6,Design!$B$41)/1000*(1+Constants!$C$32/100*(AC47-25)))/($B47+S47-R47*AD47/1000))</f>
        <v>46.030763480914366</v>
      </c>
      <c r="U47" s="178">
        <f ca="1">IF(($B47-R47*IF(ISBLANK(Design!$B$41),Constants!$C$6,Design!$B$41)/1000*(1+Constants!$C$32/100*(AC47-25))-Design!$C$27)/(IF(ISBLANK(Design!$B$40),Design!$B$38,Design!$B$40)/1000000)*T47/100/(IF(ISBLANK(Design!$B$31),Design!$B$30,Design!$B$31)*1000000)&lt;0,0,($B47-R47*IF(ISBLANK(Design!$B$41),Constants!$C$6,Design!$B$41)/1000*(1+Constants!$C$32/100*(AC47-25))-Design!$C$27)/(IF(ISBLANK(Design!$B$40),Design!$B$38,Design!$B$40)/1000000)*T47/100/(IF(ISBLANK(Design!$B$31),Design!$B$30,Design!$B$31)*1000000))</f>
        <v>0.45677896006739566</v>
      </c>
      <c r="V47" s="179">
        <f>$B47*Constants!$C$21/1000+IF(ISBLANK(Design!$B$31),Design!$B$30,Design!$B$31)*1000000*Constants!$D$25/1000000000*($B47-Constants!$C$24)</f>
        <v>0.10349999999999994</v>
      </c>
      <c r="W47" s="179">
        <f>$B47*R47*($B47/(Constants!$C$26*1000000000)*IF(ISBLANK(Design!$B$31),Design!$B$30,Design!$B$31)*1000000/2+$B47/(Constants!$C$27*1000000000)*IF(ISBLANK(Design!$B$31),Design!$B$30,Design!$B$31)*1000000/2)</f>
        <v>0.83999999999999941</v>
      </c>
      <c r="X47" s="179">
        <f t="shared" ref="X47:X87" ca="1" si="14">IF($D$115,1,T47/100*(R47^2+U47^2/12)*AD47/1000)</f>
        <v>0.39611832209585035</v>
      </c>
      <c r="Y47" s="179">
        <f>Constants!$D$25/1000000000*Constants!$C$24*IF(ISBLANK(Design!$B$31),Design!$B$30,Design!$B$31)*1000000</f>
        <v>5.2499999999999998E-2</v>
      </c>
      <c r="Z47" s="179">
        <f ca="1">SUM(V47:Y47)</f>
        <v>1.3921183220958497</v>
      </c>
      <c r="AA47" s="179">
        <f ca="1">R47*S47*(1-T47/100)</f>
        <v>0.40672986578135306</v>
      </c>
      <c r="AB47" s="180">
        <f ca="1">$A47+AA47*Design!$B$18</f>
        <v>108.18360234953713</v>
      </c>
      <c r="AC47" s="180">
        <f ca="1">Z47*Design!$C$11+$A47</f>
        <v>136.50837791754645</v>
      </c>
      <c r="AD47" s="180">
        <f ca="1">Constants!$D$22+Constants!$D$22*Constants!$C$23/100*(AC47-25)</f>
        <v>214.20670233403717</v>
      </c>
      <c r="AE47" s="179">
        <f ca="1">IF(100*(Design!$C$27+S47+R47*IF(ISBLANK(Design!$B$41),Constants!$C$6,Design!$B$41)/1000*(1+Constants!$C$32/100*(AC47-25)))/($B47+S47-R47*AD47/1000)&gt;Design!$B$34,   (1-Constants!$D$20/1000000000*IF(ISBLANK(Design!$B$31),Design!$B$30/4,Design!$B$31/4)*1000000) * ($B47+S47-R47*AD47/1000) - (S47+R47*(1+($A47-25)*Constants!$C$32/100)*IF(ISBLANK(Design!$B$41),Constants!$C$6/1000,Design!$B$41/1000)),  (1-Constants!$D$20/1000000000*IF(ISBLANK(Design!$B$31),Design!$B$30,Design!$B$31)*1000000) * ($B47+S47-R47*AD47/1000) - (S47+R47*(1+($A47-25)*Constants!$C$32/100)*IF(ISBLANK(Design!$B$41),Constants!$C$6/1000,Design!$B$41/1000)))</f>
        <v>8.1984505782477299</v>
      </c>
      <c r="AF47" s="178">
        <f ca="1">IF(AE47&gt;Design!$C$27,Design!$C$27,AE47)</f>
        <v>4.9936842105263155</v>
      </c>
      <c r="AG47" s="189">
        <f>Design!$D$6/3</f>
        <v>1</v>
      </c>
      <c r="AH47" s="189">
        <f ca="1">FORECAST(AG47, OFFSET(Design!$C$14:$C$16,MATCH(AG47,Design!$B$14:$B$16,1)-1,0,2), OFFSET(Design!$B$14:$B$16,MATCH(AG47,Design!$B$14:$B$16,1)-1,0,2))+(AQ47-25)*Design!$B$17/1000</f>
        <v>0.31230239839879526</v>
      </c>
      <c r="AI47" s="190">
        <f ca="1">IF(100*(Design!$C$27+AH47+AG47*IF(ISBLANK(Design!$B$41),Constants!$C$6,Design!$B$41)/1000*(1+Constants!$C$32/100*(AR47-25)))/($B47+AH47-AG47*AS47/1000)&gt;Design!$B$34,Design!$B$35,100*(Design!$C$27+AH47+AG47*IF(ISBLANK(Design!$B$41),Constants!$C$6,Design!$B$41)/1000*(1+Constants!$C$32/100*(AR47-25)))/($B47+AH47-AG47*AS47/1000))</f>
        <v>44.274524373009186</v>
      </c>
      <c r="AJ47" s="191">
        <f ca="1">IF(($B47-AG47*IF(ISBLANK(Design!$B$41),Constants!$C$6,Design!$B$41)/1000*(1+Constants!$C$32/100*(AR47-25))-Design!$C$27)/(IF(ISBLANK(Design!$B$40),Design!$B$38,Design!$B$40)/1000000)*AI47/100/(IF(ISBLANK(Design!$B$31),Design!$B$30,Design!$B$31)*1000000)&lt;0,0,($B47-AG47*IF(ISBLANK(Design!$B$41),Constants!$C$6,Design!$B$41)/1000*(1+Constants!$C$32/100*(AR47-25))-Design!$C$27)/(IF(ISBLANK(Design!$B$40),Design!$B$38,Design!$B$40)/1000000)*AI47/100/(IF(ISBLANK(Design!$B$31),Design!$B$30,Design!$B$31)*1000000))</f>
        <v>0.44379100298104013</v>
      </c>
      <c r="AK47" s="192">
        <f>$B47*Constants!$C$21/1000+IF(ISBLANK(Design!$B$31),Design!$B$30,Design!$B$31)*1000000*Constants!$D$25/1000000000*($B47-Constants!$C$24)</f>
        <v>0.10349999999999994</v>
      </c>
      <c r="AL47" s="192">
        <f>$B47*AG47*($B47/(Constants!$C$26*1000000000)*IF(ISBLANK(Design!$B$31),Design!$B$30,Design!$B$31)*1000000/2+$B47/(Constants!$C$27*1000000000)*IF(ISBLANK(Design!$B$31),Design!$B$30,Design!$B$31)*1000000/2)</f>
        <v>0.41999999999999971</v>
      </c>
      <c r="AM47" s="192">
        <f t="shared" ref="AM47:AM87" ca="1" si="15">IF($D$115,1,AI47/100*(AG47^2+AJ47^2/12)*AS47/1000)</f>
        <v>8.6679162542623242E-2</v>
      </c>
      <c r="AN47" s="192">
        <f>Constants!$D$25/1000000000*Constants!$C$24*IF(ISBLANK(Design!$B$31),Design!$B$30,Design!$B$31)*1000000</f>
        <v>5.2499999999999998E-2</v>
      </c>
      <c r="AO47" s="192">
        <f ca="1">SUM(AK47:AN47)</f>
        <v>0.66267916254262282</v>
      </c>
      <c r="AP47" s="192">
        <f ca="1">AG47*AH47*(1-AI47/100)</f>
        <v>0.1740319969022284</v>
      </c>
      <c r="AQ47" s="193">
        <f ca="1">$A47+AP47*Design!$B$18</f>
        <v>94.919823823427024</v>
      </c>
      <c r="AR47" s="193">
        <f ca="1">AO47*Design!$C$11+$A47</f>
        <v>109.51912901407704</v>
      </c>
      <c r="AS47" s="193">
        <f ca="1">Constants!$D$22+Constants!$D$22*Constants!$C$23/100*(AR47-25)</f>
        <v>192.61530321126162</v>
      </c>
      <c r="AT47" s="192">
        <f ca="1">IF(100*(Design!$C$27+AH47+AG47*IF(ISBLANK(Design!$B$41),Constants!$C$6,Design!$B$41)/1000*(1+Constants!$C$32/100*(AR47-25)))/($B47+AH47-AG47*AS47/1000)&gt;Design!$B$34,   (1-Constants!$D$20/1000000000*IF(ISBLANK(Design!$B$31),Design!$B$30/4,Design!$B$31/4)*1000000) * ($B47+AH47-AG47*AS47/1000) - (AH47+AG47*(1+($A47-25)*Constants!$C$32/100)*IF(ISBLANK(Design!$B$41),Constants!$C$6/1000,Design!$B$41/1000)),  (1-Constants!$D$20/1000000000*IF(ISBLANK(Design!$B$31),Design!$B$30,Design!$B$31)*1000000) * ($B47+AH47-AG47*AS47/1000) - (AH47+AG47*(1+($A47-25)*Constants!$C$32/100)*IF(ISBLANK(Design!$B$41),Constants!$C$6/1000,Design!$B$41/1000)))</f>
        <v>8.4430991198025378</v>
      </c>
      <c r="AU47" s="191">
        <f ca="1">IF(AT47&gt;Design!$C$27,Design!$C$27,AT47)</f>
        <v>4.9936842105263155</v>
      </c>
    </row>
    <row r="48" spans="1:47" ht="12.75" customHeight="1" x14ac:dyDescent="0.3">
      <c r="A48" s="112">
        <f>Design!$D$12</f>
        <v>85</v>
      </c>
      <c r="B48" s="113">
        <f t="shared" si="12"/>
        <v>11.784999999999995</v>
      </c>
      <c r="C48" s="114">
        <f>Design!$D$6</f>
        <v>3</v>
      </c>
      <c r="D48" s="114">
        <f ca="1">FORECAST(C48, OFFSET(Design!$C$14:$C$16,MATCH(C48,Design!$B$14:$B$16,1)-1,0,2), OFFSET(Design!$B$14:$B$16,MATCH(C48,Design!$B$14:$B$16,1)-1,0,2))+(M48-25)*Design!$B$17/1000</f>
        <v>0.39087868788400842</v>
      </c>
      <c r="E48" s="173">
        <f ca="1">IF(100*(Design!$C$27+D48+C48*IF(ISBLANK(Design!$B$41),Constants!$C$6,Design!$B$41)/1000*(1+Constants!$C$32/100*(N48-25)))/($B48+D48-C48*O48/1000)&gt;Design!$B$34,Design!$B$35,100*(Design!$C$27+D48+C48*IF(ISBLANK(Design!$B$41),Constants!$C$6,Design!$B$41)/1000*(1+Constants!$C$32/100*(N48-25)))/($B48+D48-C48*O48/1000))</f>
        <v>48.95095508639352</v>
      </c>
      <c r="F48" s="115">
        <f ca="1">IF(($B48-C48*IF(ISBLANK(Design!$B$41),Constants!$C$6,Design!$B$41)/1000*(1+Constants!$C$32/100*(N48-25))-Design!$C$27)/(IF(ISBLANK(Design!$B$40),Design!$B$38,Design!$B$40)/1000000)*E48/100/(IF(ISBLANK(Design!$B$31),Design!$B$30,Design!$B$31)*1000000)&lt;0,0,($B48-C48*IF(ISBLANK(Design!$B$41),Constants!$C$6,Design!$B$41)/1000*(1+Constants!$C$32/100*(N48-25))-Design!$C$27)/(IF(ISBLANK(Design!$B$40),Design!$B$38,Design!$B$40)/1000000)*E48/100/(IF(ISBLANK(Design!$B$31),Design!$B$30,Design!$B$31)*1000000))</f>
        <v>0.46452810162555952</v>
      </c>
      <c r="G48" s="165">
        <f>B48*Constants!$C$21/1000+IF(ISBLANK(Design!$B$31),Design!$B$30,Design!$B$31)*1000000*Constants!$D$25/1000000000*(B48-Constants!$C$24)</f>
        <v>0.10070499999999993</v>
      </c>
      <c r="H48" s="165">
        <f>B48*C48*(B48/(Constants!$C$26*1000000000)*IF(ISBLANK(Design!$B$31),Design!$B$30,Design!$B$31)*1000000/2+B48/(Constants!$C$27*1000000000)*IF(ISBLANK(Design!$B$31),Design!$B$30,Design!$B$31)*1000000/2)</f>
        <v>1.2152544687499989</v>
      </c>
      <c r="I48" s="165">
        <f t="shared" ca="1" si="13"/>
        <v>1.0841633575182232</v>
      </c>
      <c r="J48" s="165">
        <f>Constants!$D$25/1000000000*Constants!$C$24*IF(ISBLANK(Design!$B$31),Design!$B$30,Design!$B$31)*1000000</f>
        <v>5.2499999999999998E-2</v>
      </c>
      <c r="K48" s="165">
        <f t="shared" ref="K48" ca="1" si="16">SUM(G48:J48)</f>
        <v>2.4526228262682221</v>
      </c>
      <c r="L48" s="165">
        <f t="shared" ref="L48:L87" ca="1" si="17">C48*D48*(1-E48/100)</f>
        <v>0.59861951080686937</v>
      </c>
      <c r="M48" s="166">
        <f ca="1">$A48+L48*Design!$B$18</f>
        <v>119.12131211599156</v>
      </c>
      <c r="N48" s="166">
        <f ca="1">K48*Design!$C$11+A48</f>
        <v>175.74704457192422</v>
      </c>
      <c r="O48" s="166">
        <f ca="1">Constants!$D$22+Constants!$D$22*Constants!$C$23/100*(N48-25)</f>
        <v>245.5976356575394</v>
      </c>
      <c r="P48" s="165">
        <f ca="1">IF(100*(Design!$C$27+D48+C48*IF(ISBLANK(Design!$B$41),Constants!$C$6,Design!$B$41)/1000*(1+Constants!$C$32/100*(N48-25)))/($B48+D48-C48*O48/1000)&gt;Design!$B$34,   (1-Constants!$D$20/1000000000*IF(ISBLANK(Design!$B$31),Design!$B$30/4,Design!$B$31/4)*1000000) * ($B48+D48-C48*O48/1000) - (D48+C48*(1+($A48-25)*Constants!$C$32/100)*IF(ISBLANK(Design!$B$41),Constants!$C$6/1000,Design!$B$41/1000)),  (1-Constants!$D$20/1000000000*IF(ISBLANK(Design!$B$31),Design!$B$30,Design!$B$31)*1000000) * ($B48+D48-C48*O48/1000) - (D48+C48*(1+($A48-25)*Constants!$C$32/100)*IF(ISBLANK(Design!$B$41),Constants!$C$6/1000,Design!$B$41/1000)))</f>
        <v>7.7585036748385665</v>
      </c>
      <c r="Q48" s="115">
        <f ca="1">IF(P48&gt;Design!$C$27,Design!$C$27,P48)</f>
        <v>4.9936842105263155</v>
      </c>
      <c r="R48" s="116">
        <f>2*Design!$D$6/3</f>
        <v>2</v>
      </c>
      <c r="S48" s="116">
        <f ca="1">FORECAST(R48, OFFSET(Design!$C$14:$C$16,MATCH(R48,Design!$B$14:$B$16,1)-1,0,2), OFFSET(Design!$B$14:$B$16,MATCH(R48,Design!$B$14:$B$16,1)-1,0,2))+(AB48-25)*Design!$B$17/1000</f>
        <v>0.37715484555142559</v>
      </c>
      <c r="T48" s="182">
        <f ca="1">IF(100*(Design!$C$27+S48+R48*IF(ISBLANK(Design!$B$41),Constants!$C$6,Design!$B$41)/1000*(1+Constants!$C$32/100*(AC48-25)))/($B48+S48-R48*AD48/1000)&gt;Design!$B$34,Design!$B$35,100*(Design!$C$27+S48+R48*IF(ISBLANK(Design!$B$41),Constants!$C$6,Design!$B$41)/1000*(1+Constants!$C$32/100*(AC48-25)))/($B48+S48-R48*AD48/1000))</f>
        <v>46.866361650168095</v>
      </c>
      <c r="U48" s="117">
        <f ca="1">IF(($B48-R48*IF(ISBLANK(Design!$B$41),Constants!$C$6,Design!$B$41)/1000*(1+Constants!$C$32/100*(AC48-25))-Design!$C$27)/(IF(ISBLANK(Design!$B$40),Design!$B$38,Design!$B$40)/1000000)*T48/100/(IF(ISBLANK(Design!$B$31),Design!$B$30,Design!$B$31)*1000000)&lt;0,0,($B48-R48*IF(ISBLANK(Design!$B$41),Constants!$C$6,Design!$B$41)/1000*(1+Constants!$C$32/100*(AC48-25))-Design!$C$27)/(IF(ISBLANK(Design!$B$40),Design!$B$38,Design!$B$40)/1000000)*T48/100/(IF(ISBLANK(Design!$B$31),Design!$B$30,Design!$B$31)*1000000))</f>
        <v>0.45055470013155247</v>
      </c>
      <c r="V48" s="183">
        <f>$B48*Constants!$C$21/1000+IF(ISBLANK(Design!$B$31),Design!$B$30,Design!$B$31)*1000000*Constants!$D$25/1000000000*($B48-Constants!$C$24)</f>
        <v>0.10070499999999993</v>
      </c>
      <c r="W48" s="183">
        <f>$B48*R48*($B48/(Constants!$C$26*1000000000)*IF(ISBLANK(Design!$B$31),Design!$B$30,Design!$B$31)*1000000/2+$B48/(Constants!$C$27*1000000000)*IF(ISBLANK(Design!$B$31),Design!$B$30,Design!$B$31)*1000000/2)</f>
        <v>0.81016964583333251</v>
      </c>
      <c r="X48" s="183">
        <f t="shared" ca="1" si="14"/>
        <v>0.40175806841945727</v>
      </c>
      <c r="Y48" s="183">
        <f>Constants!$D$25/1000000000*Constants!$C$24*IF(ISBLANK(Design!$B$31),Design!$B$30,Design!$B$31)*1000000</f>
        <v>5.2499999999999998E-2</v>
      </c>
      <c r="Z48" s="183">
        <f t="shared" ref="Z48" ca="1" si="18">SUM(V48:Y48)</f>
        <v>1.3651327142527896</v>
      </c>
      <c r="AA48" s="183">
        <f t="shared" ref="AA48:AA87" ca="1" si="19">R48*S48*(1-T48/100)</f>
        <v>0.40079218330832317</v>
      </c>
      <c r="AB48" s="184">
        <f ca="1">$A48+AA48*Design!$B$18</f>
        <v>107.84515444857442</v>
      </c>
      <c r="AC48" s="184">
        <f ca="1">Z48*Design!$C$11+$A48</f>
        <v>135.50991042735322</v>
      </c>
      <c r="AD48" s="184">
        <f ca="1">Constants!$D$22+Constants!$D$22*Constants!$C$23/100*(AC48-25)</f>
        <v>213.40792834188258</v>
      </c>
      <c r="AE48" s="183">
        <f ca="1">IF(100*(Design!$C$27+S48+R48*IF(ISBLANK(Design!$B$41),Constants!$C$6,Design!$B$41)/1000*(1+Constants!$C$32/100*(AC48-25)))/($B48+S48-R48*AD48/1000)&gt;Design!$B$34,   (1-Constants!$D$20/1000000000*IF(ISBLANK(Design!$B$31),Design!$B$30/4,Design!$B$31/4)*1000000) * ($B48+S48-R48*AD48/1000) - (S48+R48*(1+($A48-25)*Constants!$C$32/100)*IF(ISBLANK(Design!$B$41),Constants!$C$6/1000,Design!$B$41/1000)),  (1-Constants!$D$20/1000000000*IF(ISBLANK(Design!$B$31),Design!$B$30,Design!$B$31)*1000000) * ($B48+S48-R48*AD48/1000) - (S48+R48*(1+($A48-25)*Constants!$C$32/100)*IF(ISBLANK(Design!$B$41),Constants!$C$6/1000,Design!$B$41/1000)))</f>
        <v>8.043214599355359</v>
      </c>
      <c r="AF48" s="117">
        <f ca="1">IF(AE48&gt;Design!$C$27,Design!$C$27,AE48)</f>
        <v>4.9936842105263155</v>
      </c>
      <c r="AG48" s="118">
        <f>Design!$D$6/3</f>
        <v>1</v>
      </c>
      <c r="AH48" s="118">
        <f ca="1">FORECAST(AG48, OFFSET(Design!$C$14:$C$16,MATCH(AG48,Design!$B$14:$B$16,1)-1,0,2), OFFSET(Design!$B$14:$B$16,MATCH(AG48,Design!$B$14:$B$16,1)-1,0,2))+(AQ48-25)*Design!$B$17/1000</f>
        <v>0.31244005293552252</v>
      </c>
      <c r="AI48" s="194">
        <f ca="1">IF(100*(Design!$C$27+AH48+AG48*IF(ISBLANK(Design!$B$41),Constants!$C$6,Design!$B$41)/1000*(1+Constants!$C$32/100*(AR48-25)))/($B48+AH48-AG48*AS48/1000)&gt;Design!$B$34,Design!$B$35,100*(Design!$C$27+AH48+AG48*IF(ISBLANK(Design!$B$41),Constants!$C$6,Design!$B$41)/1000*(1+Constants!$C$32/100*(AR48-25)))/($B48+AH48-AG48*AS48/1000))</f>
        <v>45.072021523042039</v>
      </c>
      <c r="AJ48" s="119">
        <f ca="1">IF(($B48-AG48*IF(ISBLANK(Design!$B$41),Constants!$C$6,Design!$B$41)/1000*(1+Constants!$C$32/100*(AR48-25))-Design!$C$27)/(IF(ISBLANK(Design!$B$40),Design!$B$38,Design!$B$40)/1000000)*AI48/100/(IF(ISBLANK(Design!$B$31),Design!$B$30,Design!$B$31)*1000000)&lt;0,0,($B48-AG48*IF(ISBLANK(Design!$B$41),Constants!$C$6,Design!$B$41)/1000*(1+Constants!$C$32/100*(AR48-25))-Design!$C$27)/(IF(ISBLANK(Design!$B$40),Design!$B$38,Design!$B$40)/1000000)*AI48/100/(IF(ISBLANK(Design!$B$31),Design!$B$30,Design!$B$31)*1000000))</f>
        <v>0.437808411493257</v>
      </c>
      <c r="AK48" s="195">
        <f>$B48*Constants!$C$21/1000+IF(ISBLANK(Design!$B$31),Design!$B$30,Design!$B$31)*1000000*Constants!$D$25/1000000000*($B48-Constants!$C$24)</f>
        <v>0.10070499999999993</v>
      </c>
      <c r="AL48" s="195">
        <f>$B48*AG48*($B48/(Constants!$C$26*1000000000)*IF(ISBLANK(Design!$B$31),Design!$B$30,Design!$B$31)*1000000/2+$B48/(Constants!$C$27*1000000000)*IF(ISBLANK(Design!$B$31),Design!$B$30,Design!$B$31)*1000000/2)</f>
        <v>0.40508482291666625</v>
      </c>
      <c r="AM48" s="195">
        <f t="shared" ca="1" si="15"/>
        <v>8.797989769836477E-2</v>
      </c>
      <c r="AN48" s="195">
        <f>Constants!$D$25/1000000000*Constants!$C$24*IF(ISBLANK(Design!$B$31),Design!$B$30,Design!$B$31)*1000000</f>
        <v>5.2499999999999998E-2</v>
      </c>
      <c r="AO48" s="195">
        <f t="shared" ref="AO48" ca="1" si="20">SUM(AK48:AN48)</f>
        <v>0.64626972061503096</v>
      </c>
      <c r="AP48" s="195">
        <f t="shared" ref="AP48:AP87" ca="1" si="21">AG48*AH48*(1-AI48/100)</f>
        <v>0.17161700502981986</v>
      </c>
      <c r="AQ48" s="196">
        <f ca="1">$A48+AP48*Design!$B$18</f>
        <v>94.782169286699727</v>
      </c>
      <c r="AR48" s="196">
        <f ca="1">AO48*Design!$C$11+$A48</f>
        <v>108.91197966275615</v>
      </c>
      <c r="AS48" s="196">
        <f ca="1">Constants!$D$22+Constants!$D$22*Constants!$C$23/100*(AR48-25)</f>
        <v>192.12958373020493</v>
      </c>
      <c r="AT48" s="195">
        <f ca="1">IF(100*(Design!$C$27+AH48+AG48*IF(ISBLANK(Design!$B$41),Constants!$C$6,Design!$B$41)/1000*(1+Constants!$C$32/100*(AR48-25)))/($B48+AH48-AG48*AS48/1000)&gt;Design!$B$34,   (1-Constants!$D$20/1000000000*IF(ISBLANK(Design!$B$31),Design!$B$30/4,Design!$B$31/4)*1000000) * ($B48+AH48-AG48*AS48/1000) - (AH48+AG48*(1+($A48-25)*Constants!$C$32/100)*IF(ISBLANK(Design!$B$41),Constants!$C$6/1000,Design!$B$41/1000)),  (1-Constants!$D$20/1000000000*IF(ISBLANK(Design!$B$31),Design!$B$30,Design!$B$31)*1000000) * ($B48+AH48-AG48*AS48/1000) - (AH48+AG48*(1+($A48-25)*Constants!$C$32/100)*IF(ISBLANK(Design!$B$41),Constants!$C$6/1000,Design!$B$41/1000)))</f>
        <v>8.2871096581767407</v>
      </c>
      <c r="AU48" s="119">
        <f ca="1">IF(AT48&gt;Design!$C$27,Design!$C$27,AT48)</f>
        <v>4.9936842105263155</v>
      </c>
    </row>
    <row r="49" spans="1:47" ht="12.75" customHeight="1" x14ac:dyDescent="0.3">
      <c r="A49" s="112">
        <f>Design!$D$12</f>
        <v>85</v>
      </c>
      <c r="B49" s="113">
        <f t="shared" si="12"/>
        <v>11.569999999999995</v>
      </c>
      <c r="C49" s="114">
        <f>Design!$D$6</f>
        <v>3</v>
      </c>
      <c r="D49" s="114">
        <f ca="1">FORECAST(C49, OFFSET(Design!$C$14:$C$16,MATCH(C49,Design!$B$14:$B$16,1)-1,0,2), OFFSET(Design!$B$14:$B$16,MATCH(C49,Design!$B$14:$B$16,1)-1,0,2))+(M49-25)*Design!$B$17/1000</f>
        <v>0.3914468505408637</v>
      </c>
      <c r="E49" s="173">
        <f ca="1">IF(100*(Design!$C$27+D49+C49*IF(ISBLANK(Design!$B$41),Constants!$C$6,Design!$B$41)/1000*(1+Constants!$C$32/100*(N49-25)))/($B49+D49-C49*O49/1000)&gt;Design!$B$34,Design!$B$35,100*(Design!$C$27+D49+C49*IF(ISBLANK(Design!$B$41),Constants!$C$6,Design!$B$41)/1000*(1+Constants!$C$32/100*(N49-25)))/($B49+D49-C49*O49/1000))</f>
        <v>49.873846723270702</v>
      </c>
      <c r="F49" s="115">
        <f ca="1">IF(($B49-C49*IF(ISBLANK(Design!$B$41),Constants!$C$6,Design!$B$41)/1000*(1+Constants!$C$32/100*(N49-25))-Design!$C$27)/(IF(ISBLANK(Design!$B$40),Design!$B$38,Design!$B$40)/1000000)*E49/100/(IF(ISBLANK(Design!$B$31),Design!$B$30,Design!$B$31)*1000000)&lt;0,0,($B49-C49*IF(ISBLANK(Design!$B$41),Constants!$C$6,Design!$B$41)/1000*(1+Constants!$C$32/100*(N49-25))-Design!$C$27)/(IF(ISBLANK(Design!$B$40),Design!$B$38,Design!$B$40)/1000000)*E49/100/(IF(ISBLANK(Design!$B$31),Design!$B$30,Design!$B$31)*1000000))</f>
        <v>0.45785585556379738</v>
      </c>
      <c r="G49" s="165">
        <f>B49*Constants!$C$21/1000+IF(ISBLANK(Design!$B$31),Design!$B$30,Design!$B$31)*1000000*Constants!$D$25/1000000000*(B49-Constants!$C$24)</f>
        <v>9.7909999999999942E-2</v>
      </c>
      <c r="H49" s="165">
        <f>B49*C49*(B49/(Constants!$C$26*1000000000)*IF(ISBLANK(Design!$B$31),Design!$B$30,Design!$B$31)*1000000/2+B49/(Constants!$C$27*1000000000)*IF(ISBLANK(Design!$B$31),Design!$B$30,Design!$B$31)*1000000/2)</f>
        <v>1.1713178749999991</v>
      </c>
      <c r="I49" s="165">
        <f t="shared" ca="1" si="13"/>
        <v>1.1004936147976014</v>
      </c>
      <c r="J49" s="165">
        <f>Constants!$D$25/1000000000*Constants!$C$24*IF(ISBLANK(Design!$B$31),Design!$B$30,Design!$B$31)*1000000</f>
        <v>5.2499999999999998E-2</v>
      </c>
      <c r="K49" s="165">
        <f ca="1">SUM(G49:J49)</f>
        <v>2.4222214897976007</v>
      </c>
      <c r="L49" s="165">
        <f t="shared" ca="1" si="17"/>
        <v>0.58865174489712824</v>
      </c>
      <c r="M49" s="166">
        <f ca="1">$A49+L49*Design!$B$18</f>
        <v>118.55314945913631</v>
      </c>
      <c r="N49" s="166">
        <f ca="1">K49*Design!$C$11+A49</f>
        <v>174.62219512251124</v>
      </c>
      <c r="O49" s="166">
        <f ca="1">Constants!$D$22+Constants!$D$22*Constants!$C$23/100*(N49-25)</f>
        <v>244.69775609800899</v>
      </c>
      <c r="P49" s="165">
        <f ca="1">IF(100*(Design!$C$27+D49+C49*IF(ISBLANK(Design!$B$41),Constants!$C$6,Design!$B$41)/1000*(1+Constants!$C$32/100*(N49-25)))/($B49+D49-C49*O49/1000)&gt;Design!$B$34,   (1-Constants!$D$20/1000000000*IF(ISBLANK(Design!$B$31),Design!$B$30/4,Design!$B$31/4)*1000000) * ($B49+D49-C49*O49/1000) - (D49+C49*(1+($A49-25)*Constants!$C$32/100)*IF(ISBLANK(Design!$B$41),Constants!$C$6/1000,Design!$B$41/1000)),  (1-Constants!$D$20/1000000000*IF(ISBLANK(Design!$B$31),Design!$B$30,Design!$B$31)*1000000) * ($B49+D49-C49*O49/1000) - (D49+C49*(1+($A49-25)*Constants!$C$32/100)*IF(ISBLANK(Design!$B$41),Constants!$C$6/1000,Design!$B$41/1000)))</f>
        <v>7.6040062037525846</v>
      </c>
      <c r="Q49" s="115">
        <f ca="1">IF(P49&gt;Design!$C$27,Design!$C$27,P49)</f>
        <v>4.9936842105263155</v>
      </c>
      <c r="R49" s="116">
        <f>2*Design!$D$6/3</f>
        <v>2</v>
      </c>
      <c r="S49" s="116">
        <f ca="1">FORECAST(R49, OFFSET(Design!$C$14:$C$16,MATCH(R49,Design!$B$14:$B$16,1)-1,0,2), OFFSET(Design!$B$14:$B$16,MATCH(R49,Design!$B$14:$B$16,1)-1,0,2))+(AB49-25)*Design!$B$17/1000</f>
        <v>0.37750659338109882</v>
      </c>
      <c r="T49" s="182">
        <f ca="1">IF(100*(Design!$C$27+S49+R49*IF(ISBLANK(Design!$B$41),Constants!$C$6,Design!$B$41)/1000*(1+Constants!$C$32/100*(AC49-25)))/($B49+S49-R49*AD49/1000)&gt;Design!$B$34,Design!$B$35,100*(Design!$C$27+S49+R49*IF(ISBLANK(Design!$B$41),Constants!$C$6,Design!$B$41)/1000*(1+Constants!$C$32/100*(AC49-25)))/($B49+S49-R49*AD49/1000))</f>
        <v>47.733208416537927</v>
      </c>
      <c r="U49" s="117">
        <f ca="1">IF(($B49-R49*IF(ISBLANK(Design!$B$41),Constants!$C$6,Design!$B$41)/1000*(1+Constants!$C$32/100*(AC49-25))-Design!$C$27)/(IF(ISBLANK(Design!$B$40),Design!$B$38,Design!$B$40)/1000000)*T49/100/(IF(ISBLANK(Design!$B$31),Design!$B$30,Design!$B$31)*1000000)&lt;0,0,($B49-R49*IF(ISBLANK(Design!$B$41),Constants!$C$6,Design!$B$41)/1000*(1+Constants!$C$32/100*(AC49-25))-Design!$C$27)/(IF(ISBLANK(Design!$B$40),Design!$B$38,Design!$B$40)/1000000)*T49/100/(IF(ISBLANK(Design!$B$31),Design!$B$30,Design!$B$31)*1000000))</f>
        <v>0.44410282703556531</v>
      </c>
      <c r="V49" s="183">
        <f>$B49*Constants!$C$21/1000+IF(ISBLANK(Design!$B$31),Design!$B$30,Design!$B$31)*1000000*Constants!$D$25/1000000000*($B49-Constants!$C$24)</f>
        <v>9.7909999999999942E-2</v>
      </c>
      <c r="W49" s="183">
        <f>$B49*R49*($B49/(Constants!$C$26*1000000000)*IF(ISBLANK(Design!$B$31),Design!$B$30,Design!$B$31)*1000000/2+$B49/(Constants!$C$27*1000000000)*IF(ISBLANK(Design!$B$31),Design!$B$30,Design!$B$31)*1000000/2)</f>
        <v>0.78087858333333271</v>
      </c>
      <c r="X49" s="183">
        <f t="shared" ca="1" si="14"/>
        <v>0.40765378343273229</v>
      </c>
      <c r="Y49" s="183">
        <f>Constants!$D$25/1000000000*Constants!$C$24*IF(ISBLANK(Design!$B$31),Design!$B$30,Design!$B$31)*1000000</f>
        <v>5.2499999999999998E-2</v>
      </c>
      <c r="Z49" s="183">
        <f ca="1">SUM(V49:Y49)</f>
        <v>1.3389423667660649</v>
      </c>
      <c r="AA49" s="183">
        <f t="shared" ca="1" si="19"/>
        <v>0.39462116875265313</v>
      </c>
      <c r="AB49" s="184">
        <f ca="1">$A49+AA49*Design!$B$18</f>
        <v>107.49340661890123</v>
      </c>
      <c r="AC49" s="184">
        <f ca="1">Z49*Design!$C$11+$A49</f>
        <v>134.5408675703444</v>
      </c>
      <c r="AD49" s="184">
        <f ca="1">Constants!$D$22+Constants!$D$22*Constants!$C$23/100*(AC49-25)</f>
        <v>212.63269405627551</v>
      </c>
      <c r="AE49" s="183">
        <f ca="1">IF(100*(Design!$C$27+S49+R49*IF(ISBLANK(Design!$B$41),Constants!$C$6,Design!$B$41)/1000*(1+Constants!$C$32/100*(AC49-25)))/($B49+S49-R49*AD49/1000)&gt;Design!$B$34,   (1-Constants!$D$20/1000000000*IF(ISBLANK(Design!$B$31),Design!$B$30/4,Design!$B$31/4)*1000000) * ($B49+S49-R49*AD49/1000) - (S49+R49*(1+($A49-25)*Constants!$C$32/100)*IF(ISBLANK(Design!$B$41),Constants!$C$6/1000,Design!$B$41/1000)),  (1-Constants!$D$20/1000000000*IF(ISBLANK(Design!$B$31),Design!$B$30,Design!$B$31)*1000000) * ($B49+S49-R49*AD49/1000) - (S49+R49*(1+($A49-25)*Constants!$C$32/100)*IF(ISBLANK(Design!$B$41),Constants!$C$6/1000,Design!$B$41/1000)))</f>
        <v>7.8879407628491318</v>
      </c>
      <c r="AF49" s="117">
        <f ca="1">IF(AE49&gt;Design!$C$27,Design!$C$27,AE49)</f>
        <v>4.9936842105263155</v>
      </c>
      <c r="AG49" s="118">
        <f>Design!$D$6/3</f>
        <v>1</v>
      </c>
      <c r="AH49" s="118">
        <f ca="1">FORECAST(AG49, OFFSET(Design!$C$14:$C$16,MATCH(AG49,Design!$B$14:$B$16,1)-1,0,2), OFFSET(Design!$B$14:$B$16,MATCH(AG49,Design!$B$14:$B$16,1)-1,0,2))+(AQ49-25)*Design!$B$17/1000</f>
        <v>0.31258289769096281</v>
      </c>
      <c r="AI49" s="194">
        <f ca="1">IF(100*(Design!$C$27+AH49+AG49*IF(ISBLANK(Design!$B$41),Constants!$C$6,Design!$B$41)/1000*(1+Constants!$C$32/100*(AR49-25)))/($B49+AH49-AG49*AS49/1000)&gt;Design!$B$34,Design!$B$35,100*(Design!$C$27+AH49+AG49*IF(ISBLANK(Design!$B$41),Constants!$C$6,Design!$B$41)/1000*(1+Constants!$C$32/100*(AR49-25)))/($B49+AH49-AG49*AS49/1000))</f>
        <v>45.8988454141357</v>
      </c>
      <c r="AJ49" s="119">
        <f ca="1">IF(($B49-AG49*IF(ISBLANK(Design!$B$41),Constants!$C$6,Design!$B$41)/1000*(1+Constants!$C$32/100*(AR49-25))-Design!$C$27)/(IF(ISBLANK(Design!$B$40),Design!$B$38,Design!$B$40)/1000000)*AI49/100/(IF(ISBLANK(Design!$B$31),Design!$B$30,Design!$B$31)*1000000)&lt;0,0,($B49-AG49*IF(ISBLANK(Design!$B$41),Constants!$C$6,Design!$B$41)/1000*(1+Constants!$C$32/100*(AR49-25))-Design!$C$27)/(IF(ISBLANK(Design!$B$40),Design!$B$38,Design!$B$40)/1000000)*AI49/100/(IF(ISBLANK(Design!$B$31),Design!$B$30,Design!$B$31)*1000000))</f>
        <v>0.43160686062650128</v>
      </c>
      <c r="AK49" s="195">
        <f>$B49*Constants!$C$21/1000+IF(ISBLANK(Design!$B$31),Design!$B$30,Design!$B$31)*1000000*Constants!$D$25/1000000000*($B49-Constants!$C$24)</f>
        <v>9.7909999999999942E-2</v>
      </c>
      <c r="AL49" s="195">
        <f>$B49*AG49*($B49/(Constants!$C$26*1000000000)*IF(ISBLANK(Design!$B$31),Design!$B$30,Design!$B$31)*1000000/2+$B49/(Constants!$C$27*1000000000)*IF(ISBLANK(Design!$B$31),Design!$B$30,Design!$B$31)*1000000/2)</f>
        <v>0.39043929166666635</v>
      </c>
      <c r="AM49" s="195">
        <f t="shared" ca="1" si="15"/>
        <v>8.9332254802046748E-2</v>
      </c>
      <c r="AN49" s="195">
        <f>Constants!$D$25/1000000000*Constants!$C$24*IF(ISBLANK(Design!$B$31),Design!$B$30,Design!$B$31)*1000000</f>
        <v>5.2499999999999998E-2</v>
      </c>
      <c r="AO49" s="195">
        <f ca="1">SUM(AK49:AN49)</f>
        <v>0.63018154646871305</v>
      </c>
      <c r="AP49" s="195">
        <f t="shared" ca="1" si="21"/>
        <v>0.16911095668876186</v>
      </c>
      <c r="AQ49" s="196">
        <f ca="1">$A49+AP49*Design!$B$18</f>
        <v>94.639324531259433</v>
      </c>
      <c r="AR49" s="196">
        <f ca="1">AO49*Design!$C$11+$A49</f>
        <v>108.31671721934238</v>
      </c>
      <c r="AS49" s="196">
        <f ca="1">Constants!$D$22+Constants!$D$22*Constants!$C$23/100*(AR49-25)</f>
        <v>191.65337377547391</v>
      </c>
      <c r="AT49" s="195">
        <f ca="1">IF(100*(Design!$C$27+AH49+AG49*IF(ISBLANK(Design!$B$41),Constants!$C$6,Design!$B$41)/1000*(1+Constants!$C$32/100*(AR49-25)))/($B49+AH49-AG49*AS49/1000)&gt;Design!$B$34,   (1-Constants!$D$20/1000000000*IF(ISBLANK(Design!$B$31),Design!$B$30/4,Design!$B$31/4)*1000000) * ($B49+AH49-AG49*AS49/1000) - (AH49+AG49*(1+($A49-25)*Constants!$C$32/100)*IF(ISBLANK(Design!$B$41),Constants!$C$6/1000,Design!$B$41/1000)),  (1-Constants!$D$20/1000000000*IF(ISBLANK(Design!$B$31),Design!$B$30,Design!$B$31)*1000000) * ($B49+AH49-AG49*AS49/1000) - (AH49+AG49*(1+($A49-25)*Constants!$C$32/100)*IF(ISBLANK(Design!$B$41),Constants!$C$6/1000,Design!$B$41/1000)))</f>
        <v>8.1311118661955941</v>
      </c>
      <c r="AU49" s="119">
        <f ca="1">IF(AT49&gt;Design!$C$27,Design!$C$27,AT49)</f>
        <v>4.9936842105263155</v>
      </c>
    </row>
    <row r="50" spans="1:47" ht="12.75" customHeight="1" x14ac:dyDescent="0.3">
      <c r="A50" s="112">
        <f>Design!$D$12</f>
        <v>85</v>
      </c>
      <c r="B50" s="113">
        <f t="shared" si="12"/>
        <v>11.354999999999995</v>
      </c>
      <c r="C50" s="114">
        <f>Design!$D$6</f>
        <v>3</v>
      </c>
      <c r="D50" s="114">
        <f ca="1">FORECAST(C50, OFFSET(Design!$C$14:$C$16,MATCH(C50,Design!$B$14:$B$16,1)-1,0,2), OFFSET(Design!$B$14:$B$16,MATCH(C50,Design!$B$14:$B$16,1)-1,0,2))+(M50-25)*Design!$B$17/1000</f>
        <v>0.39203928662880194</v>
      </c>
      <c r="E50" s="173">
        <f ca="1">IF(100*(Design!$C$27+D50+C50*IF(ISBLANK(Design!$B$41),Constants!$C$6,Design!$B$41)/1000*(1+Constants!$C$32/100*(N50-25)))/($B50+D50-C50*O50/1000)&gt;Design!$B$34,Design!$B$35,100*(Design!$C$27+D50+C50*IF(ISBLANK(Design!$B$41),Constants!$C$6,Design!$B$41)/1000*(1+Constants!$C$32/100*(N50-25)))/($B50+D50-C50*O50/1000))</f>
        <v>50.833317897653991</v>
      </c>
      <c r="F50" s="115">
        <f ca="1">IF(($B50-C50*IF(ISBLANK(Design!$B$41),Constants!$C$6,Design!$B$41)/1000*(1+Constants!$C$32/100*(N50-25))-Design!$C$27)/(IF(ISBLANK(Design!$B$40),Design!$B$38,Design!$B$40)/1000000)*E50/100/(IF(ISBLANK(Design!$B$31),Design!$B$30,Design!$B$31)*1000000)&lt;0,0,($B50-C50*IF(ISBLANK(Design!$B$41),Constants!$C$6,Design!$B$41)/1000*(1+Constants!$C$32/100*(N50-25))-Design!$C$27)/(IF(ISBLANK(Design!$B$40),Design!$B$38,Design!$B$40)/1000000)*E50/100/(IF(ISBLANK(Design!$B$31),Design!$B$30,Design!$B$31)*1000000))</f>
        <v>0.4509346143067739</v>
      </c>
      <c r="G50" s="165">
        <f>B50*Constants!$C$21/1000+IF(ISBLANK(Design!$B$31),Design!$B$30,Design!$B$31)*1000000*Constants!$D$25/1000000000*(B50-Constants!$C$24)</f>
        <v>9.511499999999995E-2</v>
      </c>
      <c r="H50" s="165">
        <f>B50*C50*(B50/(Constants!$C$26*1000000000)*IF(ISBLANK(Design!$B$31),Design!$B$30,Design!$B$31)*1000000/2+B50/(Constants!$C$27*1000000000)*IF(ISBLANK(Design!$B$31),Design!$B$30,Design!$B$31)*1000000/2)</f>
        <v>1.1281902187499993</v>
      </c>
      <c r="I50" s="165">
        <f t="shared" ca="1" si="13"/>
        <v>1.1177041554919762</v>
      </c>
      <c r="J50" s="165">
        <f>Constants!$D$25/1000000000*Constants!$C$24*IF(ISBLANK(Design!$B$31),Design!$B$30,Design!$B$31)*1000000</f>
        <v>5.2499999999999998E-2</v>
      </c>
      <c r="K50" s="165">
        <f t="shared" ref="K50:K87" ca="1" si="22">SUM(G50:J50)</f>
        <v>2.393509374241976</v>
      </c>
      <c r="L50" s="165">
        <f t="shared" ca="1" si="17"/>
        <v>0.57825812931926435</v>
      </c>
      <c r="M50" s="166">
        <f ca="1">$A50+L50*Design!$B$18</f>
        <v>117.96071337119807</v>
      </c>
      <c r="N50" s="166">
        <f ca="1">K50*Design!$C$11+A50</f>
        <v>173.55984684695312</v>
      </c>
      <c r="O50" s="166">
        <f ca="1">Constants!$D$22+Constants!$D$22*Constants!$C$23/100*(N50-25)</f>
        <v>243.84787747756252</v>
      </c>
      <c r="P50" s="165">
        <f ca="1">IF(100*(Design!$C$27+D50+C50*IF(ISBLANK(Design!$B$41),Constants!$C$6,Design!$B$41)/1000*(1+Constants!$C$32/100*(N50-25)))/($B50+D50-C50*O50/1000)&gt;Design!$B$34,   (1-Constants!$D$20/1000000000*IF(ISBLANK(Design!$B$31),Design!$B$30/4,Design!$B$31/4)*1000000) * ($B50+D50-C50*O50/1000) - (D50+C50*(1+($A50-25)*Constants!$C$32/100)*IF(ISBLANK(Design!$B$41),Constants!$C$6/1000,Design!$B$41/1000)),  (1-Constants!$D$20/1000000000*IF(ISBLANK(Design!$B$31),Design!$B$30,Design!$B$31)*1000000) * ($B50+D50-C50*O50/1000) - (D50+C50*(1+($A50-25)*Constants!$C$32/100)*IF(ISBLANK(Design!$B$41),Constants!$C$6/1000,Design!$B$41/1000)))</f>
        <v>7.4493930539717699</v>
      </c>
      <c r="Q50" s="115">
        <f ca="1">IF(P50&gt;Design!$C$27,Design!$C$27,P50)</f>
        <v>4.9936842105263155</v>
      </c>
      <c r="R50" s="116">
        <f>2*Design!$D$6/3</f>
        <v>2</v>
      </c>
      <c r="S50" s="116">
        <f ca="1">FORECAST(R50, OFFSET(Design!$C$14:$C$16,MATCH(R50,Design!$B$14:$B$16,1)-1,0,2), OFFSET(Design!$B$14:$B$16,MATCH(R50,Design!$B$14:$B$16,1)-1,0,2))+(AB50-25)*Design!$B$17/1000</f>
        <v>0.37787243971160234</v>
      </c>
      <c r="T50" s="182">
        <f ca="1">IF(100*(Design!$C$27+S50+R50*IF(ISBLANK(Design!$B$41),Constants!$C$6,Design!$B$41)/1000*(1+Constants!$C$32/100*(AC50-25)))/($B50+S50-R50*AD50/1000)&gt;Design!$B$34,Design!$B$35,100*(Design!$C$27+S50+R50*IF(ISBLANK(Design!$B$41),Constants!$C$6,Design!$B$41)/1000*(1+Constants!$C$32/100*(AC50-25)))/($B50+S50-R50*AD50/1000))</f>
        <v>48.633087349075524</v>
      </c>
      <c r="U50" s="117">
        <f ca="1">IF(($B50-R50*IF(ISBLANK(Design!$B$41),Constants!$C$6,Design!$B$41)/1000*(1+Constants!$C$32/100*(AC50-25))-Design!$C$27)/(IF(ISBLANK(Design!$B$40),Design!$B$38,Design!$B$40)/1000000)*T50/100/(IF(ISBLANK(Design!$B$31),Design!$B$30,Design!$B$31)*1000000)&lt;0,0,($B50-R50*IF(ISBLANK(Design!$B$41),Constants!$C$6,Design!$B$41)/1000*(1+Constants!$C$32/100*(AC50-25))-Design!$C$27)/(IF(ISBLANK(Design!$B$40),Design!$B$38,Design!$B$40)/1000000)*T50/100/(IF(ISBLANK(Design!$B$31),Design!$B$30,Design!$B$31)*1000000))</f>
        <v>0.43741029128888093</v>
      </c>
      <c r="V50" s="183">
        <f>$B50*Constants!$C$21/1000+IF(ISBLANK(Design!$B$31),Design!$B$30,Design!$B$31)*1000000*Constants!$D$25/1000000000*($B50-Constants!$C$24)</f>
        <v>9.511499999999995E-2</v>
      </c>
      <c r="W50" s="183">
        <f>$B50*R50*($B50/(Constants!$C$26*1000000000)*IF(ISBLANK(Design!$B$31),Design!$B$30,Design!$B$31)*1000000/2+$B50/(Constants!$C$27*1000000000)*IF(ISBLANK(Design!$B$31),Design!$B$30,Design!$B$31)*1000000/2)</f>
        <v>0.75212681249999958</v>
      </c>
      <c r="X50" s="183">
        <f t="shared" ca="1" si="14"/>
        <v>0.41382091510105118</v>
      </c>
      <c r="Y50" s="183">
        <f>Constants!$D$25/1000000000*Constants!$C$24*IF(ISBLANK(Design!$B$31),Design!$B$30,Design!$B$31)*1000000</f>
        <v>5.2499999999999998E-2</v>
      </c>
      <c r="Z50" s="183">
        <f t="shared" ref="Z50:Z87" ca="1" si="23">SUM(V50:Y50)</f>
        <v>1.3135627276010506</v>
      </c>
      <c r="AA50" s="183">
        <f t="shared" ca="1" si="19"/>
        <v>0.38820281207715207</v>
      </c>
      <c r="AB50" s="184">
        <f ca="1">$A50+AA50*Design!$B$18</f>
        <v>107.12756028839766</v>
      </c>
      <c r="AC50" s="184">
        <f ca="1">Z50*Design!$C$11+$A50</f>
        <v>133.60182092123887</v>
      </c>
      <c r="AD50" s="184">
        <f ca="1">Constants!$D$22+Constants!$D$22*Constants!$C$23/100*(AC50-25)</f>
        <v>211.88145673699108</v>
      </c>
      <c r="AE50" s="183">
        <f ca="1">IF(100*(Design!$C$27+S50+R50*IF(ISBLANK(Design!$B$41),Constants!$C$6,Design!$B$41)/1000*(1+Constants!$C$32/100*(AC50-25)))/($B50+S50-R50*AD50/1000)&gt;Design!$B$34,   (1-Constants!$D$20/1000000000*IF(ISBLANK(Design!$B$31),Design!$B$30/4,Design!$B$31/4)*1000000) * ($B50+S50-R50*AD50/1000) - (S50+R50*(1+($A50-25)*Constants!$C$32/100)*IF(ISBLANK(Design!$B$41),Constants!$C$6/1000,Design!$B$41/1000)),  (1-Constants!$D$20/1000000000*IF(ISBLANK(Design!$B$31),Design!$B$30,Design!$B$31)*1000000) * ($B50+S50-R50*AD50/1000) - (S50+R50*(1+($A50-25)*Constants!$C$32/100)*IF(ISBLANK(Design!$B$41),Constants!$C$6/1000,Design!$B$41/1000)))</f>
        <v>7.7326281858631436</v>
      </c>
      <c r="AF50" s="117">
        <f ca="1">IF(AE50&gt;Design!$C$27,Design!$C$27,AE50)</f>
        <v>4.9936842105263155</v>
      </c>
      <c r="AG50" s="118">
        <f>Design!$D$6/3</f>
        <v>1</v>
      </c>
      <c r="AH50" s="118">
        <f ca="1">FORECAST(AG50, OFFSET(Design!$C$14:$C$16,MATCH(AG50,Design!$B$14:$B$16,1)-1,0,2), OFFSET(Design!$B$14:$B$16,MATCH(AG50,Design!$B$14:$B$16,1)-1,0,2))+(AQ50-25)*Design!$B$17/1000</f>
        <v>0.31273123156018634</v>
      </c>
      <c r="AI50" s="194">
        <f ca="1">IF(100*(Design!$C$27+AH50+AG50*IF(ISBLANK(Design!$B$41),Constants!$C$6,Design!$B$41)/1000*(1+Constants!$C$32/100*(AR50-25)))/($B50+AH50-AG50*AS50/1000)&gt;Design!$B$34,Design!$B$35,100*(Design!$C$27+AH50+AG50*IF(ISBLANK(Design!$B$41),Constants!$C$6,Design!$B$41)/1000*(1+Constants!$C$32/100*(AR50-25)))/($B50+AH50-AG50*AS50/1000))</f>
        <v>46.756642349023636</v>
      </c>
      <c r="AJ50" s="119">
        <f ca="1">IF(($B50-AG50*IF(ISBLANK(Design!$B$41),Constants!$C$6,Design!$B$41)/1000*(1+Constants!$C$32/100*(AR50-25))-Design!$C$27)/(IF(ISBLANK(Design!$B$40),Design!$B$38,Design!$B$40)/1000000)*AI50/100/(IF(ISBLANK(Design!$B$31),Design!$B$30,Design!$B$31)*1000000)&lt;0,0,($B50-AG50*IF(ISBLANK(Design!$B$41),Constants!$C$6,Design!$B$41)/1000*(1+Constants!$C$32/100*(AR50-25))-Design!$C$27)/(IF(ISBLANK(Design!$B$40),Design!$B$38,Design!$B$40)/1000000)*AI50/100/(IF(ISBLANK(Design!$B$31),Design!$B$30,Design!$B$31)*1000000))</f>
        <v>0.42517402986981512</v>
      </c>
      <c r="AK50" s="195">
        <f>$B50*Constants!$C$21/1000+IF(ISBLANK(Design!$B$31),Design!$B$30,Design!$B$31)*1000000*Constants!$D$25/1000000000*($B50-Constants!$C$24)</f>
        <v>9.511499999999995E-2</v>
      </c>
      <c r="AL50" s="195">
        <f>$B50*AG50*($B50/(Constants!$C$26*1000000000)*IF(ISBLANK(Design!$B$31),Design!$B$30,Design!$B$31)*1000000/2+$B50/(Constants!$C$27*1000000000)*IF(ISBLANK(Design!$B$31),Design!$B$30,Design!$B$31)*1000000/2)</f>
        <v>0.37606340624999979</v>
      </c>
      <c r="AM50" s="195">
        <f t="shared" ca="1" si="15"/>
        <v>9.0739155186943463E-2</v>
      </c>
      <c r="AN50" s="195">
        <f>Constants!$D$25/1000000000*Constants!$C$24*IF(ISBLANK(Design!$B$31),Design!$B$30,Design!$B$31)*1000000</f>
        <v>5.2499999999999998E-2</v>
      </c>
      <c r="AO50" s="195">
        <f t="shared" ref="AO50:AO87" ca="1" si="24">SUM(AK50:AN50)</f>
        <v>0.61441756143694315</v>
      </c>
      <c r="AP50" s="195">
        <f t="shared" ca="1" si="21"/>
        <v>0.16650860810589307</v>
      </c>
      <c r="AQ50" s="196">
        <f ca="1">$A50+AP50*Design!$B$18</f>
        <v>94.490990662035898</v>
      </c>
      <c r="AR50" s="196">
        <f ca="1">AO50*Design!$C$11+$A50</f>
        <v>107.7334497731669</v>
      </c>
      <c r="AS50" s="196">
        <f ca="1">Constants!$D$22+Constants!$D$22*Constants!$C$23/100*(AR50-25)</f>
        <v>191.18675981853352</v>
      </c>
      <c r="AT50" s="195">
        <f ca="1">IF(100*(Design!$C$27+AH50+AG50*IF(ISBLANK(Design!$B$41),Constants!$C$6,Design!$B$41)/1000*(1+Constants!$C$32/100*(AR50-25)))/($B50+AH50-AG50*AS50/1000)&gt;Design!$B$34,   (1-Constants!$D$20/1000000000*IF(ISBLANK(Design!$B$31),Design!$B$30/4,Design!$B$31/4)*1000000) * ($B50+AH50-AG50*AS50/1000) - (AH50+AG50*(1+($A50-25)*Constants!$C$32/100)*IF(ISBLANK(Design!$B$41),Constants!$C$6/1000,Design!$B$41/1000)),  (1-Constants!$D$20/1000000000*IF(ISBLANK(Design!$B$31),Design!$B$30,Design!$B$31)*1000000) * ($B50+AH50-AG50*AS50/1000) - (AH50+AG50*(1+($A50-25)*Constants!$C$32/100)*IF(ISBLANK(Design!$B$41),Constants!$C$6/1000,Design!$B$41/1000)))</f>
        <v>7.9751055993959916</v>
      </c>
      <c r="AU50" s="119">
        <f ca="1">IF(AT50&gt;Design!$C$27,Design!$C$27,AT50)</f>
        <v>4.9936842105263155</v>
      </c>
    </row>
    <row r="51" spans="1:47" ht="12.75" customHeight="1" x14ac:dyDescent="0.3">
      <c r="A51" s="112">
        <f>Design!$D$12</f>
        <v>85</v>
      </c>
      <c r="B51" s="113">
        <f t="shared" si="12"/>
        <v>11.139999999999995</v>
      </c>
      <c r="C51" s="114">
        <f>Design!$D$6</f>
        <v>3</v>
      </c>
      <c r="D51" s="114">
        <f ca="1">FORECAST(C51, OFFSET(Design!$C$14:$C$16,MATCH(C51,Design!$B$14:$B$16,1)-1,0,2), OFFSET(Design!$B$14:$B$16,MATCH(C51,Design!$B$14:$B$16,1)-1,0,2))+(M51-25)*Design!$B$17/1000</f>
        <v>0.39265759268503175</v>
      </c>
      <c r="E51" s="173">
        <f ca="1">IF(100*(Design!$C$27+D51+C51*IF(ISBLANK(Design!$B$41),Constants!$C$6,Design!$B$41)/1000*(1+Constants!$C$32/100*(N51-25)))/($B51+D51-C51*O51/1000)&gt;Design!$B$34,Design!$B$35,100*(Design!$C$27+D51+C51*IF(ISBLANK(Design!$B$41),Constants!$C$6,Design!$B$41)/1000*(1+Constants!$C$32/100*(N51-25)))/($B51+D51-C51*O51/1000))</f>
        <v>51.831598724599161</v>
      </c>
      <c r="F51" s="115">
        <f ca="1">IF(($B51-C51*IF(ISBLANK(Design!$B$41),Constants!$C$6,Design!$B$41)/1000*(1+Constants!$C$32/100*(N51-25))-Design!$C$27)/(IF(ISBLANK(Design!$B$40),Design!$B$38,Design!$B$40)/1000000)*E51/100/(IF(ISBLANK(Design!$B$31),Design!$B$30,Design!$B$31)*1000000)&lt;0,0,($B51-C51*IF(ISBLANK(Design!$B$41),Constants!$C$6,Design!$B$41)/1000*(1+Constants!$C$32/100*(N51-25))-Design!$C$27)/(IF(ISBLANK(Design!$B$40),Design!$B$38,Design!$B$40)/1000000)*E51/100/(IF(ISBLANK(Design!$B$31),Design!$B$30,Design!$B$31)*1000000))</f>
        <v>0.44374928569251715</v>
      </c>
      <c r="G51" s="165">
        <f>B51*Constants!$C$21/1000+IF(ISBLANK(Design!$B$31),Design!$B$30,Design!$B$31)*1000000*Constants!$D$25/1000000000*(B51-Constants!$C$24)</f>
        <v>9.2319999999999944E-2</v>
      </c>
      <c r="H51" s="165">
        <f>B51*C51*(B51/(Constants!$C$26*1000000000)*IF(ISBLANK(Design!$B$31),Design!$B$30,Design!$B$31)*1000000/2+B51/(Constants!$C$27*1000000000)*IF(ISBLANK(Design!$B$31),Design!$B$30,Design!$B$31)*1000000/2)</f>
        <v>1.0858714999999992</v>
      </c>
      <c r="I51" s="165">
        <f t="shared" ca="1" si="13"/>
        <v>1.1358567060050349</v>
      </c>
      <c r="J51" s="165">
        <f>Constants!$D$25/1000000000*Constants!$C$24*IF(ISBLANK(Design!$B$31),Design!$B$30,Design!$B$31)*1000000</f>
        <v>5.2499999999999998E-2</v>
      </c>
      <c r="K51" s="165">
        <f t="shared" ca="1" si="22"/>
        <v>2.3665482060050342</v>
      </c>
      <c r="L51" s="165">
        <f t="shared" ca="1" si="17"/>
        <v>0.56741065464856522</v>
      </c>
      <c r="M51" s="166">
        <f ca="1">$A51+L51*Design!$B$18</f>
        <v>117.34240731496823</v>
      </c>
      <c r="N51" s="166">
        <f ca="1">K51*Design!$C$11+A51</f>
        <v>172.56228362218627</v>
      </c>
      <c r="O51" s="166">
        <f ca="1">Constants!$D$22+Constants!$D$22*Constants!$C$23/100*(N51-25)</f>
        <v>243.04982689774903</v>
      </c>
      <c r="P51" s="165">
        <f ca="1">IF(100*(Design!$C$27+D51+C51*IF(ISBLANK(Design!$B$41),Constants!$C$6,Design!$B$41)/1000*(1+Constants!$C$32/100*(N51-25)))/($B51+D51-C51*O51/1000)&gt;Design!$B$34,   (1-Constants!$D$20/1000000000*IF(ISBLANK(Design!$B$31),Design!$B$30/4,Design!$B$31/4)*1000000) * ($B51+D51-C51*O51/1000) - (D51+C51*(1+($A51-25)*Constants!$C$32/100)*IF(ISBLANK(Design!$B$41),Constants!$C$6/1000,Design!$B$41/1000)),  (1-Constants!$D$20/1000000000*IF(ISBLANK(Design!$B$31),Design!$B$30,Design!$B$31)*1000000) * ($B51+D51-C51*O51/1000) - (D51+C51*(1+($A51-25)*Constants!$C$32/100)*IF(ISBLANK(Design!$B$41),Constants!$C$6/1000,Design!$B$41/1000)))</f>
        <v>7.2946598047329916</v>
      </c>
      <c r="Q51" s="115">
        <f ca="1">IF(P51&gt;Design!$C$27,Design!$C$27,P51)</f>
        <v>4.9936842105263155</v>
      </c>
      <c r="R51" s="116">
        <f>2*Design!$D$6/3</f>
        <v>2</v>
      </c>
      <c r="S51" s="116">
        <f ca="1">FORECAST(R51, OFFSET(Design!$C$14:$C$16,MATCH(R51,Design!$B$14:$B$16,1)-1,0,2), OFFSET(Design!$B$14:$B$16,MATCH(R51,Design!$B$14:$B$16,1)-1,0,2))+(AB51-25)*Design!$B$17/1000</f>
        <v>0.37825324838728269</v>
      </c>
      <c r="T51" s="182">
        <f ca="1">IF(100*(Design!$C$27+S51+R51*IF(ISBLANK(Design!$B$41),Constants!$C$6,Design!$B$41)/1000*(1+Constants!$C$32/100*(AC51-25)))/($B51+S51-R51*AD51/1000)&gt;Design!$B$34,Design!$B$35,100*(Design!$C$27+S51+R51*IF(ISBLANK(Design!$B$41),Constants!$C$6,Design!$B$41)/1000*(1+Constants!$C$32/100*(AC51-25)))/($B51+S51-R51*AD51/1000))</f>
        <v>49.567920468032817</v>
      </c>
      <c r="U51" s="117">
        <f ca="1">IF(($B51-R51*IF(ISBLANK(Design!$B$41),Constants!$C$6,Design!$B$41)/1000*(1+Constants!$C$32/100*(AC51-25))-Design!$C$27)/(IF(ISBLANK(Design!$B$40),Design!$B$38,Design!$B$40)/1000000)*T51/100/(IF(ISBLANK(Design!$B$31),Design!$B$30,Design!$B$31)*1000000)&lt;0,0,($B51-R51*IF(ISBLANK(Design!$B$41),Constants!$C$6,Design!$B$41)/1000*(1+Constants!$C$32/100*(AC51-25))-Design!$C$27)/(IF(ISBLANK(Design!$B$40),Design!$B$38,Design!$B$40)/1000000)*T51/100/(IF(ISBLANK(Design!$B$31),Design!$B$30,Design!$B$31)*1000000))</f>
        <v>0.43046303059275831</v>
      </c>
      <c r="V51" s="183">
        <f>$B51*Constants!$C$21/1000+IF(ISBLANK(Design!$B$31),Design!$B$30,Design!$B$31)*1000000*Constants!$D$25/1000000000*($B51-Constants!$C$24)</f>
        <v>9.2319999999999944E-2</v>
      </c>
      <c r="W51" s="183">
        <f>$B51*R51*($B51/(Constants!$C$26*1000000000)*IF(ISBLANK(Design!$B$31),Design!$B$30,Design!$B$31)*1000000/2+$B51/(Constants!$C$27*1000000000)*IF(ISBLANK(Design!$B$31),Design!$B$30,Design!$B$31)*1000000/2)</f>
        <v>0.72391433333333277</v>
      </c>
      <c r="X51" s="183">
        <f t="shared" ca="1" si="14"/>
        <v>0.42027618583814064</v>
      </c>
      <c r="Y51" s="183">
        <f>Constants!$D$25/1000000000*Constants!$C$24*IF(ISBLANK(Design!$B$31),Design!$B$30,Design!$B$31)*1000000</f>
        <v>5.2499999999999998E-2</v>
      </c>
      <c r="Z51" s="183">
        <f t="shared" ca="1" si="23"/>
        <v>1.2890105191714734</v>
      </c>
      <c r="AA51" s="183">
        <f t="shared" ca="1" si="19"/>
        <v>0.3815219581178475</v>
      </c>
      <c r="AB51" s="184">
        <f ca="1">$A51+AA51*Design!$B$18</f>
        <v>106.7467516127173</v>
      </c>
      <c r="AC51" s="184">
        <f ca="1">Z51*Design!$C$11+$A51</f>
        <v>132.6933892093445</v>
      </c>
      <c r="AD51" s="184">
        <f ca="1">Constants!$D$22+Constants!$D$22*Constants!$C$23/100*(AC51-25)</f>
        <v>211.15471136747561</v>
      </c>
      <c r="AE51" s="183">
        <f ca="1">IF(100*(Design!$C$27+S51+R51*IF(ISBLANK(Design!$B$41),Constants!$C$6,Design!$B$41)/1000*(1+Constants!$C$32/100*(AC51-25)))/($B51+S51-R51*AD51/1000)&gt;Design!$B$34,   (1-Constants!$D$20/1000000000*IF(ISBLANK(Design!$B$31),Design!$B$30/4,Design!$B$31/4)*1000000) * ($B51+S51-R51*AD51/1000) - (S51+R51*(1+($A51-25)*Constants!$C$32/100)*IF(ISBLANK(Design!$B$41),Constants!$C$6/1000,Design!$B$41/1000)),  (1-Constants!$D$20/1000000000*IF(ISBLANK(Design!$B$31),Design!$B$30,Design!$B$31)*1000000) * ($B51+S51-R51*AD51/1000) - (S51+R51*(1+($A51-25)*Constants!$C$32/100)*IF(ISBLANK(Design!$B$41),Constants!$C$6/1000,Design!$B$41/1000)))</f>
        <v>7.5772759128619587</v>
      </c>
      <c r="AF51" s="117">
        <f ca="1">IF(AE51&gt;Design!$C$27,Design!$C$27,AE51)</f>
        <v>4.9936842105263155</v>
      </c>
      <c r="AG51" s="118">
        <f>Design!$D$6/3</f>
        <v>1</v>
      </c>
      <c r="AH51" s="118">
        <f ca="1">FORECAST(AG51, OFFSET(Design!$C$14:$C$16,MATCH(AG51,Design!$B$14:$B$16,1)-1,0,2), OFFSET(Design!$B$14:$B$16,MATCH(AG51,Design!$B$14:$B$16,1)-1,0,2))+(AQ51-25)*Design!$B$17/1000</f>
        <v>0.31288537682662176</v>
      </c>
      <c r="AI51" s="194">
        <f ca="1">IF(100*(Design!$C$27+AH51+AG51*IF(ISBLANK(Design!$B$41),Constants!$C$6,Design!$B$41)/1000*(1+Constants!$C$32/100*(AR51-25)))/($B51+AH51-AG51*AS51/1000)&gt;Design!$B$34,Design!$B$35,100*(Design!$C$27+AH51+AG51*IF(ISBLANK(Design!$B$41),Constants!$C$6,Design!$B$41)/1000*(1+Constants!$C$32/100*(AR51-25)))/($B51+AH51-AG51*AS51/1000))</f>
        <v>47.64718413902051</v>
      </c>
      <c r="AJ51" s="119">
        <f ca="1">IF(($B51-AG51*IF(ISBLANK(Design!$B$41),Constants!$C$6,Design!$B$41)/1000*(1+Constants!$C$32/100*(AR51-25))-Design!$C$27)/(IF(ISBLANK(Design!$B$40),Design!$B$38,Design!$B$40)/1000000)*AI51/100/(IF(ISBLANK(Design!$B$31),Design!$B$30,Design!$B$31)*1000000)&lt;0,0,($B51-AG51*IF(ISBLANK(Design!$B$41),Constants!$C$6,Design!$B$41)/1000*(1+Constants!$C$32/100*(AR51-25))-Design!$C$27)/(IF(ISBLANK(Design!$B$40),Design!$B$38,Design!$B$40)/1000000)*AI51/100/(IF(ISBLANK(Design!$B$31),Design!$B$30,Design!$B$31)*1000000))</f>
        <v>0.4184966582796964</v>
      </c>
      <c r="AK51" s="195">
        <f>$B51*Constants!$C$21/1000+IF(ISBLANK(Design!$B$31),Design!$B$30,Design!$B$31)*1000000*Constants!$D$25/1000000000*($B51-Constants!$C$24)</f>
        <v>9.2319999999999944E-2</v>
      </c>
      <c r="AL51" s="195">
        <f>$B51*AG51*($B51/(Constants!$C$26*1000000000)*IF(ISBLANK(Design!$B$31),Design!$B$30,Design!$B$31)*1000000/2+$B51/(Constants!$C$27*1000000000)*IF(ISBLANK(Design!$B$31),Design!$B$30,Design!$B$31)*1000000/2)</f>
        <v>0.36195716666666639</v>
      </c>
      <c r="AM51" s="195">
        <f t="shared" ca="1" si="15"/>
        <v>9.2203747161887187E-2</v>
      </c>
      <c r="AN51" s="195">
        <f>Constants!$D$25/1000000000*Constants!$C$24*IF(ISBLANK(Design!$B$31),Design!$B$30,Design!$B$31)*1000000</f>
        <v>5.2499999999999998E-2</v>
      </c>
      <c r="AO51" s="195">
        <f t="shared" ca="1" si="24"/>
        <v>0.59898091382855356</v>
      </c>
      <c r="AP51" s="195">
        <f t="shared" ca="1" si="21"/>
        <v>0.16380430518597308</v>
      </c>
      <c r="AQ51" s="196">
        <f ca="1">$A51+AP51*Design!$B$18</f>
        <v>94.336845395600463</v>
      </c>
      <c r="AR51" s="196">
        <f ca="1">AO51*Design!$C$11+$A51</f>
        <v>107.16229381165648</v>
      </c>
      <c r="AS51" s="196">
        <f ca="1">Constants!$D$22+Constants!$D$22*Constants!$C$23/100*(AR51-25)</f>
        <v>190.72983504932517</v>
      </c>
      <c r="AT51" s="195">
        <f ca="1">IF(100*(Design!$C$27+AH51+AG51*IF(ISBLANK(Design!$B$41),Constants!$C$6,Design!$B$41)/1000*(1+Constants!$C$32/100*(AR51-25)))/($B51+AH51-AG51*AS51/1000)&gt;Design!$B$34,   (1-Constants!$D$20/1000000000*IF(ISBLANK(Design!$B$31),Design!$B$30/4,Design!$B$31/4)*1000000) * ($B51+AH51-AG51*AS51/1000) - (AH51+AG51*(1+($A51-25)*Constants!$C$32/100)*IF(ISBLANK(Design!$B$41),Constants!$C$6/1000,Design!$B$41/1000)),  (1-Constants!$D$20/1000000000*IF(ISBLANK(Design!$B$31),Design!$B$30,Design!$B$31)*1000000) * ($B51+AH51-AG51*AS51/1000) - (AH51+AG51*(1+($A51-25)*Constants!$C$32/100)*IF(ISBLANK(Design!$B$41),Constants!$C$6/1000,Design!$B$41/1000)))</f>
        <v>7.8190907020454681</v>
      </c>
      <c r="AU51" s="119">
        <f ca="1">IF(AT51&gt;Design!$C$27,Design!$C$27,AT51)</f>
        <v>4.9936842105263155</v>
      </c>
    </row>
    <row r="52" spans="1:47" ht="12.75" customHeight="1" x14ac:dyDescent="0.3">
      <c r="A52" s="112">
        <f>Design!$D$12</f>
        <v>85</v>
      </c>
      <c r="B52" s="113">
        <f t="shared" si="12"/>
        <v>10.924999999999995</v>
      </c>
      <c r="C52" s="114">
        <f>Design!$D$6</f>
        <v>3</v>
      </c>
      <c r="D52" s="114">
        <f ca="1">FORECAST(C52, OFFSET(Design!$C$14:$C$16,MATCH(C52,Design!$B$14:$B$16,1)-1,0,2), OFFSET(Design!$B$14:$B$16,MATCH(C52,Design!$B$14:$B$16,1)-1,0,2))+(M52-25)*Design!$B$17/1000</f>
        <v>0.39330350972804662</v>
      </c>
      <c r="E52" s="173">
        <f ca="1">IF(100*(Design!$C$27+D52+C52*IF(ISBLANK(Design!$B$41),Constants!$C$6,Design!$B$41)/1000*(1+Constants!$C$32/100*(N52-25)))/($B52+D52-C52*O52/1000)&gt;Design!$B$34,Design!$B$35,100*(Design!$C$27+D52+C52*IF(ISBLANK(Design!$B$41),Constants!$C$6,Design!$B$41)/1000*(1+Constants!$C$32/100*(N52-25)))/($B52+D52-C52*O52/1000))</f>
        <v>52.871106499452843</v>
      </c>
      <c r="F52" s="115">
        <f ca="1">IF(($B52-C52*IF(ISBLANK(Design!$B$41),Constants!$C$6,Design!$B$41)/1000*(1+Constants!$C$32/100*(N52-25))-Design!$C$27)/(IF(ISBLANK(Design!$B$40),Design!$B$38,Design!$B$40)/1000000)*E52/100/(IF(ISBLANK(Design!$B$31),Design!$B$30,Design!$B$31)*1000000)&lt;0,0,($B52-C52*IF(ISBLANK(Design!$B$41),Constants!$C$6,Design!$B$41)/1000*(1+Constants!$C$32/100*(N52-25))-Design!$C$27)/(IF(ISBLANK(Design!$B$40),Design!$B$38,Design!$B$40)/1000000)*E52/100/(IF(ISBLANK(Design!$B$31),Design!$B$30,Design!$B$31)*1000000))</f>
        <v>0.43628353427934186</v>
      </c>
      <c r="G52" s="165">
        <f>B52*Constants!$C$21/1000+IF(ISBLANK(Design!$B$31),Design!$B$30,Design!$B$31)*1000000*Constants!$D$25/1000000000*(B52-Constants!$C$24)</f>
        <v>8.9524999999999938E-2</v>
      </c>
      <c r="H52" s="165">
        <f>B52*C52*(B52/(Constants!$C$26*1000000000)*IF(ISBLANK(Design!$B$31),Design!$B$30,Design!$B$31)*1000000/2+B52/(Constants!$C$27*1000000000)*IF(ISBLANK(Design!$B$31),Design!$B$30,Design!$B$31)*1000000/2)</f>
        <v>1.0443617187499992</v>
      </c>
      <c r="I52" s="165">
        <f t="shared" ca="1" si="13"/>
        <v>1.1550189752537199</v>
      </c>
      <c r="J52" s="165">
        <f>Constants!$D$25/1000000000*Constants!$C$24*IF(ISBLANK(Design!$B$31),Design!$B$30,Design!$B$31)*1000000</f>
        <v>5.2499999999999998E-2</v>
      </c>
      <c r="K52" s="165">
        <f t="shared" ca="1" si="22"/>
        <v>2.3414056940037193</v>
      </c>
      <c r="L52" s="165">
        <f t="shared" ca="1" si="17"/>
        <v>0.55607877670093564</v>
      </c>
      <c r="M52" s="166">
        <f ca="1">$A52+L52*Design!$B$18</f>
        <v>116.69649027195334</v>
      </c>
      <c r="N52" s="166">
        <f ca="1">K52*Design!$C$11+A52</f>
        <v>171.63201067813762</v>
      </c>
      <c r="O52" s="166">
        <f ca="1">Constants!$D$22+Constants!$D$22*Constants!$C$23/100*(N52-25)</f>
        <v>242.3056085425101</v>
      </c>
      <c r="P52" s="165">
        <f ca="1">IF(100*(Design!$C$27+D52+C52*IF(ISBLANK(Design!$B$41),Constants!$C$6,Design!$B$41)/1000*(1+Constants!$C$32/100*(N52-25)))/($B52+D52-C52*O52/1000)&gt;Design!$B$34,   (1-Constants!$D$20/1000000000*IF(ISBLANK(Design!$B$31),Design!$B$30/4,Design!$B$31/4)*1000000) * ($B52+D52-C52*O52/1000) - (D52+C52*(1+($A52-25)*Constants!$C$32/100)*IF(ISBLANK(Design!$B$41),Constants!$C$6/1000,Design!$B$41/1000)),  (1-Constants!$D$20/1000000000*IF(ISBLANK(Design!$B$31),Design!$B$30,Design!$B$31)*1000000) * ($B52+D52-C52*O52/1000) - (D52+C52*(1+($A52-25)*Constants!$C$32/100)*IF(ISBLANK(Design!$B$41),Constants!$C$6/1000,Design!$B$41/1000)))</f>
        <v>7.1398016096130252</v>
      </c>
      <c r="Q52" s="115">
        <f ca="1">IF(P52&gt;Design!$C$27,Design!$C$27,P52)</f>
        <v>4.9936842105263155</v>
      </c>
      <c r="R52" s="116">
        <f>2*Design!$D$6/3</f>
        <v>2</v>
      </c>
      <c r="S52" s="116">
        <f ca="1">FORECAST(R52, OFFSET(Design!$C$14:$C$16,MATCH(R52,Design!$B$14:$B$16,1)-1,0,2), OFFSET(Design!$B$14:$B$16,MATCH(R52,Design!$B$14:$B$16,1)-1,0,2))+(AB52-25)*Design!$B$17/1000</f>
        <v>0.37864995533660162</v>
      </c>
      <c r="T52" s="182">
        <f ca="1">IF(100*(Design!$C$27+S52+R52*IF(ISBLANK(Design!$B$41),Constants!$C$6,Design!$B$41)/1000*(1+Constants!$C$32/100*(AC52-25)))/($B52+S52-R52*AD52/1000)&gt;Design!$B$34,Design!$B$35,100*(Design!$C$27+S52+R52*IF(ISBLANK(Design!$B$41),Constants!$C$6,Design!$B$41)/1000*(1+Constants!$C$32/100*(AC52-25)))/($B52+S52-R52*AD52/1000))</f>
        <v>50.539781954523541</v>
      </c>
      <c r="U52" s="117">
        <f ca="1">IF(($B52-R52*IF(ISBLANK(Design!$B$41),Constants!$C$6,Design!$B$41)/1000*(1+Constants!$C$32/100*(AC52-25))-Design!$C$27)/(IF(ISBLANK(Design!$B$40),Design!$B$38,Design!$B$40)/1000000)*T52/100/(IF(ISBLANK(Design!$B$31),Design!$B$30,Design!$B$31)*1000000)&lt;0,0,($B52-R52*IF(ISBLANK(Design!$B$41),Constants!$C$6,Design!$B$41)/1000*(1+Constants!$C$32/100*(AC52-25))-Design!$C$27)/(IF(ISBLANK(Design!$B$40),Design!$B$38,Design!$B$40)/1000000)*T52/100/(IF(ISBLANK(Design!$B$31),Design!$B$30,Design!$B$31)*1000000))</f>
        <v>0.42324586957277766</v>
      </c>
      <c r="V52" s="183">
        <f>$B52*Constants!$C$21/1000+IF(ISBLANK(Design!$B$31),Design!$B$30,Design!$B$31)*1000000*Constants!$D$25/1000000000*($B52-Constants!$C$24)</f>
        <v>8.9524999999999938E-2</v>
      </c>
      <c r="W52" s="183">
        <f>$B52*R52*($B52/(Constants!$C$26*1000000000)*IF(ISBLANK(Design!$B$31),Design!$B$30,Design!$B$31)*1000000/2+$B52/(Constants!$C$27*1000000000)*IF(ISBLANK(Design!$B$31),Design!$B$30,Design!$B$31)*1000000/2)</f>
        <v>0.69624114583333274</v>
      </c>
      <c r="X52" s="183">
        <f t="shared" ca="1" si="14"/>
        <v>0.42703772704536008</v>
      </c>
      <c r="Y52" s="183">
        <f>Constants!$D$25/1000000000*Constants!$C$24*IF(ISBLANK(Design!$B$31),Design!$B$30,Design!$B$31)*1000000</f>
        <v>5.2499999999999998E-2</v>
      </c>
      <c r="Z52" s="183">
        <f t="shared" ca="1" si="23"/>
        <v>1.2653038728786927</v>
      </c>
      <c r="AA52" s="183">
        <f t="shared" ca="1" si="19"/>
        <v>0.37456218707716477</v>
      </c>
      <c r="AB52" s="184">
        <f ca="1">$A52+AA52*Design!$B$18</f>
        <v>106.35004466339839</v>
      </c>
      <c r="AC52" s="184">
        <f ca="1">Z52*Design!$C$11+$A52</f>
        <v>131.81624329651163</v>
      </c>
      <c r="AD52" s="184">
        <f ca="1">Constants!$D$22+Constants!$D$22*Constants!$C$23/100*(AC52-25)</f>
        <v>210.45299463720931</v>
      </c>
      <c r="AE52" s="183">
        <f ca="1">IF(100*(Design!$C$27+S52+R52*IF(ISBLANK(Design!$B$41),Constants!$C$6,Design!$B$41)/1000*(1+Constants!$C$32/100*(AC52-25)))/($B52+S52-R52*AD52/1000)&gt;Design!$B$34,   (1-Constants!$D$20/1000000000*IF(ISBLANK(Design!$B$31),Design!$B$30/4,Design!$B$31/4)*1000000) * ($B52+S52-R52*AD52/1000) - (S52+R52*(1+($A52-25)*Constants!$C$32/100)*IF(ISBLANK(Design!$B$41),Constants!$C$6/1000,Design!$B$41/1000)),  (1-Constants!$D$20/1000000000*IF(ISBLANK(Design!$B$31),Design!$B$30,Design!$B$31)*1000000) * ($B52+S52-R52*AD52/1000) - (S52+R52*(1+($A52-25)*Constants!$C$32/100)*IF(ISBLANK(Design!$B$41),Constants!$C$6/1000,Design!$B$41/1000)))</f>
        <v>7.4218829079906019</v>
      </c>
      <c r="AF52" s="117">
        <f ca="1">IF(AE52&gt;Design!$C$27,Design!$C$27,AE52)</f>
        <v>4.9936842105263155</v>
      </c>
      <c r="AG52" s="118">
        <f>Design!$D$6/3</f>
        <v>1</v>
      </c>
      <c r="AH52" s="118">
        <f ca="1">FORECAST(AG52, OFFSET(Design!$C$14:$C$16,MATCH(AG52,Design!$B$14:$B$16,1)-1,0,2), OFFSET(Design!$B$14:$B$16,MATCH(AG52,Design!$B$14:$B$16,1)-1,0,2))+(AQ52-25)*Design!$B$17/1000</f>
        <v>0.31304568149419282</v>
      </c>
      <c r="AI52" s="194">
        <f ca="1">IF(100*(Design!$C$27+AH52+AG52*IF(ISBLANK(Design!$B$41),Constants!$C$6,Design!$B$41)/1000*(1+Constants!$C$32/100*(AR52-25)))/($B52+AH52-AG52*AS52/1000)&gt;Design!$B$34,Design!$B$35,100*(Design!$C$27+AH52+AG52*IF(ISBLANK(Design!$B$41),Constants!$C$6,Design!$B$41)/1000*(1+Constants!$C$32/100*(AR52-25)))/($B52+AH52-AG52*AS52/1000))</f>
        <v>48.572380290129061</v>
      </c>
      <c r="AJ52" s="119">
        <f ca="1">IF(($B52-AG52*IF(ISBLANK(Design!$B$41),Constants!$C$6,Design!$B$41)/1000*(1+Constants!$C$32/100*(AR52-25))-Design!$C$27)/(IF(ISBLANK(Design!$B$40),Design!$B$38,Design!$B$40)/1000000)*AI52/100/(IF(ISBLANK(Design!$B$31),Design!$B$30,Design!$B$31)*1000000)&lt;0,0,($B52-AG52*IF(ISBLANK(Design!$B$41),Constants!$C$6,Design!$B$41)/1000*(1+Constants!$C$32/100*(AR52-25))-Design!$C$27)/(IF(ISBLANK(Design!$B$40),Design!$B$38,Design!$B$40)/1000000)*AI52/100/(IF(ISBLANK(Design!$B$31),Design!$B$30,Design!$B$31)*1000000))</f>
        <v>0.41156045305220745</v>
      </c>
      <c r="AK52" s="195">
        <f>$B52*Constants!$C$21/1000+IF(ISBLANK(Design!$B$31),Design!$B$30,Design!$B$31)*1000000*Constants!$D$25/1000000000*($B52-Constants!$C$24)</f>
        <v>8.9524999999999938E-2</v>
      </c>
      <c r="AL52" s="195">
        <f>$B52*AG52*($B52/(Constants!$C$26*1000000000)*IF(ISBLANK(Design!$B$31),Design!$B$30,Design!$B$31)*1000000/2+$B52/(Constants!$C$27*1000000000)*IF(ISBLANK(Design!$B$31),Design!$B$30,Design!$B$31)*1000000/2)</f>
        <v>0.34812057291666637</v>
      </c>
      <c r="AM52" s="195">
        <f t="shared" ca="1" si="15"/>
        <v>9.3729428718092714E-2</v>
      </c>
      <c r="AN52" s="195">
        <f>Constants!$D$25/1000000000*Constants!$C$24*IF(ISBLANK(Design!$B$31),Design!$B$30,Design!$B$31)*1000000</f>
        <v>5.2499999999999998E-2</v>
      </c>
      <c r="AO52" s="195">
        <f t="shared" ca="1" si="24"/>
        <v>0.58387500163475903</v>
      </c>
      <c r="AP52" s="195">
        <f t="shared" ca="1" si="21"/>
        <v>0.16099194259700728</v>
      </c>
      <c r="AQ52" s="196">
        <f ca="1">$A52+AP52*Design!$B$18</f>
        <v>94.176540728029408</v>
      </c>
      <c r="AR52" s="196">
        <f ca="1">AO52*Design!$C$11+$A52</f>
        <v>106.60337506048609</v>
      </c>
      <c r="AS52" s="196">
        <f ca="1">Constants!$D$22+Constants!$D$22*Constants!$C$23/100*(AR52-25)</f>
        <v>190.28270004838888</v>
      </c>
      <c r="AT52" s="195">
        <f ca="1">IF(100*(Design!$C$27+AH52+AG52*IF(ISBLANK(Design!$B$41),Constants!$C$6,Design!$B$41)/1000*(1+Constants!$C$32/100*(AR52-25)))/($B52+AH52-AG52*AS52/1000)&gt;Design!$B$34,   (1-Constants!$D$20/1000000000*IF(ISBLANK(Design!$B$31),Design!$B$30/4,Design!$B$31/4)*1000000) * ($B52+AH52-AG52*AS52/1000) - (AH52+AG52*(1+($A52-25)*Constants!$C$32/100)*IF(ISBLANK(Design!$B$41),Constants!$C$6/1000,Design!$B$41/1000)),  (1-Constants!$D$20/1000000000*IF(ISBLANK(Design!$B$31),Design!$B$30,Design!$B$31)*1000000) * ($B52+AH52-AG52*AS52/1000) - (AH52+AG52*(1+($A52-25)*Constants!$C$32/100)*IF(ISBLANK(Design!$B$41),Constants!$C$6/1000,Design!$B$41/1000)))</f>
        <v>7.6630670060169033</v>
      </c>
      <c r="AU52" s="119">
        <f ca="1">IF(AT52&gt;Design!$C$27,Design!$C$27,AT52)</f>
        <v>4.9936842105263155</v>
      </c>
    </row>
    <row r="53" spans="1:47" ht="12.75" customHeight="1" x14ac:dyDescent="0.3">
      <c r="A53" s="112">
        <f>Design!$D$12</f>
        <v>85</v>
      </c>
      <c r="B53" s="113">
        <f t="shared" si="12"/>
        <v>10.709999999999996</v>
      </c>
      <c r="C53" s="114">
        <f>Design!$D$6</f>
        <v>3</v>
      </c>
      <c r="D53" s="114">
        <f ca="1">FORECAST(C53, OFFSET(Design!$C$14:$C$16,MATCH(C53,Design!$B$14:$B$16,1)-1,0,2), OFFSET(Design!$B$14:$B$16,MATCH(C53,Design!$B$14:$B$16,1)-1,0,2))+(M53-25)*Design!$B$17/1000</f>
        <v>0.39397894015293311</v>
      </c>
      <c r="E53" s="173">
        <f ca="1">IF(100*(Design!$C$27+D53+C53*IF(ISBLANK(Design!$B$41),Constants!$C$6,Design!$B$41)/1000*(1+Constants!$C$32/100*(N53-25)))/($B53+D53-C53*O53/1000)&gt;Design!$B$34,Design!$B$35,100*(Design!$C$27+D53+C53*IF(ISBLANK(Design!$B$41),Constants!$C$6,Design!$B$41)/1000*(1+Constants!$C$32/100*(N53-25)))/($B53+D53-C53*O53/1000))</f>
        <v>53.954466033749306</v>
      </c>
      <c r="F53" s="115">
        <f ca="1">IF(($B53-C53*IF(ISBLANK(Design!$B$41),Constants!$C$6,Design!$B$41)/1000*(1+Constants!$C$32/100*(N53-25))-Design!$C$27)/(IF(ISBLANK(Design!$B$40),Design!$B$38,Design!$B$40)/1000000)*E53/100/(IF(ISBLANK(Design!$B$31),Design!$B$30,Design!$B$31)*1000000)&lt;0,0,($B53-C53*IF(ISBLANK(Design!$B$41),Constants!$C$6,Design!$B$41)/1000*(1+Constants!$C$32/100*(N53-25))-Design!$C$27)/(IF(ISBLANK(Design!$B$40),Design!$B$38,Design!$B$40)/1000000)*E53/100/(IF(ISBLANK(Design!$B$31),Design!$B$30,Design!$B$31)*1000000))</f>
        <v>0.42851964923035596</v>
      </c>
      <c r="G53" s="165">
        <f>B53*Constants!$C$21/1000+IF(ISBLANK(Design!$B$31),Design!$B$30,Design!$B$31)*1000000*Constants!$D$25/1000000000*(B53-Constants!$C$24)</f>
        <v>8.6729999999999946E-2</v>
      </c>
      <c r="H53" s="165">
        <f>B53*C53*(B53/(Constants!$C$26*1000000000)*IF(ISBLANK(Design!$B$31),Design!$B$30,Design!$B$31)*1000000/2+B53/(Constants!$C$27*1000000000)*IF(ISBLANK(Design!$B$31),Design!$B$30,Design!$B$31)*1000000/2)</f>
        <v>1.0036608749999993</v>
      </c>
      <c r="I53" s="165">
        <f t="shared" ca="1" si="13"/>
        <v>1.1752654035499592</v>
      </c>
      <c r="J53" s="165">
        <f>Constants!$D$25/1000000000*Constants!$C$24*IF(ISBLANK(Design!$B$31),Design!$B$30,Design!$B$31)*1000000</f>
        <v>5.2499999999999998E-2</v>
      </c>
      <c r="K53" s="165">
        <f t="shared" ca="1" si="22"/>
        <v>2.3181562785499588</v>
      </c>
      <c r="L53" s="165">
        <f t="shared" ca="1" si="17"/>
        <v>0.54422912012397995</v>
      </c>
      <c r="M53" s="166">
        <f ca="1">$A53+L53*Design!$B$18</f>
        <v>116.02105984706685</v>
      </c>
      <c r="N53" s="166">
        <f ca="1">K53*Design!$C$11+A53</f>
        <v>170.77178230634848</v>
      </c>
      <c r="O53" s="166">
        <f ca="1">Constants!$D$22+Constants!$D$22*Constants!$C$23/100*(N53-25)</f>
        <v>241.6174258450788</v>
      </c>
      <c r="P53" s="165">
        <f ca="1">IF(100*(Design!$C$27+D53+C53*IF(ISBLANK(Design!$B$41),Constants!$C$6,Design!$B$41)/1000*(1+Constants!$C$32/100*(N53-25)))/($B53+D53-C53*O53/1000)&gt;Design!$B$34,   (1-Constants!$D$20/1000000000*IF(ISBLANK(Design!$B$31),Design!$B$30/4,Design!$B$31/4)*1000000) * ($B53+D53-C53*O53/1000) - (D53+C53*(1+($A53-25)*Constants!$C$32/100)*IF(ISBLANK(Design!$B$41),Constants!$C$6/1000,Design!$B$41/1000)),  (1-Constants!$D$20/1000000000*IF(ISBLANK(Design!$B$31),Design!$B$30,Design!$B$31)*1000000) * ($B53+D53-C53*O53/1000) - (D53+C53*(1+($A53-25)*Constants!$C$32/100)*IF(ISBLANK(Design!$B$41),Constants!$C$6/1000,Design!$B$41/1000)))</f>
        <v>6.9848131435701291</v>
      </c>
      <c r="Q53" s="115">
        <f ca="1">IF(P53&gt;Design!$C$27,Design!$C$27,P53)</f>
        <v>4.9936842105263155</v>
      </c>
      <c r="R53" s="116">
        <f>2*Design!$D$6/3</f>
        <v>2</v>
      </c>
      <c r="S53" s="116">
        <f ca="1">FORECAST(R53, OFFSET(Design!$C$14:$C$16,MATCH(R53,Design!$B$14:$B$16,1)-1,0,2), OFFSET(Design!$B$14:$B$16,MATCH(R53,Design!$B$14:$B$16,1)-1,0,2))+(AB53-25)*Design!$B$17/1000</f>
        <v>0.37906357625583625</v>
      </c>
      <c r="T53" s="182">
        <f ca="1">IF(100*(Design!$C$27+S53+R53*IF(ISBLANK(Design!$B$41),Constants!$C$6,Design!$B$41)/1000*(1+Constants!$C$32/100*(AC53-25)))/($B53+S53-R53*AD53/1000)&gt;Design!$B$34,Design!$B$35,100*(Design!$C$27+S53+R53*IF(ISBLANK(Design!$B$41),Constants!$C$6,Design!$B$41)/1000*(1+Constants!$C$32/100*(AC53-25)))/($B53+S53-R53*AD53/1000))</f>
        <v>51.550913523504768</v>
      </c>
      <c r="U53" s="117">
        <f ca="1">IF(($B53-R53*IF(ISBLANK(Design!$B$41),Constants!$C$6,Design!$B$41)/1000*(1+Constants!$C$32/100*(AC53-25))-Design!$C$27)/(IF(ISBLANK(Design!$B$40),Design!$B$38,Design!$B$40)/1000000)*T53/100/(IF(ISBLANK(Design!$B$31),Design!$B$30,Design!$B$31)*1000000)&lt;0,0,($B53-R53*IF(ISBLANK(Design!$B$41),Constants!$C$6,Design!$B$41)/1000*(1+Constants!$C$32/100*(AC53-25))-Design!$C$27)/(IF(ISBLANK(Design!$B$40),Design!$B$38,Design!$B$40)/1000000)*T53/100/(IF(ISBLANK(Design!$B$31),Design!$B$30,Design!$B$31)*1000000))</f>
        <v>0.41574240735026696</v>
      </c>
      <c r="V53" s="183">
        <f>$B53*Constants!$C$21/1000+IF(ISBLANK(Design!$B$31),Design!$B$30,Design!$B$31)*1000000*Constants!$D$25/1000000000*($B53-Constants!$C$24)</f>
        <v>8.6729999999999946E-2</v>
      </c>
      <c r="W53" s="183">
        <f>$B53*R53*($B53/(Constants!$C$26*1000000000)*IF(ISBLANK(Design!$B$31),Design!$B$30,Design!$B$31)*1000000/2+$B53/(Constants!$C$27*1000000000)*IF(ISBLANK(Design!$B$31),Design!$B$30,Design!$B$31)*1000000/2)</f>
        <v>0.66910724999999949</v>
      </c>
      <c r="X53" s="183">
        <f t="shared" ca="1" si="14"/>
        <v>0.43412523111024898</v>
      </c>
      <c r="Y53" s="183">
        <f>Constants!$D$25/1000000000*Constants!$C$24*IF(ISBLANK(Design!$B$31),Design!$B$30,Design!$B$31)*1000000</f>
        <v>5.2499999999999998E-2</v>
      </c>
      <c r="Z53" s="183">
        <f t="shared" ca="1" si="23"/>
        <v>1.2424624811102485</v>
      </c>
      <c r="AA53" s="183">
        <f t="shared" ca="1" si="19"/>
        <v>0.3673056797221711</v>
      </c>
      <c r="AB53" s="184">
        <f ca="1">$A53+AA53*Design!$B$18</f>
        <v>105.93642374416376</v>
      </c>
      <c r="AC53" s="184">
        <f ca="1">Z53*Design!$C$11+$A53</f>
        <v>130.97111180107919</v>
      </c>
      <c r="AD53" s="184">
        <f ca="1">Constants!$D$22+Constants!$D$22*Constants!$C$23/100*(AC53-25)</f>
        <v>209.77688944086336</v>
      </c>
      <c r="AE53" s="183">
        <f ca="1">IF(100*(Design!$C$27+S53+R53*IF(ISBLANK(Design!$B$41),Constants!$C$6,Design!$B$41)/1000*(1+Constants!$C$32/100*(AC53-25)))/($B53+S53-R53*AD53/1000)&gt;Design!$B$34,   (1-Constants!$D$20/1000000000*IF(ISBLANK(Design!$B$31),Design!$B$30/4,Design!$B$31/4)*1000000) * ($B53+S53-R53*AD53/1000) - (S53+R53*(1+($A53-25)*Constants!$C$32/100)*IF(ISBLANK(Design!$B$41),Constants!$C$6/1000,Design!$B$41/1000)),  (1-Constants!$D$20/1000000000*IF(ISBLANK(Design!$B$31),Design!$B$30,Design!$B$31)*1000000) * ($B53+S53-R53*AD53/1000) - (S53+R53*(1+($A53-25)*Constants!$C$32/100)*IF(ISBLANK(Design!$B$41),Constants!$C$6/1000,Design!$B$41/1000)))</f>
        <v>7.2664480464351371</v>
      </c>
      <c r="AF53" s="117">
        <f ca="1">IF(AE53&gt;Design!$C$27,Design!$C$27,AE53)</f>
        <v>4.9936842105263155</v>
      </c>
      <c r="AG53" s="118">
        <f>Design!$D$6/3</f>
        <v>1</v>
      </c>
      <c r="AH53" s="118">
        <f ca="1">FORECAST(AG53, OFFSET(Design!$C$14:$C$16,MATCH(AG53,Design!$B$14:$B$16,1)-1,0,2), OFFSET(Design!$B$14:$B$16,MATCH(AG53,Design!$B$14:$B$16,1)-1,0,2))+(AQ53-25)*Design!$B$17/1000</f>
        <v>0.31321252190404075</v>
      </c>
      <c r="AI53" s="194">
        <f ca="1">IF(100*(Design!$C$27+AH53+AG53*IF(ISBLANK(Design!$B$41),Constants!$C$6,Design!$B$41)/1000*(1+Constants!$C$32/100*(AR53-25)))/($B53+AH53-AG53*AS53/1000)&gt;Design!$B$34,Design!$B$35,100*(Design!$C$27+AH53+AG53*IF(ISBLANK(Design!$B$41),Constants!$C$6,Design!$B$41)/1000*(1+Constants!$C$32/100*(AR53-25)))/($B53+AH53-AG53*AS53/1000))</f>
        <v>49.534291636252036</v>
      </c>
      <c r="AJ53" s="119">
        <f ca="1">IF(($B53-AG53*IF(ISBLANK(Design!$B$41),Constants!$C$6,Design!$B$41)/1000*(1+Constants!$C$32/100*(AR53-25))-Design!$C$27)/(IF(ISBLANK(Design!$B$40),Design!$B$38,Design!$B$40)/1000000)*AI53/100/(IF(ISBLANK(Design!$B$31),Design!$B$30,Design!$B$31)*1000000)&lt;0,0,($B53-AG53*IF(ISBLANK(Design!$B$41),Constants!$C$6,Design!$B$41)/1000*(1+Constants!$C$32/100*(AR53-25))-Design!$C$27)/(IF(ISBLANK(Design!$B$40),Design!$B$38,Design!$B$40)/1000000)*AI53/100/(IF(ISBLANK(Design!$B$31),Design!$B$30,Design!$B$31)*1000000))</f>
        <v>0.40434998722339383</v>
      </c>
      <c r="AK53" s="195">
        <f>$B53*Constants!$C$21/1000+IF(ISBLANK(Design!$B$31),Design!$B$30,Design!$B$31)*1000000*Constants!$D$25/1000000000*($B53-Constants!$C$24)</f>
        <v>8.6729999999999946E-2</v>
      </c>
      <c r="AL53" s="195">
        <f>$B53*AG53*($B53/(Constants!$C$26*1000000000)*IF(ISBLANK(Design!$B$31),Design!$B$30,Design!$B$31)*1000000/2+$B53/(Constants!$C$27*1000000000)*IF(ISBLANK(Design!$B$31),Design!$B$30,Design!$B$31)*1000000/2)</f>
        <v>0.33455362499999974</v>
      </c>
      <c r="AM53" s="195">
        <f t="shared" ca="1" si="15"/>
        <v>9.5319873045182815E-2</v>
      </c>
      <c r="AN53" s="195">
        <f>Constants!$D$25/1000000000*Constants!$C$24*IF(ISBLANK(Design!$B$31),Design!$B$30,Design!$B$31)*1000000</f>
        <v>5.2499999999999998E-2</v>
      </c>
      <c r="AO53" s="195">
        <f t="shared" ca="1" si="24"/>
        <v>0.56910349804518257</v>
      </c>
      <c r="AP53" s="195">
        <f t="shared" ca="1" si="21"/>
        <v>0.15806491786283342</v>
      </c>
      <c r="AQ53" s="196">
        <f ca="1">$A53+AP53*Design!$B$18</f>
        <v>94.009700318181501</v>
      </c>
      <c r="AR53" s="196">
        <f ca="1">AO53*Design!$C$11+$A53</f>
        <v>106.05682942767176</v>
      </c>
      <c r="AS53" s="196">
        <f ca="1">Constants!$D$22+Constants!$D$22*Constants!$C$23/100*(AR53-25)</f>
        <v>189.8454635421374</v>
      </c>
      <c r="AT53" s="195">
        <f ca="1">IF(100*(Design!$C$27+AH53+AG53*IF(ISBLANK(Design!$B$41),Constants!$C$6,Design!$B$41)/1000*(1+Constants!$C$32/100*(AR53-25)))/($B53+AH53-AG53*AS53/1000)&gt;Design!$B$34,   (1-Constants!$D$20/1000000000*IF(ISBLANK(Design!$B$31),Design!$B$30/4,Design!$B$31/4)*1000000) * ($B53+AH53-AG53*AS53/1000) - (AH53+AG53*(1+($A53-25)*Constants!$C$32/100)*IF(ISBLANK(Design!$B$41),Constants!$C$6/1000,Design!$B$41/1000)),  (1-Constants!$D$20/1000000000*IF(ISBLANK(Design!$B$31),Design!$B$30,Design!$B$31)*1000000) * ($B53+AH53-AG53*AS53/1000) - (AH53+AG53*(1+($A53-25)*Constants!$C$32/100)*IF(ISBLANK(Design!$B$41),Constants!$C$6/1000,Design!$B$41/1000)))</f>
        <v>7.5070343295250588</v>
      </c>
      <c r="AU53" s="119">
        <f ca="1">IF(AT53&gt;Design!$C$27,Design!$C$27,AT53)</f>
        <v>4.9936842105263155</v>
      </c>
    </row>
    <row r="54" spans="1:47" ht="12.75" customHeight="1" x14ac:dyDescent="0.3">
      <c r="A54" s="112">
        <f>Design!$D$12</f>
        <v>85</v>
      </c>
      <c r="B54" s="113">
        <f t="shared" si="12"/>
        <v>10.494999999999996</v>
      </c>
      <c r="C54" s="114">
        <f>Design!$D$6</f>
        <v>3</v>
      </c>
      <c r="D54" s="114">
        <f ca="1">FORECAST(C54, OFFSET(Design!$C$14:$C$16,MATCH(C54,Design!$B$14:$B$16,1)-1,0,2), OFFSET(Design!$B$14:$B$16,MATCH(C54,Design!$B$14:$B$16,1)-1,0,2))+(M54-25)*Design!$B$17/1000</f>
        <v>0.39468596708209536</v>
      </c>
      <c r="E54" s="173">
        <f ca="1">IF(100*(Design!$C$27+D54+C54*IF(ISBLANK(Design!$B$41),Constants!$C$6,Design!$B$41)/1000*(1+Constants!$C$32/100*(N54-25)))/($B54+D54-C54*O54/1000)&gt;Design!$B$34,Design!$B$35,100*(Design!$C$27+D54+C54*IF(ISBLANK(Design!$B$41),Constants!$C$6,Design!$B$41)/1000*(1+Constants!$C$32/100*(N54-25)))/($B54+D54-C54*O54/1000))</f>
        <v>55.084532745330094</v>
      </c>
      <c r="F54" s="115">
        <f ca="1">IF(($B54-C54*IF(ISBLANK(Design!$B$41),Constants!$C$6,Design!$B$41)/1000*(1+Constants!$C$32/100*(N54-25))-Design!$C$27)/(IF(ISBLANK(Design!$B$40),Design!$B$38,Design!$B$40)/1000000)*E54/100/(IF(ISBLANK(Design!$B$31),Design!$B$30,Design!$B$31)*1000000)&lt;0,0,($B54-C54*IF(ISBLANK(Design!$B$41),Constants!$C$6,Design!$B$41)/1000*(1+Constants!$C$32/100*(N54-25))-Design!$C$27)/(IF(ISBLANK(Design!$B$40),Design!$B$38,Design!$B$40)/1000000)*E54/100/(IF(ISBLANK(Design!$B$31),Design!$B$30,Design!$B$31)*1000000))</f>
        <v>0.42043839476275047</v>
      </c>
      <c r="G54" s="165">
        <f>B54*Constants!$C$21/1000+IF(ISBLANK(Design!$B$31),Design!$B$30,Design!$B$31)*1000000*Constants!$D$25/1000000000*(B54-Constants!$C$24)</f>
        <v>8.3934999999999954E-2</v>
      </c>
      <c r="H54" s="165">
        <f>B54*C54*(B54/(Constants!$C$26*1000000000)*IF(ISBLANK(Design!$B$31),Design!$B$30,Design!$B$31)*1000000/2+B54/(Constants!$C$27*1000000000)*IF(ISBLANK(Design!$B$31),Design!$B$30,Design!$B$31)*1000000/2)</f>
        <v>0.96376896874999918</v>
      </c>
      <c r="I54" s="165">
        <f t="shared" ca="1" si="13"/>
        <v>1.1966780278861995</v>
      </c>
      <c r="J54" s="165">
        <f>Constants!$D$25/1000000000*Constants!$C$24*IF(ISBLANK(Design!$B$31),Design!$B$30,Design!$B$31)*1000000</f>
        <v>5.2499999999999998E-2</v>
      </c>
      <c r="K54" s="165">
        <f t="shared" ca="1" si="22"/>
        <v>2.2968819966361989</v>
      </c>
      <c r="L54" s="165">
        <f t="shared" ca="1" si="17"/>
        <v>0.53182513891060734</v>
      </c>
      <c r="M54" s="166">
        <f ca="1">$A54+L54*Design!$B$18</f>
        <v>115.31403291790463</v>
      </c>
      <c r="N54" s="166">
        <f ca="1">K54*Design!$C$11+A54</f>
        <v>169.98463387553937</v>
      </c>
      <c r="O54" s="166">
        <f ca="1">Constants!$D$22+Constants!$D$22*Constants!$C$23/100*(N54-25)</f>
        <v>240.98770710043152</v>
      </c>
      <c r="P54" s="165">
        <f ca="1">IF(100*(Design!$C$27+D54+C54*IF(ISBLANK(Design!$B$41),Constants!$C$6,Design!$B$41)/1000*(1+Constants!$C$32/100*(N54-25)))/($B54+D54-C54*O54/1000)&gt;Design!$B$34,   (1-Constants!$D$20/1000000000*IF(ISBLANK(Design!$B$31),Design!$B$30/4,Design!$B$31/4)*1000000) * ($B54+D54-C54*O54/1000) - (D54+C54*(1+($A54-25)*Constants!$C$32/100)*IF(ISBLANK(Design!$B$41),Constants!$C$6/1000,Design!$B$41/1000)),  (1-Constants!$D$20/1000000000*IF(ISBLANK(Design!$B$31),Design!$B$30,Design!$B$31)*1000000) * ($B54+D54-C54*O54/1000) - (D54+C54*(1+($A54-25)*Constants!$C$32/100)*IF(ISBLANK(Design!$B$41),Constants!$C$6/1000,Design!$B$41/1000)))</f>
        <v>6.8296885418005431</v>
      </c>
      <c r="Q54" s="115">
        <f ca="1">IF(P54&gt;Design!$C$27,Design!$C$27,P54)</f>
        <v>4.9936842105263155</v>
      </c>
      <c r="R54" s="116">
        <f>2*Design!$D$6/3</f>
        <v>2</v>
      </c>
      <c r="S54" s="116">
        <f ca="1">FORECAST(R54, OFFSET(Design!$C$14:$C$16,MATCH(R54,Design!$B$14:$B$16,1)-1,0,2), OFFSET(Design!$B$14:$B$16,MATCH(R54,Design!$B$14:$B$16,1)-1,0,2))+(AB54-25)*Design!$B$17/1000</f>
        <v>0.37949521529769481</v>
      </c>
      <c r="T54" s="182">
        <f ca="1">IF(100*(Design!$C$27+S54+R54*IF(ISBLANK(Design!$B$41),Constants!$C$6,Design!$B$41)/1000*(1+Constants!$C$32/100*(AC54-25)))/($B54+S54-R54*AD54/1000)&gt;Design!$B$34,Design!$B$35,100*(Design!$C$27+S54+R54*IF(ISBLANK(Design!$B$41),Constants!$C$6,Design!$B$41)/1000*(1+Constants!$C$32/100*(AC54-25)))/($B54+S54-R54*AD54/1000))</f>
        <v>52.603741700599421</v>
      </c>
      <c r="U54" s="117">
        <f ca="1">IF(($B54-R54*IF(ISBLANK(Design!$B$41),Constants!$C$6,Design!$B$41)/1000*(1+Constants!$C$32/100*(AC54-25))-Design!$C$27)/(IF(ISBLANK(Design!$B$40),Design!$B$38,Design!$B$40)/1000000)*T54/100/(IF(ISBLANK(Design!$B$31),Design!$B$30,Design!$B$31)*1000000)&lt;0,0,($B54-R54*IF(ISBLANK(Design!$B$41),Constants!$C$6,Design!$B$41)/1000*(1+Constants!$C$32/100*(AC54-25))-Design!$C$27)/(IF(ISBLANK(Design!$B$40),Design!$B$38,Design!$B$40)/1000000)*T54/100/(IF(ISBLANK(Design!$B$31),Design!$B$30,Design!$B$31)*1000000))</f>
        <v>0.40793489119487958</v>
      </c>
      <c r="V54" s="183">
        <f>$B54*Constants!$C$21/1000+IF(ISBLANK(Design!$B$31),Design!$B$30,Design!$B$31)*1000000*Constants!$D$25/1000000000*($B54-Constants!$C$24)</f>
        <v>8.3934999999999954E-2</v>
      </c>
      <c r="W54" s="183">
        <f>$B54*R54*($B54/(Constants!$C$26*1000000000)*IF(ISBLANK(Design!$B$31),Design!$B$30,Design!$B$31)*1000000/2+$B54/(Constants!$C$27*1000000000)*IF(ISBLANK(Design!$B$31),Design!$B$30,Design!$B$31)*1000000/2)</f>
        <v>0.64251264583333279</v>
      </c>
      <c r="X54" s="183">
        <f t="shared" ca="1" si="14"/>
        <v>0.44156012357346841</v>
      </c>
      <c r="Y54" s="183">
        <f>Constants!$D$25/1000000000*Constants!$C$24*IF(ISBLANK(Design!$B$31),Design!$B$30,Design!$B$31)*1000000</f>
        <v>5.2499999999999998E-2</v>
      </c>
      <c r="Z54" s="183">
        <f t="shared" ca="1" si="23"/>
        <v>1.2205077694068012</v>
      </c>
      <c r="AA54" s="183">
        <f t="shared" ca="1" si="19"/>
        <v>0.3597330649527235</v>
      </c>
      <c r="AB54" s="184">
        <f ca="1">$A54+AA54*Design!$B$18</f>
        <v>105.50478470230524</v>
      </c>
      <c r="AC54" s="184">
        <f ca="1">Z54*Design!$C$11+$A54</f>
        <v>130.15878746805163</v>
      </c>
      <c r="AD54" s="184">
        <f ca="1">Constants!$D$22+Constants!$D$22*Constants!$C$23/100*(AC54-25)</f>
        <v>209.12702997444131</v>
      </c>
      <c r="AE54" s="183">
        <f ca="1">IF(100*(Design!$C$27+S54+R54*IF(ISBLANK(Design!$B$41),Constants!$C$6,Design!$B$41)/1000*(1+Constants!$C$32/100*(AC54-25)))/($B54+S54-R54*AD54/1000)&gt;Design!$B$34,   (1-Constants!$D$20/1000000000*IF(ISBLANK(Design!$B$31),Design!$B$30/4,Design!$B$31/4)*1000000) * ($B54+S54-R54*AD54/1000) - (S54+R54*(1+($A54-25)*Constants!$C$32/100)*IF(ISBLANK(Design!$B$41),Constants!$C$6/1000,Design!$B$41/1000)),  (1-Constants!$D$20/1000000000*IF(ISBLANK(Design!$B$31),Design!$B$30,Design!$B$31)*1000000) * ($B54+S54-R54*AD54/1000) - (S54+R54*(1+($A54-25)*Constants!$C$32/100)*IF(ISBLANK(Design!$B$41),Constants!$C$6/1000,Design!$B$41/1000)))</f>
        <v>7.1109701046408889</v>
      </c>
      <c r="AF54" s="117">
        <f ca="1">IF(AE54&gt;Design!$C$27,Design!$C$27,AE54)</f>
        <v>4.9936842105263155</v>
      </c>
      <c r="AG54" s="118">
        <f>Design!$D$6/3</f>
        <v>1</v>
      </c>
      <c r="AH54" s="118">
        <f ca="1">FORECAST(AG54, OFFSET(Design!$C$14:$C$16,MATCH(AG54,Design!$B$14:$B$16,1)-1,0,2), OFFSET(Design!$B$14:$B$16,MATCH(AG54,Design!$B$14:$B$16,1)-1,0,2))+(AQ54-25)*Design!$B$17/1000</f>
        <v>0.31338630567716741</v>
      </c>
      <c r="AI54" s="194">
        <f ca="1">IF(100*(Design!$C$27+AH54+AG54*IF(ISBLANK(Design!$B$41),Constants!$C$6,Design!$B$41)/1000*(1+Constants!$C$32/100*(AR54-25)))/($B54+AH54-AG54*AS54/1000)&gt;Design!$B$34,Design!$B$35,100*(Design!$C$27+AH54+AG54*IF(ISBLANK(Design!$B$41),Constants!$C$6,Design!$B$41)/1000*(1+Constants!$C$32/100*(AR54-25)))/($B54+AH54-AG54*AS54/1000))</f>
        <v>50.535145623914985</v>
      </c>
      <c r="AJ54" s="119">
        <f ca="1">IF(($B54-AG54*IF(ISBLANK(Design!$B$41),Constants!$C$6,Design!$B$41)/1000*(1+Constants!$C$32/100*(AR54-25))-Design!$C$27)/(IF(ISBLANK(Design!$B$40),Design!$B$38,Design!$B$40)/1000000)*AI54/100/(IF(ISBLANK(Design!$B$31),Design!$B$30,Design!$B$31)*1000000)&lt;0,0,($B54-AG54*IF(ISBLANK(Design!$B$41),Constants!$C$6,Design!$B$41)/1000*(1+Constants!$C$32/100*(AR54-25))-Design!$C$27)/(IF(ISBLANK(Design!$B$40),Design!$B$38,Design!$B$40)/1000000)*AI54/100/(IF(ISBLANK(Design!$B$31),Design!$B$30,Design!$B$31)*1000000))</f>
        <v>0.39684858496021463</v>
      </c>
      <c r="AK54" s="195">
        <f>$B54*Constants!$C$21/1000+IF(ISBLANK(Design!$B$31),Design!$B$30,Design!$B$31)*1000000*Constants!$D$25/1000000000*($B54-Constants!$C$24)</f>
        <v>8.3934999999999954E-2</v>
      </c>
      <c r="AL54" s="195">
        <f>$B54*AG54*($B54/(Constants!$C$26*1000000000)*IF(ISBLANK(Design!$B$31),Design!$B$30,Design!$B$31)*1000000/2+$B54/(Constants!$C$27*1000000000)*IF(ISBLANK(Design!$B$31),Design!$B$30,Design!$B$31)*1000000/2)</f>
        <v>0.32125632291666639</v>
      </c>
      <c r="AM54" s="195">
        <f t="shared" ca="1" si="15"/>
        <v>9.6979057274320477E-2</v>
      </c>
      <c r="AN54" s="195">
        <f>Constants!$D$25/1000000000*Constants!$C$24*IF(ISBLANK(Design!$B$31),Design!$B$30,Design!$B$31)*1000000</f>
        <v>5.2499999999999998E-2</v>
      </c>
      <c r="AO54" s="195">
        <f t="shared" ca="1" si="24"/>
        <v>0.5546703801909868</v>
      </c>
      <c r="AP54" s="195">
        <f t="shared" ca="1" si="21"/>
        <v>0.15501607973780349</v>
      </c>
      <c r="AQ54" s="196">
        <f ca="1">$A54+AP54*Design!$B$18</f>
        <v>93.835916545054801</v>
      </c>
      <c r="AR54" s="196">
        <f ca="1">AO54*Design!$C$11+$A54</f>
        <v>105.52280406706652</v>
      </c>
      <c r="AS54" s="196">
        <f ca="1">Constants!$D$22+Constants!$D$22*Constants!$C$23/100*(AR54-25)</f>
        <v>189.4182432536532</v>
      </c>
      <c r="AT54" s="195">
        <f ca="1">IF(100*(Design!$C$27+AH54+AG54*IF(ISBLANK(Design!$B$41),Constants!$C$6,Design!$B$41)/1000*(1+Constants!$C$32/100*(AR54-25)))/($B54+AH54-AG54*AS54/1000)&gt;Design!$B$34,   (1-Constants!$D$20/1000000000*IF(ISBLANK(Design!$B$31),Design!$B$30/4,Design!$B$31/4)*1000000) * ($B54+AH54-AG54*AS54/1000) - (AH54+AG54*(1+($A54-25)*Constants!$C$32/100)*IF(ISBLANK(Design!$B$41),Constants!$C$6/1000,Design!$B$41/1000)),  (1-Constants!$D$20/1000000000*IF(ISBLANK(Design!$B$31),Design!$B$30,Design!$B$31)*1000000) * ($B54+AH54-AG54*AS54/1000) - (AH54+AG54*(1+($A54-25)*Constants!$C$32/100)*IF(ISBLANK(Design!$B$41),Constants!$C$6/1000,Design!$B$41/1000)))</f>
        <v>7.3509924757047234</v>
      </c>
      <c r="AU54" s="119">
        <f ca="1">IF(AT54&gt;Design!$C$27,Design!$C$27,AT54)</f>
        <v>4.9936842105263155</v>
      </c>
    </row>
    <row r="55" spans="1:47" ht="12.75" customHeight="1" x14ac:dyDescent="0.3">
      <c r="A55" s="112">
        <f>Design!$D$12</f>
        <v>85</v>
      </c>
      <c r="B55" s="113">
        <f t="shared" si="12"/>
        <v>10.279999999999996</v>
      </c>
      <c r="C55" s="114">
        <f>Design!$D$6</f>
        <v>3</v>
      </c>
      <c r="D55" s="114">
        <f ca="1">FORECAST(C55, OFFSET(Design!$C$14:$C$16,MATCH(C55,Design!$B$14:$B$16,1)-1,0,2), OFFSET(Design!$B$14:$B$16,MATCH(C55,Design!$B$14:$B$16,1)-1,0,2))+(M55-25)*Design!$B$17/1000</f>
        <v>0.39542687660339088</v>
      </c>
      <c r="E55" s="173">
        <f ca="1">IF(100*(Design!$C$27+D55+C55*IF(ISBLANK(Design!$B$41),Constants!$C$6,Design!$B$41)/1000*(1+Constants!$C$32/100*(N55-25)))/($B55+D55-C55*O55/1000)&gt;Design!$B$34,Design!$B$35,100*(Design!$C$27+D55+C55*IF(ISBLANK(Design!$B$41),Constants!$C$6,Design!$B$41)/1000*(1+Constants!$C$32/100*(N55-25)))/($B55+D55-C55*O55/1000))</f>
        <v>56.264418956303622</v>
      </c>
      <c r="F55" s="115">
        <f ca="1">IF(($B55-C55*IF(ISBLANK(Design!$B$41),Constants!$C$6,Design!$B$41)/1000*(1+Constants!$C$32/100*(N55-25))-Design!$C$27)/(IF(ISBLANK(Design!$B$40),Design!$B$38,Design!$B$40)/1000000)*E55/100/(IF(ISBLANK(Design!$B$31),Design!$B$30,Design!$B$31)*1000000)&lt;0,0,($B55-C55*IF(ISBLANK(Design!$B$41),Constants!$C$6,Design!$B$41)/1000*(1+Constants!$C$32/100*(N55-25))-Design!$C$27)/(IF(ISBLANK(Design!$B$40),Design!$B$38,Design!$B$40)/1000000)*E55/100/(IF(ISBLANK(Design!$B$31),Design!$B$30,Design!$B$31)*1000000))</f>
        <v>0.41201884037447684</v>
      </c>
      <c r="G55" s="165">
        <f>B55*Constants!$C$21/1000+IF(ISBLANK(Design!$B$31),Design!$B$30,Design!$B$31)*1000000*Constants!$D$25/1000000000*(B55-Constants!$C$24)</f>
        <v>8.1139999999999948E-2</v>
      </c>
      <c r="H55" s="165">
        <f>B55*C55*(B55/(Constants!$C$26*1000000000)*IF(ISBLANK(Design!$B$31),Design!$B$30,Design!$B$31)*1000000/2+B55/(Constants!$C$27*1000000000)*IF(ISBLANK(Design!$B$31),Design!$B$30,Design!$B$31)*1000000/2)</f>
        <v>0.92468599999999923</v>
      </c>
      <c r="I55" s="165">
        <f t="shared" ca="1" si="13"/>
        <v>1.2193474854901425</v>
      </c>
      <c r="J55" s="165">
        <f>Constants!$D$25/1000000000*Constants!$C$24*IF(ISBLANK(Design!$B$31),Design!$B$30,Design!$B$31)*1000000</f>
        <v>5.2499999999999998E-2</v>
      </c>
      <c r="K55" s="165">
        <f t="shared" ca="1" si="22"/>
        <v>2.2776734854901419</v>
      </c>
      <c r="L55" s="165">
        <f t="shared" ca="1" si="17"/>
        <v>0.51882672625629989</v>
      </c>
      <c r="M55" s="166">
        <f ca="1">$A55+L55*Design!$B$18</f>
        <v>114.57312339660909</v>
      </c>
      <c r="N55" s="166">
        <f ca="1">K55*Design!$C$11+A55</f>
        <v>169.27391896313526</v>
      </c>
      <c r="O55" s="166">
        <f ca="1">Constants!$D$22+Constants!$D$22*Constants!$C$23/100*(N55-25)</f>
        <v>240.41913517050821</v>
      </c>
      <c r="P55" s="165">
        <f ca="1">IF(100*(Design!$C$27+D55+C55*IF(ISBLANK(Design!$B$41),Constants!$C$6,Design!$B$41)/1000*(1+Constants!$C$32/100*(N55-25)))/($B55+D55-C55*O55/1000)&gt;Design!$B$34,   (1-Constants!$D$20/1000000000*IF(ISBLANK(Design!$B$31),Design!$B$30/4,Design!$B$31/4)*1000000) * ($B55+D55-C55*O55/1000) - (D55+C55*(1+($A55-25)*Constants!$C$32/100)*IF(ISBLANK(Design!$B$41),Constants!$C$6/1000,Design!$B$41/1000)),  (1-Constants!$D$20/1000000000*IF(ISBLANK(Design!$B$31),Design!$B$30,Design!$B$31)*1000000) * ($B55+D55-C55*O55/1000) - (D55+C55*(1+($A55-25)*Constants!$C$32/100)*IF(ISBLANK(Design!$B$41),Constants!$C$6/1000,Design!$B$41/1000)))</f>
        <v>6.6744213288803929</v>
      </c>
      <c r="Q55" s="115">
        <f ca="1">IF(P55&gt;Design!$C$27,Design!$C$27,P55)</f>
        <v>4.9936842105263155</v>
      </c>
      <c r="R55" s="116">
        <f>2*Design!$D$6/3</f>
        <v>2</v>
      </c>
      <c r="S55" s="116">
        <f ca="1">FORECAST(R55, OFFSET(Design!$C$14:$C$16,MATCH(R55,Design!$B$14:$B$16,1)-1,0,2), OFFSET(Design!$B$14:$B$16,MATCH(R55,Design!$B$14:$B$16,1)-1,0,2))+(AB55-25)*Design!$B$17/1000</f>
        <v>0.37994607492171317</v>
      </c>
      <c r="T55" s="182">
        <f ca="1">IF(100*(Design!$C$27+S55+R55*IF(ISBLANK(Design!$B$41),Constants!$C$6,Design!$B$41)/1000*(1+Constants!$C$32/100*(AC55-25)))/($B55+S55-R55*AD55/1000)&gt;Design!$B$34,Design!$B$35,100*(Design!$C$27+S55+R55*IF(ISBLANK(Design!$B$41),Constants!$C$6,Design!$B$41)/1000*(1+Constants!$C$32/100*(AC55-25)))/($B55+S55-R55*AD55/1000))</f>
        <v>53.700897283913122</v>
      </c>
      <c r="U55" s="117">
        <f ca="1">IF(($B55-R55*IF(ISBLANK(Design!$B$41),Constants!$C$6,Design!$B$41)/1000*(1+Constants!$C$32/100*(AC55-25))-Design!$C$27)/(IF(ISBLANK(Design!$B$40),Design!$B$38,Design!$B$40)/1000000)*T55/100/(IF(ISBLANK(Design!$B$31),Design!$B$30,Design!$B$31)*1000000)&lt;0,0,($B55-R55*IF(ISBLANK(Design!$B$41),Constants!$C$6,Design!$B$41)/1000*(1+Constants!$C$32/100*(AC55-25))-Design!$C$27)/(IF(ISBLANK(Design!$B$40),Design!$B$38,Design!$B$40)/1000000)*T55/100/(IF(ISBLANK(Design!$B$31),Design!$B$30,Design!$B$31)*1000000))</f>
        <v>0.39980407420378411</v>
      </c>
      <c r="V55" s="183">
        <f>$B55*Constants!$C$21/1000+IF(ISBLANK(Design!$B$31),Design!$B$30,Design!$B$31)*1000000*Constants!$D$25/1000000000*($B55-Constants!$C$24)</f>
        <v>8.1139999999999948E-2</v>
      </c>
      <c r="W55" s="183">
        <f>$B55*R55*($B55/(Constants!$C$26*1000000000)*IF(ISBLANK(Design!$B$31),Design!$B$30,Design!$B$31)*1000000/2+$B55/(Constants!$C$27*1000000000)*IF(ISBLANK(Design!$B$31),Design!$B$30,Design!$B$31)*1000000/2)</f>
        <v>0.61645733333333286</v>
      </c>
      <c r="X55" s="183">
        <f t="shared" ca="1" si="14"/>
        <v>0.44936575866590434</v>
      </c>
      <c r="Y55" s="183">
        <f>Constants!$D$25/1000000000*Constants!$C$24*IF(ISBLANK(Design!$B$31),Design!$B$30,Design!$B$31)*1000000</f>
        <v>5.2499999999999998E-2</v>
      </c>
      <c r="Z55" s="183">
        <f t="shared" ca="1" si="23"/>
        <v>1.1994630919992371</v>
      </c>
      <c r="AA55" s="183">
        <f t="shared" ca="1" si="19"/>
        <v>0.35182324698748879</v>
      </c>
      <c r="AB55" s="184">
        <f ca="1">$A55+AA55*Design!$B$18</f>
        <v>105.05392507828687</v>
      </c>
      <c r="AC55" s="184">
        <f ca="1">Z55*Design!$C$11+$A55</f>
        <v>129.38013440397177</v>
      </c>
      <c r="AD55" s="184">
        <f ca="1">Constants!$D$22+Constants!$D$22*Constants!$C$23/100*(AC55-25)</f>
        <v>208.50410752317742</v>
      </c>
      <c r="AE55" s="183">
        <f ca="1">IF(100*(Design!$C$27+S55+R55*IF(ISBLANK(Design!$B$41),Constants!$C$6,Design!$B$41)/1000*(1+Constants!$C$32/100*(AC55-25)))/($B55+S55-R55*AD55/1000)&gt;Design!$B$34,   (1-Constants!$D$20/1000000000*IF(ISBLANK(Design!$B$31),Design!$B$30/4,Design!$B$31/4)*1000000) * ($B55+S55-R55*AD55/1000) - (S55+R55*(1+($A55-25)*Constants!$C$32/100)*IF(ISBLANK(Design!$B$41),Constants!$C$6/1000,Design!$B$41/1000)),  (1-Constants!$D$20/1000000000*IF(ISBLANK(Design!$B$31),Design!$B$30,Design!$B$31)*1000000) * ($B55+S55-R55*AD55/1000) - (S55+R55*(1+($A55-25)*Constants!$C$32/100)*IF(ISBLANK(Design!$B$41),Constants!$C$6/1000,Design!$B$41/1000)))</f>
        <v>6.9554477492076687</v>
      </c>
      <c r="AF55" s="117">
        <f ca="1">IF(AE55&gt;Design!$C$27,Design!$C$27,AE55)</f>
        <v>4.9936842105263155</v>
      </c>
      <c r="AG55" s="118">
        <f>Design!$D$6/3</f>
        <v>1</v>
      </c>
      <c r="AH55" s="118">
        <f ca="1">FORECAST(AG55, OFFSET(Design!$C$14:$C$16,MATCH(AG55,Design!$B$14:$B$16,1)-1,0,2), OFFSET(Design!$B$14:$B$16,MATCH(AG55,Design!$B$14:$B$16,1)-1,0,2))+(AQ55-25)*Design!$B$17/1000</f>
        <v>0.31356747503133664</v>
      </c>
      <c r="AI55" s="194">
        <f ca="1">IF(100*(Design!$C$27+AH55+AG55*IF(ISBLANK(Design!$B$41),Constants!$C$6,Design!$B$41)/1000*(1+Constants!$C$32/100*(AR55-25)))/($B55+AH55-AG55*AS55/1000)&gt;Design!$B$34,Design!$B$35,100*(Design!$C$27+AH55+AG55*IF(ISBLANK(Design!$B$41),Constants!$C$6,Design!$B$41)/1000*(1+Constants!$C$32/100*(AR55-25)))/($B55+AH55-AG55*AS55/1000))</f>
        <v>51.577353486561911</v>
      </c>
      <c r="AJ55" s="119">
        <f ca="1">IF(($B55-AG55*IF(ISBLANK(Design!$B$41),Constants!$C$6,Design!$B$41)/1000*(1+Constants!$C$32/100*(AR55-25))-Design!$C$27)/(IF(ISBLANK(Design!$B$40),Design!$B$38,Design!$B$40)/1000000)*AI55/100/(IF(ISBLANK(Design!$B$31),Design!$B$30,Design!$B$31)*1000000)&lt;0,0,($B55-AG55*IF(ISBLANK(Design!$B$41),Constants!$C$6,Design!$B$41)/1000*(1+Constants!$C$32/100*(AR55-25))-Design!$C$27)/(IF(ISBLANK(Design!$B$40),Design!$B$38,Design!$B$40)/1000000)*AI55/100/(IF(ISBLANK(Design!$B$31),Design!$B$30,Design!$B$31)*1000000))</f>
        <v>0.38903819265063189</v>
      </c>
      <c r="AK55" s="195">
        <f>$B55*Constants!$C$21/1000+IF(ISBLANK(Design!$B$31),Design!$B$30,Design!$B$31)*1000000*Constants!$D$25/1000000000*($B55-Constants!$C$24)</f>
        <v>8.1139999999999948E-2</v>
      </c>
      <c r="AL55" s="195">
        <f>$B55*AG55*($B55/(Constants!$C$26*1000000000)*IF(ISBLANK(Design!$B$31),Design!$B$30,Design!$B$31)*1000000/2+$B55/(Constants!$C$27*1000000000)*IF(ISBLANK(Design!$B$31),Design!$B$30,Design!$B$31)*1000000/2)</f>
        <v>0.30822866666666643</v>
      </c>
      <c r="AM55" s="195">
        <f t="shared" ca="1" si="15"/>
        <v>9.8711294939575339E-2</v>
      </c>
      <c r="AN55" s="195">
        <f>Constants!$D$25/1000000000*Constants!$C$24*IF(ISBLANK(Design!$B$31),Design!$B$30,Design!$B$31)*1000000</f>
        <v>5.2499999999999998E-2</v>
      </c>
      <c r="AO55" s="195">
        <f t="shared" ca="1" si="24"/>
        <v>0.54057996160624167</v>
      </c>
      <c r="AP55" s="195">
        <f t="shared" ca="1" si="21"/>
        <v>0.15183767001553736</v>
      </c>
      <c r="AQ55" s="196">
        <f ca="1">$A55+AP55*Design!$B$18</f>
        <v>93.654747190885629</v>
      </c>
      <c r="AR55" s="196">
        <f ca="1">AO55*Design!$C$11+$A55</f>
        <v>105.00145857943095</v>
      </c>
      <c r="AS55" s="196">
        <f ca="1">Constants!$D$22+Constants!$D$22*Constants!$C$23/100*(AR55-25)</f>
        <v>189.00116686354477</v>
      </c>
      <c r="AT55" s="195">
        <f ca="1">IF(100*(Design!$C$27+AH55+AG55*IF(ISBLANK(Design!$B$41),Constants!$C$6,Design!$B$41)/1000*(1+Constants!$C$32/100*(AR55-25)))/($B55+AH55-AG55*AS55/1000)&gt;Design!$B$34,   (1-Constants!$D$20/1000000000*IF(ISBLANK(Design!$B$31),Design!$B$30/4,Design!$B$31/4)*1000000) * ($B55+AH55-AG55*AS55/1000) - (AH55+AG55*(1+($A55-25)*Constants!$C$32/100)*IF(ISBLANK(Design!$B$41),Constants!$C$6/1000,Design!$B$41/1000)),  (1-Constants!$D$20/1000000000*IF(ISBLANK(Design!$B$31),Design!$B$30,Design!$B$31)*1000000) * ($B55+AH55-AG55*AS55/1000) - (AH55+AG55*(1+($A55-25)*Constants!$C$32/100)*IF(ISBLANK(Design!$B$41),Constants!$C$6/1000,Design!$B$41/1000)))</f>
        <v>7.1949412310066441</v>
      </c>
      <c r="AU55" s="119">
        <f ca="1">IF(AT55&gt;Design!$C$27,Design!$C$27,AT55)</f>
        <v>4.9936842105263155</v>
      </c>
    </row>
    <row r="56" spans="1:47" ht="12.75" customHeight="1" x14ac:dyDescent="0.3">
      <c r="A56" s="112">
        <f>Design!$D$12</f>
        <v>85</v>
      </c>
      <c r="B56" s="113">
        <f t="shared" si="12"/>
        <v>10.064999999999996</v>
      </c>
      <c r="C56" s="114">
        <f>Design!$D$6</f>
        <v>3</v>
      </c>
      <c r="D56" s="114">
        <f ca="1">FORECAST(C56, OFFSET(Design!$C$14:$C$16,MATCH(C56,Design!$B$14:$B$16,1)-1,0,2), OFFSET(Design!$B$14:$B$16,MATCH(C56,Design!$B$14:$B$16,1)-1,0,2))+(M56-25)*Design!$B$17/1000</f>
        <v>0.39620418341797448</v>
      </c>
      <c r="E56" s="173">
        <f ca="1">IF(100*(Design!$C$27+D56+C56*IF(ISBLANK(Design!$B$41),Constants!$C$6,Design!$B$41)/1000*(1+Constants!$C$32/100*(N56-25)))/($B56+D56-C56*O56/1000)&gt;Design!$B$34,Design!$B$35,100*(Design!$C$27+D56+C56*IF(ISBLANK(Design!$B$41),Constants!$C$6,Design!$B$41)/1000*(1+Constants!$C$32/100*(N56-25)))/($B56+D56-C56*O56/1000))</f>
        <v>57.497523941757521</v>
      </c>
      <c r="F56" s="115">
        <f ca="1">IF(($B56-C56*IF(ISBLANK(Design!$B$41),Constants!$C$6,Design!$B$41)/1000*(1+Constants!$C$32/100*(N56-25))-Design!$C$27)/(IF(ISBLANK(Design!$B$40),Design!$B$38,Design!$B$40)/1000000)*E56/100/(IF(ISBLANK(Design!$B$31),Design!$B$30,Design!$B$31)*1000000)&lt;0,0,($B56-C56*IF(ISBLANK(Design!$B$41),Constants!$C$6,Design!$B$41)/1000*(1+Constants!$C$32/100*(N56-25))-Design!$C$27)/(IF(ISBLANK(Design!$B$40),Design!$B$38,Design!$B$40)/1000000)*E56/100/(IF(ISBLANK(Design!$B$31),Design!$B$30,Design!$B$31)*1000000))</f>
        <v>0.40323816753019759</v>
      </c>
      <c r="G56" s="165">
        <f>B56*Constants!$C$21/1000+IF(ISBLANK(Design!$B$31),Design!$B$30,Design!$B$31)*1000000*Constants!$D$25/1000000000*(B56-Constants!$C$24)</f>
        <v>7.8344999999999942E-2</v>
      </c>
      <c r="H56" s="165">
        <f>B56*C56*(B56/(Constants!$C$26*1000000000)*IF(ISBLANK(Design!$B$31),Design!$B$30,Design!$B$31)*1000000/2+B56/(Constants!$C$27*1000000000)*IF(ISBLANK(Design!$B$31),Design!$B$30,Design!$B$31)*1000000/2)</f>
        <v>0.88641196874999928</v>
      </c>
      <c r="I56" s="165">
        <f t="shared" ca="1" si="13"/>
        <v>1.2433741823813611</v>
      </c>
      <c r="J56" s="165">
        <f>Constants!$D$25/1000000000*Constants!$C$24*IF(ISBLANK(Design!$B$31),Design!$B$30,Design!$B$31)*1000000</f>
        <v>5.2499999999999998E-2</v>
      </c>
      <c r="K56" s="165">
        <f t="shared" ca="1" si="22"/>
        <v>2.2606311511313608</v>
      </c>
      <c r="L56" s="165">
        <f t="shared" ca="1" si="17"/>
        <v>0.50518976459693909</v>
      </c>
      <c r="M56" s="166">
        <f ca="1">$A56+L56*Design!$B$18</f>
        <v>113.79581658202552</v>
      </c>
      <c r="N56" s="166">
        <f ca="1">K56*Design!$C$11+A56</f>
        <v>168.64335259186035</v>
      </c>
      <c r="O56" s="166">
        <f ca="1">Constants!$D$22+Constants!$D$22*Constants!$C$23/100*(N56-25)</f>
        <v>239.91468207348828</v>
      </c>
      <c r="P56" s="165">
        <f ca="1">IF(100*(Design!$C$27+D56+C56*IF(ISBLANK(Design!$B$41),Constants!$C$6,Design!$B$41)/1000*(1+Constants!$C$32/100*(N56-25)))/($B56+D56-C56*O56/1000)&gt;Design!$B$34,   (1-Constants!$D$20/1000000000*IF(ISBLANK(Design!$B$31),Design!$B$30/4,Design!$B$31/4)*1000000) * ($B56+D56-C56*O56/1000) - (D56+C56*(1+($A56-25)*Constants!$C$32/100)*IF(ISBLANK(Design!$B$41),Constants!$C$6/1000,Design!$B$41/1000)),  (1-Constants!$D$20/1000000000*IF(ISBLANK(Design!$B$31),Design!$B$30,Design!$B$31)*1000000) * ($B56+D56-C56*O56/1000) - (D56+C56*(1+($A56-25)*Constants!$C$32/100)*IF(ISBLANK(Design!$B$41),Constants!$C$6/1000,Design!$B$41/1000)))</f>
        <v>6.5190043363246124</v>
      </c>
      <c r="Q56" s="115">
        <f ca="1">IF(P56&gt;Design!$C$27,Design!$C$27,P56)</f>
        <v>4.9936842105263155</v>
      </c>
      <c r="R56" s="116">
        <f>2*Design!$D$6/3</f>
        <v>2</v>
      </c>
      <c r="S56" s="116">
        <f ca="1">FORECAST(R56, OFFSET(Design!$C$14:$C$16,MATCH(R56,Design!$B$14:$B$16,1)-1,0,2), OFFSET(Design!$B$14:$B$16,MATCH(R56,Design!$B$14:$B$16,1)-1,0,2))+(AB56-25)*Design!$B$17/1000</f>
        <v>0.38041746709194513</v>
      </c>
      <c r="T56" s="182">
        <f ca="1">IF(100*(Design!$C$27+S56+R56*IF(ISBLANK(Design!$B$41),Constants!$C$6,Design!$B$41)/1000*(1+Constants!$C$32/100*(AC56-25)))/($B56+S56-R56*AD56/1000)&gt;Design!$B$34,Design!$B$35,100*(Design!$C$27+S56+R56*IF(ISBLANK(Design!$B$41),Constants!$C$6,Design!$B$41)/1000*(1+Constants!$C$32/100*(AC56-25)))/($B56+S56-R56*AD56/1000))</f>
        <v>54.845237320529165</v>
      </c>
      <c r="U56" s="117">
        <f ca="1">IF(($B56-R56*IF(ISBLANK(Design!$B$41),Constants!$C$6,Design!$B$41)/1000*(1+Constants!$C$32/100*(AC56-25))-Design!$C$27)/(IF(ISBLANK(Design!$B$40),Design!$B$38,Design!$B$40)/1000000)*T56/100/(IF(ISBLANK(Design!$B$31),Design!$B$30,Design!$B$31)*1000000)&lt;0,0,($B56-R56*IF(ISBLANK(Design!$B$41),Constants!$C$6,Design!$B$41)/1000*(1+Constants!$C$32/100*(AC56-25))-Design!$C$27)/(IF(ISBLANK(Design!$B$40),Design!$B$38,Design!$B$40)/1000000)*T56/100/(IF(ISBLANK(Design!$B$31),Design!$B$30,Design!$B$31)*1000000))</f>
        <v>0.39132905459850587</v>
      </c>
      <c r="V56" s="183">
        <f>$B56*Constants!$C$21/1000+IF(ISBLANK(Design!$B$31),Design!$B$30,Design!$B$31)*1000000*Constants!$D$25/1000000000*($B56-Constants!$C$24)</f>
        <v>7.8344999999999942E-2</v>
      </c>
      <c r="W56" s="183">
        <f>$B56*R56*($B56/(Constants!$C$26*1000000000)*IF(ISBLANK(Design!$B$31),Design!$B$30,Design!$B$31)*1000000/2+$B56/(Constants!$C$27*1000000000)*IF(ISBLANK(Design!$B$31),Design!$B$30,Design!$B$31)*1000000/2)</f>
        <v>0.59094131249999959</v>
      </c>
      <c r="X56" s="183">
        <f t="shared" ca="1" si="14"/>
        <v>0.45756764201372302</v>
      </c>
      <c r="Y56" s="183">
        <f>Constants!$D$25/1000000000*Constants!$C$24*IF(ISBLANK(Design!$B$31),Design!$B$30,Design!$B$31)*1000000</f>
        <v>5.2499999999999998E-2</v>
      </c>
      <c r="Z56" s="183">
        <f t="shared" ca="1" si="23"/>
        <v>1.1793539545137224</v>
      </c>
      <c r="AA56" s="183">
        <f t="shared" ca="1" si="19"/>
        <v>0.34355320891324381</v>
      </c>
      <c r="AB56" s="184">
        <f ca="1">$A56+AA56*Design!$B$18</f>
        <v>104.5825329080549</v>
      </c>
      <c r="AC56" s="184">
        <f ca="1">Z56*Design!$C$11+$A56</f>
        <v>128.63609631700774</v>
      </c>
      <c r="AD56" s="184">
        <f ca="1">Constants!$D$22+Constants!$D$22*Constants!$C$23/100*(AC56-25)</f>
        <v>207.9088770536062</v>
      </c>
      <c r="AE56" s="183">
        <f ca="1">IF(100*(Design!$C$27+S56+R56*IF(ISBLANK(Design!$B$41),Constants!$C$6,Design!$B$41)/1000*(1+Constants!$C$32/100*(AC56-25)))/($B56+S56-R56*AD56/1000)&gt;Design!$B$34,   (1-Constants!$D$20/1000000000*IF(ISBLANK(Design!$B$31),Design!$B$30/4,Design!$B$31/4)*1000000) * ($B56+S56-R56*AD56/1000) - (S56+R56*(1+($A56-25)*Constants!$C$32/100)*IF(ISBLANK(Design!$B$41),Constants!$C$6/1000,Design!$B$41/1000)),  (1-Constants!$D$20/1000000000*IF(ISBLANK(Design!$B$31),Design!$B$30,Design!$B$31)*1000000) * ($B56+S56-R56*AD56/1000) - (S56+R56*(1+($A56-25)*Constants!$C$32/100)*IF(ISBLANK(Design!$B$41),Constants!$C$6/1000,Design!$B$41/1000)))</f>
        <v>6.7998795242479524</v>
      </c>
      <c r="AF56" s="117">
        <f ca="1">IF(AE56&gt;Design!$C$27,Design!$C$27,AE56)</f>
        <v>4.9936842105263155</v>
      </c>
      <c r="AG56" s="118">
        <f>Design!$D$6/3</f>
        <v>1</v>
      </c>
      <c r="AH56" s="118">
        <f ca="1">FORECAST(AG56, OFFSET(Design!$C$14:$C$16,MATCH(AG56,Design!$B$14:$B$16,1)-1,0,2), OFFSET(Design!$B$14:$B$16,MATCH(AG56,Design!$B$14:$B$16,1)-1,0,2))+(AQ56-25)*Design!$B$17/1000</f>
        <v>0.31375651052893549</v>
      </c>
      <c r="AI56" s="194">
        <f ca="1">IF(100*(Design!$C$27+AH56+AG56*IF(ISBLANK(Design!$B$41),Constants!$C$6,Design!$B$41)/1000*(1+Constants!$C$32/100*(AR56-25)))/($B56+AH56-AG56*AS56/1000)&gt;Design!$B$34,Design!$B$35,100*(Design!$C$27+AH56+AG56*IF(ISBLANK(Design!$B$41),Constants!$C$6,Design!$B$41)/1000*(1+Constants!$C$32/100*(AR56-25)))/($B56+AH56-AG56*AS56/1000))</f>
        <v>52.663529586499735</v>
      </c>
      <c r="AJ56" s="119">
        <f ca="1">IF(($B56-AG56*IF(ISBLANK(Design!$B$41),Constants!$C$6,Design!$B$41)/1000*(1+Constants!$C$32/100*(AR56-25))-Design!$C$27)/(IF(ISBLANK(Design!$B$40),Design!$B$38,Design!$B$40)/1000000)*AI56/100/(IF(ISBLANK(Design!$B$31),Design!$B$30,Design!$B$31)*1000000)&lt;0,0,($B56-AG56*IF(ISBLANK(Design!$B$41),Constants!$C$6,Design!$B$41)/1000*(1+Constants!$C$32/100*(AR56-25))-Design!$C$27)/(IF(ISBLANK(Design!$B$40),Design!$B$38,Design!$B$40)/1000000)*AI56/100/(IF(ISBLANK(Design!$B$31),Design!$B$30,Design!$B$31)*1000000))</f>
        <v>0.3808992336999415</v>
      </c>
      <c r="AK56" s="195">
        <f>$B56*Constants!$C$21/1000+IF(ISBLANK(Design!$B$31),Design!$B$30,Design!$B$31)*1000000*Constants!$D$25/1000000000*($B56-Constants!$C$24)</f>
        <v>7.8344999999999942E-2</v>
      </c>
      <c r="AL56" s="195">
        <f>$B56*AG56*($B56/(Constants!$C$26*1000000000)*IF(ISBLANK(Design!$B$31),Design!$B$30,Design!$B$31)*1000000/2+$B56/(Constants!$C$27*1000000000)*IF(ISBLANK(Design!$B$31),Design!$B$30,Design!$B$31)*1000000/2)</f>
        <v>0.2954706562499998</v>
      </c>
      <c r="AM56" s="195">
        <f t="shared" ca="1" si="15"/>
        <v>0.1005212727367381</v>
      </c>
      <c r="AN56" s="195">
        <f>Constants!$D$25/1000000000*Constants!$C$24*IF(ISBLANK(Design!$B$31),Design!$B$30,Design!$B$31)*1000000</f>
        <v>5.2499999999999998E-2</v>
      </c>
      <c r="AO56" s="195">
        <f t="shared" ca="1" si="24"/>
        <v>0.52683692898673784</v>
      </c>
      <c r="AP56" s="195">
        <f t="shared" ca="1" si="21"/>
        <v>0.1485212577769604</v>
      </c>
      <c r="AQ56" s="196">
        <f ca="1">$A56+AP56*Design!$B$18</f>
        <v>93.46571169328675</v>
      </c>
      <c r="AR56" s="196">
        <f ca="1">AO56*Design!$C$11+$A56</f>
        <v>104.4929663725093</v>
      </c>
      <c r="AS56" s="196">
        <f ca="1">Constants!$D$22+Constants!$D$22*Constants!$C$23/100*(AR56-25)</f>
        <v>188.59437309800745</v>
      </c>
      <c r="AT56" s="195">
        <f ca="1">IF(100*(Design!$C$27+AH56+AG56*IF(ISBLANK(Design!$B$41),Constants!$C$6,Design!$B$41)/1000*(1+Constants!$C$32/100*(AR56-25)))/($B56+AH56-AG56*AS56/1000)&gt;Design!$B$34,   (1-Constants!$D$20/1000000000*IF(ISBLANK(Design!$B$31),Design!$B$30/4,Design!$B$31/4)*1000000) * ($B56+AH56-AG56*AS56/1000) - (AH56+AG56*(1+($A56-25)*Constants!$C$32/100)*IF(ISBLANK(Design!$B$41),Constants!$C$6/1000,Design!$B$41/1000)),  (1-Constants!$D$20/1000000000*IF(ISBLANK(Design!$B$31),Design!$B$30,Design!$B$31)*1000000) * ($B56+AH56-AG56*AS56/1000) - (AH56+AG56*(1+($A56-25)*Constants!$C$32/100)*IF(ISBLANK(Design!$B$41),Constants!$C$6/1000,Design!$B$41/1000)))</f>
        <v>7.0388803633833463</v>
      </c>
      <c r="AU56" s="119">
        <f ca="1">IF(AT56&gt;Design!$C$27,Design!$C$27,AT56)</f>
        <v>4.9936842105263155</v>
      </c>
    </row>
    <row r="57" spans="1:47" ht="12.75" customHeight="1" x14ac:dyDescent="0.3">
      <c r="A57" s="112">
        <f>Design!$D$12</f>
        <v>85</v>
      </c>
      <c r="B57" s="113">
        <f t="shared" si="12"/>
        <v>9.8499999999999961</v>
      </c>
      <c r="C57" s="114">
        <f>Design!$D$6</f>
        <v>3</v>
      </c>
      <c r="D57" s="114">
        <f ca="1">FORECAST(C57, OFFSET(Design!$C$14:$C$16,MATCH(C57,Design!$B$14:$B$16,1)-1,0,2), OFFSET(Design!$B$14:$B$16,MATCH(C57,Design!$B$14:$B$16,1)-1,0,2))+(M57-25)*Design!$B$17/1000</f>
        <v>0.39702066053256357</v>
      </c>
      <c r="E57" s="173">
        <f ca="1">IF(100*(Design!$C$27+D57+C57*IF(ISBLANK(Design!$B$41),Constants!$C$6,Design!$B$41)/1000*(1+Constants!$C$32/100*(N57-25)))/($B57+D57-C57*O57/1000)&gt;Design!$B$34,Design!$B$35,100*(Design!$C$27+D57+C57*IF(ISBLANK(Design!$B$41),Constants!$C$6,Design!$B$41)/1000*(1+Constants!$C$32/100*(N57-25)))/($B57+D57-C57*O57/1000))</f>
        <v>58.787568382174371</v>
      </c>
      <c r="F57" s="115">
        <f ca="1">IF(($B57-C57*IF(ISBLANK(Design!$B$41),Constants!$C$6,Design!$B$41)/1000*(1+Constants!$C$32/100*(N57-25))-Design!$C$27)/(IF(ISBLANK(Design!$B$40),Design!$B$38,Design!$B$40)/1000000)*E57/100/(IF(ISBLANK(Design!$B$31),Design!$B$30,Design!$B$31)*1000000)&lt;0,0,($B57-C57*IF(ISBLANK(Design!$B$41),Constants!$C$6,Design!$B$41)/1000*(1+Constants!$C$32/100*(N57-25))-Design!$C$27)/(IF(ISBLANK(Design!$B$40),Design!$B$38,Design!$B$40)/1000000)*E57/100/(IF(ISBLANK(Design!$B$31),Design!$B$30,Design!$B$31)*1000000))</f>
        <v>0.39407144883873674</v>
      </c>
      <c r="G57" s="165">
        <f>B57*Constants!$C$21/1000+IF(ISBLANK(Design!$B$31),Design!$B$30,Design!$B$31)*1000000*Constants!$D$25/1000000000*(B57-Constants!$C$24)</f>
        <v>7.5549999999999951E-2</v>
      </c>
      <c r="H57" s="165">
        <f>B57*C57*(B57/(Constants!$C$26*1000000000)*IF(ISBLANK(Design!$B$31),Design!$B$30,Design!$B$31)*1000000/2+B57/(Constants!$C$27*1000000000)*IF(ISBLANK(Design!$B$31),Design!$B$30,Design!$B$31)*1000000/2)</f>
        <v>0.84894687499999943</v>
      </c>
      <c r="I57" s="165">
        <f t="shared" ca="1" si="13"/>
        <v>1.2688696597948281</v>
      </c>
      <c r="J57" s="165">
        <f>Constants!$D$25/1000000000*Constants!$C$24*IF(ISBLANK(Design!$B$31),Design!$B$30,Design!$B$31)*1000000</f>
        <v>5.2499999999999998E-2</v>
      </c>
      <c r="K57" s="165">
        <f t="shared" ca="1" si="22"/>
        <v>2.2458665347948275</v>
      </c>
      <c r="L57" s="165">
        <f t="shared" ca="1" si="17"/>
        <v>0.49086560469186713</v>
      </c>
      <c r="M57" s="166">
        <f ca="1">$A57+L57*Design!$B$18</f>
        <v>112.97933946743643</v>
      </c>
      <c r="N57" s="166">
        <f ca="1">K57*Design!$C$11+A57</f>
        <v>168.09706178740862</v>
      </c>
      <c r="O57" s="166">
        <f ca="1">Constants!$D$22+Constants!$D$22*Constants!$C$23/100*(N57-25)</f>
        <v>239.47764942992688</v>
      </c>
      <c r="P57" s="165">
        <f ca="1">IF(100*(Design!$C$27+D57+C57*IF(ISBLANK(Design!$B$41),Constants!$C$6,Design!$B$41)/1000*(1+Constants!$C$32/100*(N57-25)))/($B57+D57-C57*O57/1000)&gt;Design!$B$34,   (1-Constants!$D$20/1000000000*IF(ISBLANK(Design!$B$31),Design!$B$30/4,Design!$B$31/4)*1000000) * ($B57+D57-C57*O57/1000) - (D57+C57*(1+($A57-25)*Constants!$C$32/100)*IF(ISBLANK(Design!$B$41),Constants!$C$6/1000,Design!$B$41/1000)),  (1-Constants!$D$20/1000000000*IF(ISBLANK(Design!$B$31),Design!$B$30,Design!$B$31)*1000000) * ($B57+D57-C57*O57/1000) - (D57+C57*(1+($A57-25)*Constants!$C$32/100)*IF(ISBLANK(Design!$B$41),Constants!$C$6/1000,Design!$B$41/1000)))</f>
        <v>6.3634296062679363</v>
      </c>
      <c r="Q57" s="115">
        <f ca="1">IF(P57&gt;Design!$C$27,Design!$C$27,P57)</f>
        <v>4.9936842105263155</v>
      </c>
      <c r="R57" s="116">
        <f>2*Design!$D$6/3</f>
        <v>2</v>
      </c>
      <c r="S57" s="116">
        <f ca="1">FORECAST(R57, OFFSET(Design!$C$14:$C$16,MATCH(R57,Design!$B$14:$B$16,1)-1,0,2), OFFSET(Design!$B$14:$B$16,MATCH(R57,Design!$B$14:$B$16,1)-1,0,2))+(AB57-25)*Design!$B$17/1000</f>
        <v>0.38091082604213194</v>
      </c>
      <c r="T57" s="182">
        <f ca="1">IF(100*(Design!$C$27+S57+R57*IF(ISBLANK(Design!$B$41),Constants!$C$6,Design!$B$41)/1000*(1+Constants!$C$32/100*(AC57-25)))/($B57+S57-R57*AD57/1000)&gt;Design!$B$34,Design!$B$35,100*(Design!$C$27+S57+R57*IF(ISBLANK(Design!$B$41),Constants!$C$6,Design!$B$41)/1000*(1+Constants!$C$32/100*(AC57-25)))/($B57+S57-R57*AD57/1000))</f>
        <v>56.039869985542907</v>
      </c>
      <c r="U57" s="117">
        <f ca="1">IF(($B57-R57*IF(ISBLANK(Design!$B$41),Constants!$C$6,Design!$B$41)/1000*(1+Constants!$C$32/100*(AC57-25))-Design!$C$27)/(IF(ISBLANK(Design!$B$40),Design!$B$38,Design!$B$40)/1000000)*T57/100/(IF(ISBLANK(Design!$B$31),Design!$B$30,Design!$B$31)*1000000)&lt;0,0,($B57-R57*IF(ISBLANK(Design!$B$41),Constants!$C$6,Design!$B$41)/1000*(1+Constants!$C$32/100*(AC57-25))-Design!$C$27)/(IF(ISBLANK(Design!$B$40),Design!$B$38,Design!$B$40)/1000000)*T57/100/(IF(ISBLANK(Design!$B$31),Design!$B$30,Design!$B$31)*1000000))</f>
        <v>0.38248709380565504</v>
      </c>
      <c r="V57" s="183">
        <f>$B57*Constants!$C$21/1000+IF(ISBLANK(Design!$B$31),Design!$B$30,Design!$B$31)*1000000*Constants!$D$25/1000000000*($B57-Constants!$C$24)</f>
        <v>7.5549999999999951E-2</v>
      </c>
      <c r="W57" s="183">
        <f>$B57*R57*($B57/(Constants!$C$26*1000000000)*IF(ISBLANK(Design!$B$31),Design!$B$30,Design!$B$31)*1000000/2+$B57/(Constants!$C$27*1000000000)*IF(ISBLANK(Design!$B$31),Design!$B$30,Design!$B$31)*1000000/2)</f>
        <v>0.56596458333333288</v>
      </c>
      <c r="X57" s="183">
        <f t="shared" ca="1" si="14"/>
        <v>0.46619368503334424</v>
      </c>
      <c r="Y57" s="183">
        <f>Constants!$D$25/1000000000*Constants!$C$24*IF(ISBLANK(Design!$B$31),Design!$B$30,Design!$B$31)*1000000</f>
        <v>5.2499999999999998E-2</v>
      </c>
      <c r="Z57" s="183">
        <f t="shared" ca="1" si="23"/>
        <v>1.160208268366677</v>
      </c>
      <c r="AA57" s="183">
        <f t="shared" ca="1" si="19"/>
        <v>0.33489778873452736</v>
      </c>
      <c r="AB57" s="184">
        <f ca="1">$A57+AA57*Design!$B$18</f>
        <v>104.08917395786806</v>
      </c>
      <c r="AC57" s="184">
        <f ca="1">Z57*Design!$C$11+$A57</f>
        <v>127.92770592956705</v>
      </c>
      <c r="AD57" s="184">
        <f ca="1">Constants!$D$22+Constants!$D$22*Constants!$C$23/100*(AC57-25)</f>
        <v>207.34216474365365</v>
      </c>
      <c r="AE57" s="183">
        <f ca="1">IF(100*(Design!$C$27+S57+R57*IF(ISBLANK(Design!$B$41),Constants!$C$6,Design!$B$41)/1000*(1+Constants!$C$32/100*(AC57-25)))/($B57+S57-R57*AD57/1000)&gt;Design!$B$34,   (1-Constants!$D$20/1000000000*IF(ISBLANK(Design!$B$31),Design!$B$30/4,Design!$B$31/4)*1000000) * ($B57+S57-R57*AD57/1000) - (S57+R57*(1+($A57-25)*Constants!$C$32/100)*IF(ISBLANK(Design!$B$41),Constants!$C$6/1000,Design!$B$41/1000)),  (1-Constants!$D$20/1000000000*IF(ISBLANK(Design!$B$31),Design!$B$30,Design!$B$31)*1000000) * ($B57+S57-R57*AD57/1000) - (S57+R57*(1+($A57-25)*Constants!$C$32/100)*IF(ISBLANK(Design!$B$41),Constants!$C$6/1000,Design!$B$41/1000)))</f>
        <v>6.6442638369532219</v>
      </c>
      <c r="AF57" s="117">
        <f ca="1">IF(AE57&gt;Design!$C$27,Design!$C$27,AE57)</f>
        <v>4.9936842105263155</v>
      </c>
      <c r="AG57" s="118">
        <f>Design!$D$6/3</f>
        <v>1</v>
      </c>
      <c r="AH57" s="118">
        <f ca="1">FORECAST(AG57, OFFSET(Design!$C$14:$C$16,MATCH(AG57,Design!$B$14:$B$16,1)-1,0,2), OFFSET(Design!$B$14:$B$16,MATCH(AG57,Design!$B$14:$B$16,1)-1,0,2))+(AQ57-25)*Design!$B$17/1000</f>
        <v>0.31395393532252996</v>
      </c>
      <c r="AI57" s="194">
        <f ca="1">IF(100*(Design!$C$27+AH57+AG57*IF(ISBLANK(Design!$B$41),Constants!$C$6,Design!$B$41)/1000*(1+Constants!$C$32/100*(AR57-25)))/($B57+AH57-AG57*AS57/1000)&gt;Design!$B$34,Design!$B$35,100*(Design!$C$27+AH57+AG57*IF(ISBLANK(Design!$B$41),Constants!$C$6,Design!$B$41)/1000*(1+Constants!$C$32/100*(AR57-25)))/($B57+AH57-AG57*AS57/1000))</f>
        <v>53.796513250308017</v>
      </c>
      <c r="AJ57" s="119">
        <f ca="1">IF(($B57-AG57*IF(ISBLANK(Design!$B$41),Constants!$C$6,Design!$B$41)/1000*(1+Constants!$C$32/100*(AR57-25))-Design!$C$27)/(IF(ISBLANK(Design!$B$40),Design!$B$38,Design!$B$40)/1000000)*AI57/100/(IF(ISBLANK(Design!$B$31),Design!$B$30,Design!$B$31)*1000000)&lt;0,0,($B57-AG57*IF(ISBLANK(Design!$B$41),Constants!$C$6,Design!$B$41)/1000*(1+Constants!$C$32/100*(AR57-25))-Design!$C$27)/(IF(ISBLANK(Design!$B$40),Design!$B$38,Design!$B$40)/1000000)*AI57/100/(IF(ISBLANK(Design!$B$31),Design!$B$30,Design!$B$31)*1000000))</f>
        <v>0.37241044458058575</v>
      </c>
      <c r="AK57" s="195">
        <f>$B57*Constants!$C$21/1000+IF(ISBLANK(Design!$B$31),Design!$B$30,Design!$B$31)*1000000*Constants!$D$25/1000000000*($B57-Constants!$C$24)</f>
        <v>7.5549999999999951E-2</v>
      </c>
      <c r="AL57" s="195">
        <f>$B57*AG57*($B57/(Constants!$C$26*1000000000)*IF(ISBLANK(Design!$B$31),Design!$B$30,Design!$B$31)*1000000/2+$B57/(Constants!$C$27*1000000000)*IF(ISBLANK(Design!$B$31),Design!$B$30,Design!$B$31)*1000000/2)</f>
        <v>0.28298229166666644</v>
      </c>
      <c r="AM57" s="195">
        <f t="shared" ca="1" si="15"/>
        <v>0.10241409226520878</v>
      </c>
      <c r="AN57" s="195">
        <f>Constants!$D$25/1000000000*Constants!$C$24*IF(ISBLANK(Design!$B$31),Design!$B$30,Design!$B$31)*1000000</f>
        <v>5.2499999999999998E-2</v>
      </c>
      <c r="AO57" s="195">
        <f t="shared" ca="1" si="24"/>
        <v>0.51344638393187514</v>
      </c>
      <c r="AP57" s="195">
        <f t="shared" ca="1" si="21"/>
        <v>0.14505766490688166</v>
      </c>
      <c r="AQ57" s="196">
        <f ca="1">$A57+AP57*Design!$B$18</f>
        <v>93.268286899692256</v>
      </c>
      <c r="AR57" s="196">
        <f ca="1">AO57*Design!$C$11+$A57</f>
        <v>103.99751620547937</v>
      </c>
      <c r="AS57" s="196">
        <f ca="1">Constants!$D$22+Constants!$D$22*Constants!$C$23/100*(AR57-25)</f>
        <v>188.19801296438351</v>
      </c>
      <c r="AT57" s="195">
        <f ca="1">IF(100*(Design!$C$27+AH57+AG57*IF(ISBLANK(Design!$B$41),Constants!$C$6,Design!$B$41)/1000*(1+Constants!$C$32/100*(AR57-25)))/($B57+AH57-AG57*AS57/1000)&gt;Design!$B$34,   (1-Constants!$D$20/1000000000*IF(ISBLANK(Design!$B$31),Design!$B$30/4,Design!$B$31/4)*1000000) * ($B57+AH57-AG57*AS57/1000) - (AH57+AG57*(1+($A57-25)*Constants!$C$32/100)*IF(ISBLANK(Design!$B$41),Constants!$C$6/1000,Design!$B$41/1000)),  (1-Constants!$D$20/1000000000*IF(ISBLANK(Design!$B$31),Design!$B$30,Design!$B$31)*1000000) * ($B57+AH57-AG57*AS57/1000) - (AH57+AG57*(1+($A57-25)*Constants!$C$32/100)*IF(ISBLANK(Design!$B$41),Constants!$C$6/1000,Design!$B$41/1000)))</f>
        <v>6.8828096202318401</v>
      </c>
      <c r="AU57" s="119">
        <f ca="1">IF(AT57&gt;Design!$C$27,Design!$C$27,AT57)</f>
        <v>4.9936842105263155</v>
      </c>
    </row>
    <row r="58" spans="1:47" ht="12.75" customHeight="1" x14ac:dyDescent="0.3">
      <c r="A58" s="112">
        <f>Design!$D$12</f>
        <v>85</v>
      </c>
      <c r="B58" s="113">
        <f t="shared" si="12"/>
        <v>9.6349999999999962</v>
      </c>
      <c r="C58" s="114">
        <f>Design!$D$6</f>
        <v>3</v>
      </c>
      <c r="D58" s="114">
        <f ca="1">FORECAST(C58, OFFSET(Design!$C$14:$C$16,MATCH(C58,Design!$B$14:$B$16,1)-1,0,2), OFFSET(Design!$B$14:$B$16,MATCH(C58,Design!$B$14:$B$16,1)-1,0,2))+(M58-25)*Design!$B$17/1000</f>
        <v>0.39787937377165306</v>
      </c>
      <c r="E58" s="173">
        <f ca="1">IF(100*(Design!$C$27+D58+C58*IF(ISBLANK(Design!$B$41),Constants!$C$6,Design!$B$41)/1000*(1+Constants!$C$32/100*(N58-25)))/($B58+D58-C58*O58/1000)&gt;Design!$B$34,Design!$B$35,100*(Design!$C$27+D58+C58*IF(ISBLANK(Design!$B$41),Constants!$C$6,Design!$B$41)/1000*(1+Constants!$C$32/100*(N58-25)))/($B58+D58-C58*O58/1000))</f>
        <v>60.138634008917428</v>
      </c>
      <c r="F58" s="115">
        <f ca="1">IF(($B58-C58*IF(ISBLANK(Design!$B$41),Constants!$C$6,Design!$B$41)/1000*(1+Constants!$C$32/100*(N58-25))-Design!$C$27)/(IF(ISBLANK(Design!$B$40),Design!$B$38,Design!$B$40)/1000000)*E58/100/(IF(ISBLANK(Design!$B$31),Design!$B$30,Design!$B$31)*1000000)&lt;0,0,($B58-C58*IF(ISBLANK(Design!$B$41),Constants!$C$6,Design!$B$41)/1000*(1+Constants!$C$32/100*(N58-25))-Design!$C$27)/(IF(ISBLANK(Design!$B$40),Design!$B$38,Design!$B$40)/1000000)*E58/100/(IF(ISBLANK(Design!$B$31),Design!$B$30,Design!$B$31)*1000000))</f>
        <v>0.38449139495462203</v>
      </c>
      <c r="G58" s="165">
        <f>B58*Constants!$C$21/1000+IF(ISBLANK(Design!$B$31),Design!$B$30,Design!$B$31)*1000000*Constants!$D$25/1000000000*(B58-Constants!$C$24)</f>
        <v>7.2754999999999959E-2</v>
      </c>
      <c r="H58" s="165">
        <f>B58*C58*(B58/(Constants!$C$26*1000000000)*IF(ISBLANK(Design!$B$31),Design!$B$30,Design!$B$31)*1000000/2+B58/(Constants!$C$27*1000000000)*IF(ISBLANK(Design!$B$31),Design!$B$30,Design!$B$31)*1000000/2)</f>
        <v>0.81229071874999947</v>
      </c>
      <c r="I58" s="165">
        <f t="shared" ca="1" si="13"/>
        <v>1.2959581991137012</v>
      </c>
      <c r="J58" s="165">
        <f>Constants!$D$25/1000000000*Constants!$C$24*IF(ISBLANK(Design!$B$31),Design!$B$30,Design!$B$31)*1000000</f>
        <v>5.2499999999999998E-2</v>
      </c>
      <c r="K58" s="165">
        <f t="shared" ca="1" si="22"/>
        <v>2.2335039178637008</v>
      </c>
      <c r="L58" s="165">
        <f t="shared" ca="1" si="17"/>
        <v>0.47580046014643812</v>
      </c>
      <c r="M58" s="166">
        <f ca="1">$A58+L58*Design!$B$18</f>
        <v>112.12062622834696</v>
      </c>
      <c r="N58" s="166">
        <f ca="1">K58*Design!$C$11+A58</f>
        <v>167.63964496095693</v>
      </c>
      <c r="O58" s="166">
        <f ca="1">Constants!$D$22+Constants!$D$22*Constants!$C$23/100*(N58-25)</f>
        <v>239.11171596876557</v>
      </c>
      <c r="P58" s="165">
        <f ca="1">IF(100*(Design!$C$27+D58+C58*IF(ISBLANK(Design!$B$41),Constants!$C$6,Design!$B$41)/1000*(1+Constants!$C$32/100*(N58-25)))/($B58+D58-C58*O58/1000)&gt;Design!$B$34,   (1-Constants!$D$20/1000000000*IF(ISBLANK(Design!$B$31),Design!$B$30/4,Design!$B$31/4)*1000000) * ($B58+D58-C58*O58/1000) - (D58+C58*(1+($A58-25)*Constants!$C$32/100)*IF(ISBLANK(Design!$B$41),Constants!$C$6/1000,Design!$B$41/1000)),  (1-Constants!$D$20/1000000000*IF(ISBLANK(Design!$B$31),Design!$B$30,Design!$B$31)*1000000) * ($B58+D58-C58*O58/1000) - (D58+C58*(1+($A58-25)*Constants!$C$32/100)*IF(ISBLANK(Design!$B$41),Constants!$C$6/1000,Design!$B$41/1000)))</f>
        <v>6.2076882784324576</v>
      </c>
      <c r="Q58" s="115">
        <f ca="1">IF(P58&gt;Design!$C$27,Design!$C$27,P58)</f>
        <v>4.9936842105263155</v>
      </c>
      <c r="R58" s="116">
        <f>2*Design!$D$6/3</f>
        <v>2</v>
      </c>
      <c r="S58" s="116">
        <f ca="1">FORECAST(R58, OFFSET(Design!$C$14:$C$16,MATCH(R58,Design!$B$14:$B$16,1)-1,0,2), OFFSET(Design!$B$14:$B$16,MATCH(R58,Design!$B$14:$B$16,1)-1,0,2))+(AB58-25)*Design!$B$17/1000</f>
        <v>0.38142772287068694</v>
      </c>
      <c r="T58" s="182">
        <f ca="1">IF(100*(Design!$C$27+S58+R58*IF(ISBLANK(Design!$B$41),Constants!$C$6,Design!$B$41)/1000*(1+Constants!$C$32/100*(AC58-25)))/($B58+S58-R58*AD58/1000)&gt;Design!$B$34,Design!$B$35,100*(Design!$C$27+S58+R58*IF(ISBLANK(Design!$B$41),Constants!$C$6,Design!$B$41)/1000*(1+Constants!$C$32/100*(AC58-25)))/($B58+S58-R58*AD58/1000))</f>
        <v>57.288182821500705</v>
      </c>
      <c r="U58" s="117">
        <f ca="1">IF(($B58-R58*IF(ISBLANK(Design!$B$41),Constants!$C$6,Design!$B$41)/1000*(1+Constants!$C$32/100*(AC58-25))-Design!$C$27)/(IF(ISBLANK(Design!$B$40),Design!$B$38,Design!$B$40)/1000000)*T58/100/(IF(ISBLANK(Design!$B$31),Design!$B$30,Design!$B$31)*1000000)&lt;0,0,($B58-R58*IF(ISBLANK(Design!$B$41),Constants!$C$6,Design!$B$41)/1000*(1+Constants!$C$32/100*(AC58-25))-Design!$C$27)/(IF(ISBLANK(Design!$B$40),Design!$B$38,Design!$B$40)/1000000)*T58/100/(IF(ISBLANK(Design!$B$31),Design!$B$30,Design!$B$31)*1000000))</f>
        <v>0.37325340997668183</v>
      </c>
      <c r="V58" s="183">
        <f>$B58*Constants!$C$21/1000+IF(ISBLANK(Design!$B$31),Design!$B$30,Design!$B$31)*1000000*Constants!$D$25/1000000000*($B58-Constants!$C$24)</f>
        <v>7.2754999999999959E-2</v>
      </c>
      <c r="W58" s="183">
        <f>$B58*R58*($B58/(Constants!$C$26*1000000000)*IF(ISBLANK(Design!$B$31),Design!$B$30,Design!$B$31)*1000000/2+$B58/(Constants!$C$27*1000000000)*IF(ISBLANK(Design!$B$31),Design!$B$30,Design!$B$31)*1000000/2)</f>
        <v>0.54152714583333295</v>
      </c>
      <c r="X58" s="183">
        <f t="shared" ca="1" si="14"/>
        <v>0.47527449642206687</v>
      </c>
      <c r="Y58" s="183">
        <f>Constants!$D$25/1000000000*Constants!$C$24*IF(ISBLANK(Design!$B$31),Design!$B$30,Design!$B$31)*1000000</f>
        <v>5.2499999999999998E-2</v>
      </c>
      <c r="Z58" s="183">
        <f t="shared" ca="1" si="23"/>
        <v>1.1420566422553999</v>
      </c>
      <c r="AA58" s="183">
        <f t="shared" ca="1" si="19"/>
        <v>0.32582942332128156</v>
      </c>
      <c r="AB58" s="184">
        <f ca="1">$A58+AA58*Design!$B$18</f>
        <v>103.57227712931305</v>
      </c>
      <c r="AC58" s="184">
        <f ca="1">Z58*Design!$C$11+$A58</f>
        <v>127.25609576344979</v>
      </c>
      <c r="AD58" s="184">
        <f ca="1">Constants!$D$22+Constants!$D$22*Constants!$C$23/100*(AC58-25)</f>
        <v>206.80487661075983</v>
      </c>
      <c r="AE58" s="183">
        <f ca="1">IF(100*(Design!$C$27+S58+R58*IF(ISBLANK(Design!$B$41),Constants!$C$6,Design!$B$41)/1000*(1+Constants!$C$32/100*(AC58-25)))/($B58+S58-R58*AD58/1000)&gt;Design!$B$34,   (1-Constants!$D$20/1000000000*IF(ISBLANK(Design!$B$31),Design!$B$30/4,Design!$B$31/4)*1000000) * ($B58+S58-R58*AD58/1000) - (S58+R58*(1+($A58-25)*Constants!$C$32/100)*IF(ISBLANK(Design!$B$41),Constants!$C$6/1000,Design!$B$41/1000)),  (1-Constants!$D$20/1000000000*IF(ISBLANK(Design!$B$31),Design!$B$30,Design!$B$31)*1000000) * ($B58+S58-R58*AD58/1000) - (S58+R58*(1+($A58-25)*Constants!$C$32/100)*IF(ISBLANK(Design!$B$41),Constants!$C$6/1000,Design!$B$41/1000)))</f>
        <v>6.4885989410642537</v>
      </c>
      <c r="AF58" s="117">
        <f ca="1">IF(AE58&gt;Design!$C$27,Design!$C$27,AE58)</f>
        <v>4.9936842105263155</v>
      </c>
      <c r="AG58" s="118">
        <f>Design!$D$6/3</f>
        <v>1</v>
      </c>
      <c r="AH58" s="118">
        <f ca="1">FORECAST(AG58, OFFSET(Design!$C$14:$C$16,MATCH(AG58,Design!$B$14:$B$16,1)-1,0,2), OFFSET(Design!$B$14:$B$16,MATCH(AG58,Design!$B$14:$B$16,1)-1,0,2))+(AQ58-25)*Design!$B$17/1000</f>
        <v>0.31416031997691429</v>
      </c>
      <c r="AI58" s="194">
        <f ca="1">IF(100*(Design!$C$27+AH58+AG58*IF(ISBLANK(Design!$B$41),Constants!$C$6,Design!$B$41)/1000*(1+Constants!$C$32/100*(AR58-25)))/($B58+AH58-AG58*AS58/1000)&gt;Design!$B$34,Design!$B$35,100*(Design!$C$27+AH58+AG58*IF(ISBLANK(Design!$B$41),Constants!$C$6,Design!$B$41)/1000*(1+Constants!$C$32/100*(AR58-25)))/($B58+AH58-AG58*AS58/1000))</f>
        <v>54.979393480684067</v>
      </c>
      <c r="AJ58" s="119">
        <f ca="1">IF(($B58-AG58*IF(ISBLANK(Design!$B$41),Constants!$C$6,Design!$B$41)/1000*(1+Constants!$C$32/100*(AR58-25))-Design!$C$27)/(IF(ISBLANK(Design!$B$40),Design!$B$38,Design!$B$40)/1000000)*AI58/100/(IF(ISBLANK(Design!$B$31),Design!$B$30,Design!$B$31)*1000000)&lt;0,0,($B58-AG58*IF(ISBLANK(Design!$B$41),Constants!$C$6,Design!$B$41)/1000*(1+Constants!$C$32/100*(AR58-25))-Design!$C$27)/(IF(ISBLANK(Design!$B$40),Design!$B$38,Design!$B$40)/1000000)*AI58/100/(IF(ISBLANK(Design!$B$31),Design!$B$30,Design!$B$31)*1000000))</f>
        <v>0.36354868925174677</v>
      </c>
      <c r="AK58" s="195">
        <f>$B58*Constants!$C$21/1000+IF(ISBLANK(Design!$B$31),Design!$B$30,Design!$B$31)*1000000*Constants!$D$25/1000000000*($B58-Constants!$C$24)</f>
        <v>7.2754999999999959E-2</v>
      </c>
      <c r="AL58" s="195">
        <f>$B58*AG58*($B58/(Constants!$C$26*1000000000)*IF(ISBLANK(Design!$B$31),Design!$B$30,Design!$B$31)*1000000/2+$B58/(Constants!$C$27*1000000000)*IF(ISBLANK(Design!$B$31),Design!$B$30,Design!$B$31)*1000000/2)</f>
        <v>0.27076357291666647</v>
      </c>
      <c r="AM58" s="195">
        <f t="shared" ca="1" si="15"/>
        <v>0.10439531756767842</v>
      </c>
      <c r="AN58" s="195">
        <f>Constants!$D$25/1000000000*Constants!$C$24*IF(ISBLANK(Design!$B$31),Design!$B$30,Design!$B$31)*1000000</f>
        <v>5.2499999999999998E-2</v>
      </c>
      <c r="AO58" s="195">
        <f t="shared" ca="1" si="24"/>
        <v>0.50041389048434481</v>
      </c>
      <c r="AP58" s="195">
        <f t="shared" ca="1" si="21"/>
        <v>0.14143688149663047</v>
      </c>
      <c r="AQ58" s="196">
        <f ca="1">$A58+AP58*Design!$B$18</f>
        <v>93.061902245307934</v>
      </c>
      <c r="AR58" s="196">
        <f ca="1">AO58*Design!$C$11+$A58</f>
        <v>103.51531394792076</v>
      </c>
      <c r="AS58" s="196">
        <f ca="1">Constants!$D$22+Constants!$D$22*Constants!$C$23/100*(AR58-25)</f>
        <v>187.81225115833661</v>
      </c>
      <c r="AT58" s="195">
        <f ca="1">IF(100*(Design!$C$27+AH58+AG58*IF(ISBLANK(Design!$B$41),Constants!$C$6,Design!$B$41)/1000*(1+Constants!$C$32/100*(AR58-25)))/($B58+AH58-AG58*AS58/1000)&gt;Design!$B$34,   (1-Constants!$D$20/1000000000*IF(ISBLANK(Design!$B$31),Design!$B$30/4,Design!$B$31/4)*1000000) * ($B58+AH58-AG58*AS58/1000) - (AH58+AG58*(1+($A58-25)*Constants!$C$32/100)*IF(ISBLANK(Design!$B$41),Constants!$C$6/1000,Design!$B$41/1000)),  (1-Constants!$D$20/1000000000*IF(ISBLANK(Design!$B$31),Design!$B$30,Design!$B$31)*1000000) * ($B58+AH58-AG58*AS58/1000) - (AH58+AG58*(1+($A58-25)*Constants!$C$32/100)*IF(ISBLANK(Design!$B$41),Constants!$C$6/1000,Design!$B$41/1000)))</f>
        <v>6.7267287260541888</v>
      </c>
      <c r="AU58" s="119">
        <f ca="1">IF(AT58&gt;Design!$C$27,Design!$C$27,AT58)</f>
        <v>4.9936842105263155</v>
      </c>
    </row>
    <row r="59" spans="1:47" ht="12.75" customHeight="1" x14ac:dyDescent="0.3">
      <c r="A59" s="112">
        <f>Design!$D$12</f>
        <v>85</v>
      </c>
      <c r="B59" s="113">
        <f t="shared" si="12"/>
        <v>9.4199999999999964</v>
      </c>
      <c r="C59" s="114">
        <f>Design!$D$6</f>
        <v>3</v>
      </c>
      <c r="D59" s="114">
        <f ca="1">FORECAST(C59, OFFSET(Design!$C$14:$C$16,MATCH(C59,Design!$B$14:$B$16,1)-1,0,2), OFFSET(Design!$B$14:$B$16,MATCH(C59,Design!$B$14:$B$16,1)-1,0,2))+(M59-25)*Design!$B$17/1000</f>
        <v>0.39878372206274287</v>
      </c>
      <c r="E59" s="173">
        <f ca="1">IF(100*(Design!$C$27+D59+C59*IF(ISBLANK(Design!$B$41),Constants!$C$6,Design!$B$41)/1000*(1+Constants!$C$32/100*(N59-25)))/($B59+D59-C59*O59/1000)&gt;Design!$B$34,Design!$B$35,100*(Design!$C$27+D59+C59*IF(ISBLANK(Design!$B$41),Constants!$C$6,Design!$B$41)/1000*(1+Constants!$C$32/100*(N59-25)))/($B59+D59-C59*O59/1000))</f>
        <v>61.555209402347856</v>
      </c>
      <c r="F59" s="115">
        <f ca="1">IF(($B59-C59*IF(ISBLANK(Design!$B$41),Constants!$C$6,Design!$B$41)/1000*(1+Constants!$C$32/100*(N59-25))-Design!$C$27)/(IF(ISBLANK(Design!$B$40),Design!$B$38,Design!$B$40)/1000000)*E59/100/(IF(ISBLANK(Design!$B$31),Design!$B$30,Design!$B$31)*1000000)&lt;0,0,($B59-C59*IF(ISBLANK(Design!$B$41),Constants!$C$6,Design!$B$41)/1000*(1+Constants!$C$32/100*(N59-25))-Design!$C$27)/(IF(ISBLANK(Design!$B$40),Design!$B$38,Design!$B$40)/1000000)*E59/100/(IF(ISBLANK(Design!$B$31),Design!$B$30,Design!$B$31)*1000000))</f>
        <v>0.37446806344617889</v>
      </c>
      <c r="G59" s="165">
        <f>B59*Constants!$C$21/1000+IF(ISBLANK(Design!$B$31),Design!$B$30,Design!$B$31)*1000000*Constants!$D$25/1000000000*(B59-Constants!$C$24)</f>
        <v>6.9959999999999953E-2</v>
      </c>
      <c r="H59" s="165">
        <f>B59*C59*(B59/(Constants!$C$26*1000000000)*IF(ISBLANK(Design!$B$31),Design!$B$30,Design!$B$31)*1000000/2+B59/(Constants!$C$27*1000000000)*IF(ISBLANK(Design!$B$31),Design!$B$30,Design!$B$31)*1000000/2)</f>
        <v>0.7764434999999994</v>
      </c>
      <c r="I59" s="165">
        <f t="shared" ca="1" si="13"/>
        <v>1.3247787158859288</v>
      </c>
      <c r="J59" s="165">
        <f>Constants!$D$25/1000000000*Constants!$C$24*IF(ISBLANK(Design!$B$31),Design!$B$30,Design!$B$31)*1000000</f>
        <v>5.2499999999999998E-2</v>
      </c>
      <c r="K59" s="165">
        <f t="shared" ca="1" si="22"/>
        <v>2.2236822158859284</v>
      </c>
      <c r="L59" s="165">
        <f t="shared" ca="1" si="17"/>
        <v>0.45993470065363395</v>
      </c>
      <c r="M59" s="166">
        <f ca="1">$A59+L59*Design!$B$18</f>
        <v>111.21627793725713</v>
      </c>
      <c r="N59" s="166">
        <f ca="1">K59*Design!$C$11+A59</f>
        <v>167.27624198777937</v>
      </c>
      <c r="O59" s="166">
        <f ca="1">Constants!$D$22+Constants!$D$22*Constants!$C$23/100*(N59-25)</f>
        <v>238.82099359022351</v>
      </c>
      <c r="P59" s="165">
        <f ca="1">IF(100*(Design!$C$27+D59+C59*IF(ISBLANK(Design!$B$41),Constants!$C$6,Design!$B$41)/1000*(1+Constants!$C$32/100*(N59-25)))/($B59+D59-C59*O59/1000)&gt;Design!$B$34,   (1-Constants!$D$20/1000000000*IF(ISBLANK(Design!$B$31),Design!$B$30/4,Design!$B$31/4)*1000000) * ($B59+D59-C59*O59/1000) - (D59+C59*(1+($A59-25)*Constants!$C$32/100)*IF(ISBLANK(Design!$B$41),Constants!$C$6/1000,Design!$B$41/1000)),  (1-Constants!$D$20/1000000000*IF(ISBLANK(Design!$B$31),Design!$B$30,Design!$B$31)*1000000) * ($B59+D59-C59*O59/1000) - (D59+C59*(1+($A59-25)*Constants!$C$32/100)*IF(ISBLANK(Design!$B$41),Constants!$C$6/1000,Design!$B$41/1000)))</f>
        <v>6.0517704568565911</v>
      </c>
      <c r="Q59" s="115">
        <f ca="1">IF(P59&gt;Design!$C$27,Design!$C$27,P59)</f>
        <v>4.9936842105263155</v>
      </c>
      <c r="R59" s="116">
        <f>2*Design!$D$6/3</f>
        <v>2</v>
      </c>
      <c r="S59" s="116">
        <f ca="1">FORECAST(R59, OFFSET(Design!$C$14:$C$16,MATCH(R59,Design!$B$14:$B$16,1)-1,0,2), OFFSET(Design!$B$14:$B$16,MATCH(R59,Design!$B$14:$B$16,1)-1,0,2))+(AB59-25)*Design!$B$17/1000</f>
        <v>0.3819698822792858</v>
      </c>
      <c r="T59" s="182">
        <f ca="1">IF(100*(Design!$C$27+S59+R59*IF(ISBLANK(Design!$B$41),Constants!$C$6,Design!$B$41)/1000*(1+Constants!$C$32/100*(AC59-25)))/($B59+S59-R59*AD59/1000)&gt;Design!$B$34,Design!$B$35,100*(Design!$C$27+S59+R59*IF(ISBLANK(Design!$B$41),Constants!$C$6,Design!$B$41)/1000*(1+Constants!$C$32/100*(AC59-25)))/($B59+S59-R59*AD59/1000))</f>
        <v>58.593874880678491</v>
      </c>
      <c r="U59" s="117">
        <f ca="1">IF(($B59-R59*IF(ISBLANK(Design!$B$41),Constants!$C$6,Design!$B$41)/1000*(1+Constants!$C$32/100*(AC59-25))-Design!$C$27)/(IF(ISBLANK(Design!$B$40),Design!$B$38,Design!$B$40)/1000000)*T59/100/(IF(ISBLANK(Design!$B$31),Design!$B$30,Design!$B$31)*1000000)&lt;0,0,($B59-R59*IF(ISBLANK(Design!$B$41),Constants!$C$6,Design!$B$41)/1000*(1+Constants!$C$32/100*(AC59-25))-Design!$C$27)/(IF(ISBLANK(Design!$B$40),Design!$B$38,Design!$B$40)/1000000)*T59/100/(IF(ISBLANK(Design!$B$31),Design!$B$30,Design!$B$31)*1000000))</f>
        <v>0.36360094298446693</v>
      </c>
      <c r="V59" s="183">
        <f>$B59*Constants!$C$21/1000+IF(ISBLANK(Design!$B$31),Design!$B$30,Design!$B$31)*1000000*Constants!$D$25/1000000000*($B59-Constants!$C$24)</f>
        <v>6.9959999999999953E-2</v>
      </c>
      <c r="W59" s="183">
        <f>$B59*R59*($B59/(Constants!$C$26*1000000000)*IF(ISBLANK(Design!$B$31),Design!$B$30,Design!$B$31)*1000000/2+$B59/(Constants!$C$27*1000000000)*IF(ISBLANK(Design!$B$31),Design!$B$30,Design!$B$31)*1000000/2)</f>
        <v>0.51762899999999956</v>
      </c>
      <c r="X59" s="183">
        <f t="shared" ca="1" si="14"/>
        <v>0.48484371723359337</v>
      </c>
      <c r="Y59" s="183">
        <f>Constants!$D$25/1000000000*Constants!$C$24*IF(ISBLANK(Design!$B$31),Design!$B$30,Design!$B$31)*1000000</f>
        <v>5.2499999999999998E-2</v>
      </c>
      <c r="Z59" s="183">
        <f t="shared" ca="1" si="23"/>
        <v>1.1249327172335928</v>
      </c>
      <c r="AA59" s="183">
        <f t="shared" ca="1" si="19"/>
        <v>0.31631785474937235</v>
      </c>
      <c r="AB59" s="184">
        <f ca="1">$A59+AA59*Design!$B$18</f>
        <v>103.03011772071423</v>
      </c>
      <c r="AC59" s="184">
        <f ca="1">Z59*Design!$C$11+$A59</f>
        <v>126.62251053764294</v>
      </c>
      <c r="AD59" s="184">
        <f ca="1">Constants!$D$22+Constants!$D$22*Constants!$C$23/100*(AC59-25)</f>
        <v>206.29800843011435</v>
      </c>
      <c r="AE59" s="183">
        <f ca="1">IF(100*(Design!$C$27+S59+R59*IF(ISBLANK(Design!$B$41),Constants!$C$6,Design!$B$41)/1000*(1+Constants!$C$32/100*(AC59-25)))/($B59+S59-R59*AD59/1000)&gt;Design!$B$34,   (1-Constants!$D$20/1000000000*IF(ISBLANK(Design!$B$31),Design!$B$30/4,Design!$B$31/4)*1000000) * ($B59+S59-R59*AD59/1000) - (S59+R59*(1+($A59-25)*Constants!$C$32/100)*IF(ISBLANK(Design!$B$41),Constants!$C$6/1000,Design!$B$41/1000)),  (1-Constants!$D$20/1000000000*IF(ISBLANK(Design!$B$31),Design!$B$30,Design!$B$31)*1000000) * ($B59+S59-R59*AD59/1000) - (S59+R59*(1+($A59-25)*Constants!$C$32/100)*IF(ISBLANK(Design!$B$41),Constants!$C$6/1000,Design!$B$41/1000)))</f>
        <v>6.3328829178803661</v>
      </c>
      <c r="AF59" s="117">
        <f ca="1">IF(AE59&gt;Design!$C$27,Design!$C$27,AE59)</f>
        <v>4.9936842105263155</v>
      </c>
      <c r="AG59" s="118">
        <f>Design!$D$6/3</f>
        <v>1</v>
      </c>
      <c r="AH59" s="118">
        <f ca="1">FORECAST(AG59, OFFSET(Design!$C$14:$C$16,MATCH(AG59,Design!$B$14:$B$16,1)-1,0,2), OFFSET(Design!$B$14:$B$16,MATCH(AG59,Design!$B$14:$B$16,1)-1,0,2))+(AQ59-25)*Design!$B$17/1000</f>
        <v>0.31437628796103689</v>
      </c>
      <c r="AI59" s="194">
        <f ca="1">IF(100*(Design!$C$27+AH59+AG59*IF(ISBLANK(Design!$B$41),Constants!$C$6,Design!$B$41)/1000*(1+Constants!$C$32/100*(AR59-25)))/($B59+AH59-AG59*AS59/1000)&gt;Design!$B$34,Design!$B$35,100*(Design!$C$27+AH59+AG59*IF(ISBLANK(Design!$B$41),Constants!$C$6,Design!$B$41)/1000*(1+Constants!$C$32/100*(AR59-25)))/($B59+AH59-AG59*AS59/1000))</f>
        <v>56.21553699637176</v>
      </c>
      <c r="AJ59" s="119">
        <f ca="1">IF(($B59-AG59*IF(ISBLANK(Design!$B$41),Constants!$C$6,Design!$B$41)/1000*(1+Constants!$C$32/100*(AR59-25))-Design!$C$27)/(IF(ISBLANK(Design!$B$40),Design!$B$38,Design!$B$40)/1000000)*AI59/100/(IF(ISBLANK(Design!$B$31),Design!$B$30,Design!$B$31)*1000000)&lt;0,0,($B59-AG59*IF(ISBLANK(Design!$B$41),Constants!$C$6,Design!$B$41)/1000*(1+Constants!$C$32/100*(AR59-25))-Design!$C$27)/(IF(ISBLANK(Design!$B$40),Design!$B$38,Design!$B$40)/1000000)*AI59/100/(IF(ISBLANK(Design!$B$31),Design!$B$30,Design!$B$31)*1000000))</f>
        <v>0.35428874854707065</v>
      </c>
      <c r="AK59" s="195">
        <f>$B59*Constants!$C$21/1000+IF(ISBLANK(Design!$B$31),Design!$B$30,Design!$B$31)*1000000*Constants!$D$25/1000000000*($B59-Constants!$C$24)</f>
        <v>6.9959999999999953E-2</v>
      </c>
      <c r="AL59" s="195">
        <f>$B59*AG59*($B59/(Constants!$C$26*1000000000)*IF(ISBLANK(Design!$B$31),Design!$B$30,Design!$B$31)*1000000/2+$B59/(Constants!$C$27*1000000000)*IF(ISBLANK(Design!$B$31),Design!$B$30,Design!$B$31)*1000000/2)</f>
        <v>0.25881449999999978</v>
      </c>
      <c r="AM59" s="195">
        <f t="shared" ca="1" si="15"/>
        <v>0.10647102943964355</v>
      </c>
      <c r="AN59" s="195">
        <f>Constants!$D$25/1000000000*Constants!$C$24*IF(ISBLANK(Design!$B$31),Design!$B$30,Design!$B$31)*1000000</f>
        <v>5.2499999999999998E-2</v>
      </c>
      <c r="AO59" s="195">
        <f t="shared" ca="1" si="24"/>
        <v>0.48774552943964328</v>
      </c>
      <c r="AP59" s="195">
        <f t="shared" ca="1" si="21"/>
        <v>0.13764796949447997</v>
      </c>
      <c r="AQ59" s="196">
        <f ca="1">$A59+AP59*Design!$B$18</f>
        <v>92.845934261185363</v>
      </c>
      <c r="AR59" s="196">
        <f ca="1">AO59*Design!$C$11+$A59</f>
        <v>103.0465845892668</v>
      </c>
      <c r="AS59" s="196">
        <f ca="1">Constants!$D$22+Constants!$D$22*Constants!$C$23/100*(AR59-25)</f>
        <v>187.43726767141345</v>
      </c>
      <c r="AT59" s="195">
        <f ca="1">IF(100*(Design!$C$27+AH59+AG59*IF(ISBLANK(Design!$B$41),Constants!$C$6,Design!$B$41)/1000*(1+Constants!$C$32/100*(AR59-25)))/($B59+AH59-AG59*AS59/1000)&gt;Design!$B$34,   (1-Constants!$D$20/1000000000*IF(ISBLANK(Design!$B$31),Design!$B$30/4,Design!$B$31/4)*1000000) * ($B59+AH59-AG59*AS59/1000) - (AH59+AG59*(1+($A59-25)*Constants!$C$32/100)*IF(ISBLANK(Design!$B$41),Constants!$C$6/1000,Design!$B$41/1000)),  (1-Constants!$D$20/1000000000*IF(ISBLANK(Design!$B$31),Design!$B$30,Design!$B$31)*1000000) * ($B59+AH59-AG59*AS59/1000) - (AH59+AG59*(1+($A59-25)*Constants!$C$32/100)*IF(ISBLANK(Design!$B$41),Constants!$C$6/1000,Design!$B$41/1000)))</f>
        <v>6.5706373797895168</v>
      </c>
      <c r="AU59" s="119">
        <f ca="1">IF(AT59&gt;Design!$C$27,Design!$C$27,AT59)</f>
        <v>4.9936842105263155</v>
      </c>
    </row>
    <row r="60" spans="1:47" ht="12.75" customHeight="1" x14ac:dyDescent="0.3">
      <c r="A60" s="112">
        <f>Design!$D$12</f>
        <v>85</v>
      </c>
      <c r="B60" s="113">
        <f t="shared" si="12"/>
        <v>9.2049999999999965</v>
      </c>
      <c r="C60" s="114">
        <f>Design!$D$6</f>
        <v>3</v>
      </c>
      <c r="D60" s="114">
        <f ca="1">FORECAST(C60, OFFSET(Design!$C$14:$C$16,MATCH(C60,Design!$B$14:$B$16,1)-1,0,2), OFFSET(Design!$B$14:$B$16,MATCH(C60,Design!$B$14:$B$16,1)-1,0,2))+(M60-25)*Design!$B$17/1000</f>
        <v>0.39973748467304598</v>
      </c>
      <c r="E60" s="173">
        <f ca="1">IF(100*(Design!$C$27+D60+C60*IF(ISBLANK(Design!$B$41),Constants!$C$6,Design!$B$41)/1000*(1+Constants!$C$32/100*(N60-25)))/($B60+D60-C60*O60/1000)&gt;Design!$B$34,Design!$B$35,100*(Design!$C$27+D60+C60*IF(ISBLANK(Design!$B$41),Constants!$C$6,Design!$B$41)/1000*(1+Constants!$C$32/100*(N60-25)))/($B60+D60-C60*O60/1000))</f>
        <v>63.042243115929004</v>
      </c>
      <c r="F60" s="115">
        <f ca="1">IF(($B60-C60*IF(ISBLANK(Design!$B$41),Constants!$C$6,Design!$B$41)/1000*(1+Constants!$C$32/100*(N60-25))-Design!$C$27)/(IF(ISBLANK(Design!$B$40),Design!$B$38,Design!$B$40)/1000000)*E60/100/(IF(ISBLANK(Design!$B$31),Design!$B$30,Design!$B$31)*1000000)&lt;0,0,($B60-C60*IF(ISBLANK(Design!$B$41),Constants!$C$6,Design!$B$41)/1000*(1+Constants!$C$32/100*(N60-25))-Design!$C$27)/(IF(ISBLANK(Design!$B$40),Design!$B$38,Design!$B$40)/1000000)*E60/100/(IF(ISBLANK(Design!$B$31),Design!$B$30,Design!$B$31)*1000000))</f>
        <v>0.3639685226388466</v>
      </c>
      <c r="G60" s="165">
        <f>B60*Constants!$C$21/1000+IF(ISBLANK(Design!$B$31),Design!$B$30,Design!$B$31)*1000000*Constants!$D$25/1000000000*(B60-Constants!$C$24)</f>
        <v>6.7164999999999961E-2</v>
      </c>
      <c r="H60" s="165">
        <f>B60*C60*(B60/(Constants!$C$26*1000000000)*IF(ISBLANK(Design!$B$31),Design!$B$30,Design!$B$31)*1000000/2+B60/(Constants!$C$27*1000000000)*IF(ISBLANK(Design!$B$31),Design!$B$30,Design!$B$31)*1000000/2)</f>
        <v>0.74140521874999943</v>
      </c>
      <c r="I60" s="165">
        <f t="shared" ca="1" si="13"/>
        <v>1.3554870062777946</v>
      </c>
      <c r="J60" s="165">
        <f>Constants!$D$25/1000000000*Constants!$C$24*IF(ISBLANK(Design!$B$31),Design!$B$30,Design!$B$31)*1000000</f>
        <v>5.2499999999999998E-2</v>
      </c>
      <c r="K60" s="165">
        <f t="shared" ca="1" si="22"/>
        <v>2.2165572250277941</v>
      </c>
      <c r="L60" s="165">
        <f t="shared" ca="1" si="17"/>
        <v>0.44320202327989466</v>
      </c>
      <c r="M60" s="166">
        <f ca="1">$A60+L60*Design!$B$18</f>
        <v>110.262515326954</v>
      </c>
      <c r="N60" s="166">
        <f ca="1">K60*Design!$C$11+A60</f>
        <v>167.01261732602836</v>
      </c>
      <c r="O60" s="166">
        <f ca="1">Constants!$D$22+Constants!$D$22*Constants!$C$23/100*(N60-25)</f>
        <v>238.6100938608227</v>
      </c>
      <c r="P60" s="165">
        <f ca="1">IF(100*(Design!$C$27+D60+C60*IF(ISBLANK(Design!$B$41),Constants!$C$6,Design!$B$41)/1000*(1+Constants!$C$32/100*(N60-25)))/($B60+D60-C60*O60/1000)&gt;Design!$B$34,   (1-Constants!$D$20/1000000000*IF(ISBLANK(Design!$B$31),Design!$B$30/4,Design!$B$31/4)*1000000) * ($B60+D60-C60*O60/1000) - (D60+C60*(1+($A60-25)*Constants!$C$32/100)*IF(ISBLANK(Design!$B$41),Constants!$C$6/1000,Design!$B$41/1000)),  (1-Constants!$D$20/1000000000*IF(ISBLANK(Design!$B$31),Design!$B$30,Design!$B$31)*1000000) * ($B60+D60-C60*O60/1000) - (D60+C60*(1+($A60-25)*Constants!$C$32/100)*IF(ISBLANK(Design!$B$41),Constants!$C$6/1000,Design!$B$41/1000)))</f>
        <v>5.8956650519738014</v>
      </c>
      <c r="Q60" s="115">
        <f ca="1">IF(P60&gt;Design!$C$27,Design!$C$27,P60)</f>
        <v>4.9936842105263155</v>
      </c>
      <c r="R60" s="116">
        <f>2*Design!$D$6/3</f>
        <v>2</v>
      </c>
      <c r="S60" s="116">
        <f ca="1">FORECAST(R60, OFFSET(Design!$C$14:$C$16,MATCH(R60,Design!$B$14:$B$16,1)-1,0,2), OFFSET(Design!$B$14:$B$16,MATCH(R60,Design!$B$14:$B$16,1)-1,0,2))+(AB60-25)*Design!$B$17/1000</f>
        <v>0.38253920183196377</v>
      </c>
      <c r="T60" s="182">
        <f ca="1">IF(100*(Design!$C$27+S60+R60*IF(ISBLANK(Design!$B$41),Constants!$C$6,Design!$B$41)/1000*(1+Constants!$C$32/100*(AC60-25)))/($B60+S60-R60*AD60/1000)&gt;Design!$B$34,Design!$B$35,100*(Design!$C$27+S60+R60*IF(ISBLANK(Design!$B$41),Constants!$C$6,Design!$B$41)/1000*(1+Constants!$C$32/100*(AC60-25)))/($B60+S60-R60*AD60/1000))</f>
        <v>59.960993415225303</v>
      </c>
      <c r="U60" s="117">
        <f ca="1">IF(($B60-R60*IF(ISBLANK(Design!$B$41),Constants!$C$6,Design!$B$41)/1000*(1+Constants!$C$32/100*(AC60-25))-Design!$C$27)/(IF(ISBLANK(Design!$B$40),Design!$B$38,Design!$B$40)/1000000)*T60/100/(IF(ISBLANK(Design!$B$31),Design!$B$30,Design!$B$31)*1000000)&lt;0,0,($B60-R60*IF(ISBLANK(Design!$B$41),Constants!$C$6,Design!$B$41)/1000*(1+Constants!$C$32/100*(AC60-25))-Design!$C$27)/(IF(ISBLANK(Design!$B$40),Design!$B$38,Design!$B$40)/1000000)*T60/100/(IF(ISBLANK(Design!$B$31),Design!$B$30,Design!$B$31)*1000000))</f>
        <v>0.35350008618581474</v>
      </c>
      <c r="V60" s="183">
        <f>$B60*Constants!$C$21/1000+IF(ISBLANK(Design!$B$31),Design!$B$30,Design!$B$31)*1000000*Constants!$D$25/1000000000*($B60-Constants!$C$24)</f>
        <v>6.7164999999999961E-2</v>
      </c>
      <c r="W60" s="183">
        <f>$B60*R60*($B60/(Constants!$C$26*1000000000)*IF(ISBLANK(Design!$B$31),Design!$B$30,Design!$B$31)*1000000/2+$B60/(Constants!$C$27*1000000000)*IF(ISBLANK(Design!$B$31),Design!$B$30,Design!$B$31)*1000000/2)</f>
        <v>0.49427014583333301</v>
      </c>
      <c r="X60" s="183">
        <f t="shared" ca="1" si="14"/>
        <v>0.49493840736259476</v>
      </c>
      <c r="Y60" s="183">
        <f>Constants!$D$25/1000000000*Constants!$C$24*IF(ISBLANK(Design!$B$31),Design!$B$30,Design!$B$31)*1000000</f>
        <v>5.2499999999999998E-2</v>
      </c>
      <c r="Z60" s="183">
        <f t="shared" ca="1" si="23"/>
        <v>1.1088735531959277</v>
      </c>
      <c r="AA60" s="183">
        <f t="shared" ca="1" si="19"/>
        <v>0.30632979242168906</v>
      </c>
      <c r="AB60" s="184">
        <f ca="1">$A60+AA60*Design!$B$18</f>
        <v>102.46079816803628</v>
      </c>
      <c r="AC60" s="184">
        <f ca="1">Z60*Design!$C$11+$A60</f>
        <v>126.02832146824932</v>
      </c>
      <c r="AD60" s="184">
        <f ca="1">Constants!$D$22+Constants!$D$22*Constants!$C$23/100*(AC60-25)</f>
        <v>205.82265717459944</v>
      </c>
      <c r="AE60" s="183">
        <f ca="1">IF(100*(Design!$C$27+S60+R60*IF(ISBLANK(Design!$B$41),Constants!$C$6,Design!$B$41)/1000*(1+Constants!$C$32/100*(AC60-25)))/($B60+S60-R60*AD60/1000)&gt;Design!$B$34,   (1-Constants!$D$20/1000000000*IF(ISBLANK(Design!$B$31),Design!$B$30/4,Design!$B$31/4)*1000000) * ($B60+S60-R60*AD60/1000) - (S60+R60*(1+($A60-25)*Constants!$C$32/100)*IF(ISBLANK(Design!$B$41),Constants!$C$6/1000,Design!$B$41/1000)),  (1-Constants!$D$20/1000000000*IF(ISBLANK(Design!$B$31),Design!$B$30,Design!$B$31)*1000000) * ($B60+S60-R60*AD60/1000) - (S60+R60*(1+($A60-25)*Constants!$C$32/100)*IF(ISBLANK(Design!$B$41),Constants!$C$6/1000,Design!$B$41/1000)))</f>
        <v>6.1771136543680036</v>
      </c>
      <c r="AF60" s="117">
        <f ca="1">IF(AE60&gt;Design!$C$27,Design!$C$27,AE60)</f>
        <v>4.9936842105263155</v>
      </c>
      <c r="AG60" s="118">
        <f>Design!$D$6/3</f>
        <v>1</v>
      </c>
      <c r="AH60" s="118">
        <f ca="1">FORECAST(AG60, OFFSET(Design!$C$14:$C$16,MATCH(AG60,Design!$B$14:$B$16,1)-1,0,2), OFFSET(Design!$B$14:$B$16,MATCH(AG60,Design!$B$14:$B$16,1)-1,0,2))+(AQ60-25)*Design!$B$17/1000</f>
        <v>0.31460252192086824</v>
      </c>
      <c r="AI60" s="194">
        <f ca="1">IF(100*(Design!$C$27+AH60+AG60*IF(ISBLANK(Design!$B$41),Constants!$C$6,Design!$B$41)/1000*(1+Constants!$C$32/100*(AR60-25)))/($B60+AH60-AG60*AS60/1000)&gt;Design!$B$34,Design!$B$35,100*(Design!$C$27+AH60+AG60*IF(ISBLANK(Design!$B$41),Constants!$C$6,Design!$B$41)/1000*(1+Constants!$C$32/100*(AR60-25)))/($B60+AH60-AG60*AS60/1000))</f>
        <v>57.508620134660632</v>
      </c>
      <c r="AJ60" s="119">
        <f ca="1">IF(($B60-AG60*IF(ISBLANK(Design!$B$41),Constants!$C$6,Design!$B$41)/1000*(1+Constants!$C$32/100*(AR60-25))-Design!$C$27)/(IF(ISBLANK(Design!$B$40),Design!$B$38,Design!$B$40)/1000000)*AI60/100/(IF(ISBLANK(Design!$B$31),Design!$B$30,Design!$B$31)*1000000)&lt;0,0,($B60-AG60*IF(ISBLANK(Design!$B$41),Constants!$C$6,Design!$B$41)/1000*(1+Constants!$C$32/100*(AR60-25))-Design!$C$27)/(IF(ISBLANK(Design!$B$40),Design!$B$38,Design!$B$40)/1000000)*AI60/100/(IF(ISBLANK(Design!$B$31),Design!$B$30,Design!$B$31)*1000000))</f>
        <v>0.34460308050392607</v>
      </c>
      <c r="AK60" s="195">
        <f>$B60*Constants!$C$21/1000+IF(ISBLANK(Design!$B$31),Design!$B$30,Design!$B$31)*1000000*Constants!$D$25/1000000000*($B60-Constants!$C$24)</f>
        <v>6.7164999999999961E-2</v>
      </c>
      <c r="AL60" s="195">
        <f>$B60*AG60*($B60/(Constants!$C$26*1000000000)*IF(ISBLANK(Design!$B$31),Design!$B$30,Design!$B$31)*1000000/2+$B60/(Constants!$C$27*1000000000)*IF(ISBLANK(Design!$B$31),Design!$B$30,Design!$B$31)*1000000/2)</f>
        <v>0.2471350729166665</v>
      </c>
      <c r="AM60" s="195">
        <f t="shared" ca="1" si="15"/>
        <v>0.10864788767340491</v>
      </c>
      <c r="AN60" s="195">
        <f>Constants!$D$25/1000000000*Constants!$C$24*IF(ISBLANK(Design!$B$31),Design!$B$30,Design!$B$31)*1000000</f>
        <v>5.2499999999999998E-2</v>
      </c>
      <c r="AO60" s="195">
        <f t="shared" ca="1" si="24"/>
        <v>0.47544796059007133</v>
      </c>
      <c r="AP60" s="195">
        <f t="shared" ca="1" si="21"/>
        <v>0.13367895265533369</v>
      </c>
      <c r="AQ60" s="196">
        <f ca="1">$A60+AP60*Design!$B$18</f>
        <v>92.619700301354015</v>
      </c>
      <c r="AR60" s="196">
        <f ca="1">AO60*Design!$C$11+$A60</f>
        <v>102.59157454183264</v>
      </c>
      <c r="AS60" s="196">
        <f ca="1">Constants!$D$22+Constants!$D$22*Constants!$C$23/100*(AR60-25)</f>
        <v>187.07325963346611</v>
      </c>
      <c r="AT60" s="195">
        <f ca="1">IF(100*(Design!$C$27+AH60+AG60*IF(ISBLANK(Design!$B$41),Constants!$C$6,Design!$B$41)/1000*(1+Constants!$C$32/100*(AR60-25)))/($B60+AH60-AG60*AS60/1000)&gt;Design!$B$34,   (1-Constants!$D$20/1000000000*IF(ISBLANK(Design!$B$31),Design!$B$30/4,Design!$B$31/4)*1000000) * ($B60+AH60-AG60*AS60/1000) - (AH60+AG60*(1+($A60-25)*Constants!$C$32/100)*IF(ISBLANK(Design!$B$41),Constants!$C$6/1000,Design!$B$41/1000)),  (1-Constants!$D$20/1000000000*IF(ISBLANK(Design!$B$31),Design!$B$30,Design!$B$31)*1000000) * ($B60+AH60-AG60*AS60/1000) - (AH60+AG60*(1+($A60-25)*Constants!$C$32/100)*IF(ISBLANK(Design!$B$41),Constants!$C$6/1000,Design!$B$41/1000)))</f>
        <v>6.4145352517620706</v>
      </c>
      <c r="AU60" s="119">
        <f ca="1">IF(AT60&gt;Design!$C$27,Design!$C$27,AT60)</f>
        <v>4.9936842105263155</v>
      </c>
    </row>
    <row r="61" spans="1:47" ht="12.75" customHeight="1" x14ac:dyDescent="0.3">
      <c r="A61" s="112">
        <f>Design!$D$12</f>
        <v>85</v>
      </c>
      <c r="B61" s="113">
        <f t="shared" si="12"/>
        <v>8.9899999999999967</v>
      </c>
      <c r="C61" s="114">
        <f>Design!$D$6</f>
        <v>3</v>
      </c>
      <c r="D61" s="114">
        <f ca="1">FORECAST(C61, OFFSET(Design!$C$14:$C$16,MATCH(C61,Design!$B$14:$B$16,1)-1,0,2), OFFSET(Design!$B$14:$B$16,MATCH(C61,Design!$B$14:$B$16,1)-1,0,2))+(M61-25)*Design!$B$17/1000</f>
        <v>0.40074487686444815</v>
      </c>
      <c r="E61" s="173">
        <f ca="1">IF(100*(Design!$C$27+D61+C61*IF(ISBLANK(Design!$B$41),Constants!$C$6,Design!$B$41)/1000*(1+Constants!$C$32/100*(N61-25)))/($B61+D61-C61*O61/1000)&gt;Design!$B$34,Design!$B$35,100*(Design!$C$27+D61+C61*IF(ISBLANK(Design!$B$41),Constants!$C$6,Design!$B$41)/1000*(1+Constants!$C$32/100*(N61-25)))/($B61+D61-C61*O61/1000))</f>
        <v>64.605205570205499</v>
      </c>
      <c r="F61" s="115">
        <f ca="1">IF(($B61-C61*IF(ISBLANK(Design!$B$41),Constants!$C$6,Design!$B$41)/1000*(1+Constants!$C$32/100*(N61-25))-Design!$C$27)/(IF(ISBLANK(Design!$B$40),Design!$B$38,Design!$B$40)/1000000)*E61/100/(IF(ISBLANK(Design!$B$31),Design!$B$30,Design!$B$31)*1000000)&lt;0,0,($B61-C61*IF(ISBLANK(Design!$B$41),Constants!$C$6,Design!$B$41)/1000*(1+Constants!$C$32/100*(N61-25))-Design!$C$27)/(IF(ISBLANK(Design!$B$40),Design!$B$38,Design!$B$40)/1000000)*E61/100/(IF(ISBLANK(Design!$B$31),Design!$B$30,Design!$B$31)*1000000))</f>
        <v>0.35295646189445662</v>
      </c>
      <c r="G61" s="165">
        <f>B61*Constants!$C$21/1000+IF(ISBLANK(Design!$B$31),Design!$B$30,Design!$B$31)*1000000*Constants!$D$25/1000000000*(B61-Constants!$C$24)</f>
        <v>6.4369999999999955E-2</v>
      </c>
      <c r="H61" s="165">
        <f>B61*C61*(B61/(Constants!$C$26*1000000000)*IF(ISBLANK(Design!$B$31),Design!$B$30,Design!$B$31)*1000000/2+B61/(Constants!$C$27*1000000000)*IF(ISBLANK(Design!$B$31),Design!$B$30,Design!$B$31)*1000000/2)</f>
        <v>0.70717587499999945</v>
      </c>
      <c r="I61" s="165">
        <f t="shared" ca="1" si="13"/>
        <v>1.388258425888212</v>
      </c>
      <c r="J61" s="165">
        <f>Constants!$D$25/1000000000*Constants!$C$24*IF(ISBLANK(Design!$B$31),Design!$B$30,Design!$B$31)*1000000</f>
        <v>5.2499999999999998E-2</v>
      </c>
      <c r="K61" s="165">
        <f t="shared" ca="1" si="22"/>
        <v>2.2123043008882117</v>
      </c>
      <c r="L61" s="165">
        <f t="shared" ca="1" si="17"/>
        <v>0.42552847606231353</v>
      </c>
      <c r="M61" s="166">
        <f ca="1">$A61+L61*Design!$B$18</f>
        <v>109.25512313555187</v>
      </c>
      <c r="N61" s="166">
        <f ca="1">K61*Design!$C$11+A61</f>
        <v>166.85525913286384</v>
      </c>
      <c r="O61" s="166">
        <f ca="1">Constants!$D$22+Constants!$D$22*Constants!$C$23/100*(N61-25)</f>
        <v>238.48420730629107</v>
      </c>
      <c r="P61" s="165">
        <f ca="1">IF(100*(Design!$C$27+D61+C61*IF(ISBLANK(Design!$B$41),Constants!$C$6,Design!$B$41)/1000*(1+Constants!$C$32/100*(N61-25)))/($B61+D61-C61*O61/1000)&gt;Design!$B$34,   (1-Constants!$D$20/1000000000*IF(ISBLANK(Design!$B$31),Design!$B$30/4,Design!$B$31/4)*1000000) * ($B61+D61-C61*O61/1000) - (D61+C61*(1+($A61-25)*Constants!$C$32/100)*IF(ISBLANK(Design!$B$41),Constants!$C$6/1000,Design!$B$41/1000)),  (1-Constants!$D$20/1000000000*IF(ISBLANK(Design!$B$31),Design!$B$30,Design!$B$31)*1000000) * ($B61+D61-C61*O61/1000) - (D61+C61*(1+($A61-25)*Constants!$C$32/100)*IF(ISBLANK(Design!$B$41),Constants!$C$6/1000,Design!$B$41/1000)))</f>
        <v>5.7393595924809837</v>
      </c>
      <c r="Q61" s="115">
        <f ca="1">IF(P61&gt;Design!$C$27,Design!$C$27,P61)</f>
        <v>4.9936842105263155</v>
      </c>
      <c r="R61" s="116">
        <f>2*Design!$D$6/3</f>
        <v>2</v>
      </c>
      <c r="S61" s="116">
        <f ca="1">FORECAST(R61, OFFSET(Design!$C$14:$C$16,MATCH(R61,Design!$B$14:$B$16,1)-1,0,2), OFFSET(Design!$B$14:$B$16,MATCH(R61,Design!$B$14:$B$16,1)-1,0,2))+(AB61-25)*Design!$B$17/1000</f>
        <v>0.38313777418939621</v>
      </c>
      <c r="T61" s="182">
        <f ca="1">IF(100*(Design!$C$27+S61+R61*IF(ISBLANK(Design!$B$41),Constants!$C$6,Design!$B$41)/1000*(1+Constants!$C$32/100*(AC61-25)))/($B61+S61-R61*AD61/1000)&gt;Design!$B$34,Design!$B$35,100*(Design!$C$27+S61+R61*IF(ISBLANK(Design!$B$41),Constants!$C$6,Design!$B$41)/1000*(1+Constants!$C$32/100*(AC61-25)))/($B61+S61-R61*AD61/1000))</f>
        <v>61.393975885184751</v>
      </c>
      <c r="U61" s="117">
        <f ca="1">IF(($B61-R61*IF(ISBLANK(Design!$B$41),Constants!$C$6,Design!$B$41)/1000*(1+Constants!$C$32/100*(AC61-25))-Design!$C$27)/(IF(ISBLANK(Design!$B$40),Design!$B$38,Design!$B$40)/1000000)*T61/100/(IF(ISBLANK(Design!$B$31),Design!$B$30,Design!$B$31)*1000000)&lt;0,0,($B61-R61*IF(ISBLANK(Design!$B$41),Constants!$C$6,Design!$B$41)/1000*(1+Constants!$C$32/100*(AC61-25))-Design!$C$27)/(IF(ISBLANK(Design!$B$40),Design!$B$38,Design!$B$40)/1000000)*T61/100/(IF(ISBLANK(Design!$B$31),Design!$B$30,Design!$B$31)*1000000))</f>
        <v>0.34291837932689273</v>
      </c>
      <c r="V61" s="183">
        <f>$B61*Constants!$C$21/1000+IF(ISBLANK(Design!$B$31),Design!$B$30,Design!$B$31)*1000000*Constants!$D$25/1000000000*($B61-Constants!$C$24)</f>
        <v>6.4369999999999955E-2</v>
      </c>
      <c r="W61" s="183">
        <f>$B61*R61*($B61/(Constants!$C$26*1000000000)*IF(ISBLANK(Design!$B$31),Design!$B$30,Design!$B$31)*1000000/2+$B61/(Constants!$C$27*1000000000)*IF(ISBLANK(Design!$B$31),Design!$B$30,Design!$B$31)*1000000/2)</f>
        <v>0.47145058333333295</v>
      </c>
      <c r="X61" s="183">
        <f t="shared" ca="1" si="14"/>
        <v>0.50559949291541162</v>
      </c>
      <c r="Y61" s="183">
        <f>Constants!$D$25/1000000000*Constants!$C$24*IF(ISBLANK(Design!$B$31),Design!$B$30,Design!$B$31)*1000000</f>
        <v>5.2499999999999998E-2</v>
      </c>
      <c r="Z61" s="183">
        <f t="shared" ca="1" si="23"/>
        <v>1.0939200762487447</v>
      </c>
      <c r="AA61" s="183">
        <f t="shared" ca="1" si="19"/>
        <v>0.2958285229930494</v>
      </c>
      <c r="AB61" s="184">
        <f ca="1">$A61+AA61*Design!$B$18</f>
        <v>101.86222581060382</v>
      </c>
      <c r="AC61" s="184">
        <f ca="1">Z61*Design!$C$11+$A61</f>
        <v>125.47504282120354</v>
      </c>
      <c r="AD61" s="184">
        <f ca="1">Constants!$D$22+Constants!$D$22*Constants!$C$23/100*(AC61-25)</f>
        <v>205.38003425696286</v>
      </c>
      <c r="AE61" s="183">
        <f ca="1">IF(100*(Design!$C$27+S61+R61*IF(ISBLANK(Design!$B$41),Constants!$C$6,Design!$B$41)/1000*(1+Constants!$C$32/100*(AC61-25)))/($B61+S61-R61*AD61/1000)&gt;Design!$B$34,   (1-Constants!$D$20/1000000000*IF(ISBLANK(Design!$B$31),Design!$B$30/4,Design!$B$31/4)*1000000) * ($B61+S61-R61*AD61/1000) - (S61+R61*(1+($A61-25)*Constants!$C$32/100)*IF(ISBLANK(Design!$B$41),Constants!$C$6/1000,Design!$B$41/1000)),  (1-Constants!$D$20/1000000000*IF(ISBLANK(Design!$B$31),Design!$B$30,Design!$B$31)*1000000) * ($B61+S61-R61*AD61/1000) - (S61+R61*(1+($A61-25)*Constants!$C$32/100)*IF(ISBLANK(Design!$B$41),Constants!$C$6/1000,Design!$B$41/1000)))</f>
        <v>6.0212888178366688</v>
      </c>
      <c r="AF61" s="117">
        <f ca="1">IF(AE61&gt;Design!$C$27,Design!$C$27,AE61)</f>
        <v>4.9936842105263155</v>
      </c>
      <c r="AG61" s="118">
        <f>Design!$D$6/3</f>
        <v>1</v>
      </c>
      <c r="AH61" s="118">
        <f ca="1">FORECAST(AG61, OFFSET(Design!$C$14:$C$16,MATCH(AG61,Design!$B$14:$B$16,1)-1,0,2), OFFSET(Design!$B$14:$B$16,MATCH(AG61,Design!$B$14:$B$16,1)-1,0,2))+(AQ61-25)*Design!$B$17/1000</f>
        <v>0.31483977086581783</v>
      </c>
      <c r="AI61" s="194">
        <f ca="1">IF(100*(Design!$C$27+AH61+AG61*IF(ISBLANK(Design!$B$41),Constants!$C$6,Design!$B$41)/1000*(1+Constants!$C$32/100*(AR61-25)))/($B61+AH61-AG61*AS61/1000)&gt;Design!$B$34,Design!$B$35,100*(Design!$C$27+AH61+AG61*IF(ISBLANK(Design!$B$41),Constants!$C$6,Design!$B$41)/1000*(1+Constants!$C$32/100*(AR61-25)))/($B61+AH61-AG61*AS61/1000))</f>
        <v>58.862665251260516</v>
      </c>
      <c r="AJ61" s="119">
        <f ca="1">IF(($B61-AG61*IF(ISBLANK(Design!$B$41),Constants!$C$6,Design!$B$41)/1000*(1+Constants!$C$32/100*(AR61-25))-Design!$C$27)/(IF(ISBLANK(Design!$B$40),Design!$B$38,Design!$B$40)/1000000)*AI61/100/(IF(ISBLANK(Design!$B$31),Design!$B$30,Design!$B$31)*1000000)&lt;0,0,($B61-AG61*IF(ISBLANK(Design!$B$41),Constants!$C$6,Design!$B$41)/1000*(1+Constants!$C$32/100*(AR61-25))-Design!$C$27)/(IF(ISBLANK(Design!$B$40),Design!$B$38,Design!$B$40)/1000000)*AI61/100/(IF(ISBLANK(Design!$B$31),Design!$B$30,Design!$B$31)*1000000))</f>
        <v>0.3344615468505861</v>
      </c>
      <c r="AK61" s="195">
        <f>$B61*Constants!$C$21/1000+IF(ISBLANK(Design!$B$31),Design!$B$30,Design!$B$31)*1000000*Constants!$D$25/1000000000*($B61-Constants!$C$24)</f>
        <v>6.4369999999999955E-2</v>
      </c>
      <c r="AL61" s="195">
        <f>$B61*AG61*($B61/(Constants!$C$26*1000000000)*IF(ISBLANK(Design!$B$31),Design!$B$30,Design!$B$31)*1000000/2+$B61/(Constants!$C$27*1000000000)*IF(ISBLANK(Design!$B$31),Design!$B$30,Design!$B$31)*1000000/2)</f>
        <v>0.23572529166666648</v>
      </c>
      <c r="AM61" s="195">
        <f t="shared" ca="1" si="15"/>
        <v>0.11093320263819298</v>
      </c>
      <c r="AN61" s="195">
        <f>Constants!$D$25/1000000000*Constants!$C$24*IF(ISBLANK(Design!$B$31),Design!$B$30,Design!$B$31)*1000000</f>
        <v>5.2499999999999998E-2</v>
      </c>
      <c r="AO61" s="195">
        <f t="shared" ca="1" si="24"/>
        <v>0.46352849430485943</v>
      </c>
      <c r="AP61" s="195">
        <f t="shared" ca="1" si="21"/>
        <v>0.12951669046323586</v>
      </c>
      <c r="AQ61" s="196">
        <f ca="1">$A61+AP61*Design!$B$18</f>
        <v>92.382451356404445</v>
      </c>
      <c r="AR61" s="196">
        <f ca="1">AO61*Design!$C$11+$A61</f>
        <v>102.1505542892798</v>
      </c>
      <c r="AS61" s="196">
        <f ca="1">Constants!$D$22+Constants!$D$22*Constants!$C$23/100*(AR61-25)</f>
        <v>186.72044343142383</v>
      </c>
      <c r="AT61" s="195">
        <f ca="1">IF(100*(Design!$C$27+AH61+AG61*IF(ISBLANK(Design!$B$41),Constants!$C$6,Design!$B$41)/1000*(1+Constants!$C$32/100*(AR61-25)))/($B61+AH61-AG61*AS61/1000)&gt;Design!$B$34,   (1-Constants!$D$20/1000000000*IF(ISBLANK(Design!$B$31),Design!$B$30/4,Design!$B$31/4)*1000000) * ($B61+AH61-AG61*AS61/1000) - (AH61+AG61*(1+($A61-25)*Constants!$C$32/100)*IF(ISBLANK(Design!$B$41),Constants!$C$6/1000,Design!$B$41/1000)),  (1-Constants!$D$20/1000000000*IF(ISBLANK(Design!$B$31),Design!$B$30,Design!$B$31)*1000000) * ($B61+AH61-AG61*AS61/1000) - (AH61+AG61*(1+($A61-25)*Constants!$C$32/100)*IF(ISBLANK(Design!$B$41),Constants!$C$6/1000,Design!$B$41/1000)))</f>
        <v>6.2584219801789835</v>
      </c>
      <c r="AU61" s="119">
        <f ca="1">IF(AT61&gt;Design!$C$27,Design!$C$27,AT61)</f>
        <v>4.9936842105263155</v>
      </c>
    </row>
    <row r="62" spans="1:47" ht="12.75" customHeight="1" x14ac:dyDescent="0.3">
      <c r="A62" s="112">
        <f>Design!$D$12</f>
        <v>85</v>
      </c>
      <c r="B62" s="113">
        <f t="shared" si="12"/>
        <v>8.7749999999999968</v>
      </c>
      <c r="C62" s="114">
        <f>Design!$D$6</f>
        <v>3</v>
      </c>
      <c r="D62" s="114">
        <f ca="1">FORECAST(C62, OFFSET(Design!$C$14:$C$16,MATCH(C62,Design!$B$14:$B$16,1)-1,0,2), OFFSET(Design!$B$14:$B$16,MATCH(C62,Design!$B$14:$B$16,1)-1,0,2))+(M62-25)*Design!$B$17/1000</f>
        <v>0.40181061580520372</v>
      </c>
      <c r="E62" s="173">
        <f ca="1">IF(100*(Design!$C$27+D62+C62*IF(ISBLANK(Design!$B$41),Constants!$C$6,Design!$B$41)/1000*(1+Constants!$C$32/100*(N62-25)))/($B62+D62-C62*O62/1000)&gt;Design!$B$34,Design!$B$35,100*(Design!$C$27+D62+C62*IF(ISBLANK(Design!$B$41),Constants!$C$6,Design!$B$41)/1000*(1+Constants!$C$32/100*(N62-25)))/($B62+D62-C62*O62/1000))</f>
        <v>66.250161505578347</v>
      </c>
      <c r="F62" s="115">
        <f ca="1">IF(($B62-C62*IF(ISBLANK(Design!$B$41),Constants!$C$6,Design!$B$41)/1000*(1+Constants!$C$32/100*(N62-25))-Design!$C$27)/(IF(ISBLANK(Design!$B$40),Design!$B$38,Design!$B$40)/1000000)*E62/100/(IF(ISBLANK(Design!$B$31),Design!$B$30,Design!$B$31)*1000000)&lt;0,0,($B62-C62*IF(ISBLANK(Design!$B$41),Constants!$C$6,Design!$B$41)/1000*(1+Constants!$C$32/100*(N62-25))-Design!$C$27)/(IF(ISBLANK(Design!$B$40),Design!$B$38,Design!$B$40)/1000000)*E62/100/(IF(ISBLANK(Design!$B$31),Design!$B$30,Design!$B$31)*1000000))</f>
        <v>0.34139173783088755</v>
      </c>
      <c r="G62" s="165">
        <f>B62*Constants!$C$21/1000+IF(ISBLANK(Design!$B$31),Design!$B$30,Design!$B$31)*1000000*Constants!$D$25/1000000000*(B62-Constants!$C$24)</f>
        <v>6.1574999999999963E-2</v>
      </c>
      <c r="H62" s="165">
        <f>B62*C62*(B62/(Constants!$C$26*1000000000)*IF(ISBLANK(Design!$B$31),Design!$B$30,Design!$B$31)*1000000/2+B62/(Constants!$C$27*1000000000)*IF(ISBLANK(Design!$B$31),Design!$B$30,Design!$B$31)*1000000/2)</f>
        <v>0.67375546874999959</v>
      </c>
      <c r="I62" s="165">
        <f t="shared" ca="1" si="13"/>
        <v>1.4232911025176977</v>
      </c>
      <c r="J62" s="165">
        <f>Constants!$D$25/1000000000*Constants!$C$24*IF(ISBLANK(Design!$B$31),Design!$B$30,Design!$B$31)*1000000</f>
        <v>5.2499999999999998E-2</v>
      </c>
      <c r="K62" s="165">
        <f t="shared" ca="1" si="22"/>
        <v>2.2111215712676975</v>
      </c>
      <c r="L62" s="165">
        <f t="shared" ca="1" si="17"/>
        <v>0.40683130166309206</v>
      </c>
      <c r="M62" s="166">
        <f ca="1">$A62+L62*Design!$B$18</f>
        <v>108.18938419479625</v>
      </c>
      <c r="N62" s="166">
        <f ca="1">K62*Design!$C$11+A62</f>
        <v>166.81149813690479</v>
      </c>
      <c r="O62" s="166">
        <f ca="1">Constants!$D$22+Constants!$D$22*Constants!$C$23/100*(N62-25)</f>
        <v>238.44919850952385</v>
      </c>
      <c r="P62" s="165">
        <f ca="1">IF(100*(Design!$C$27+D62+C62*IF(ISBLANK(Design!$B$41),Constants!$C$6,Design!$B$41)/1000*(1+Constants!$C$32/100*(N62-25)))/($B62+D62-C62*O62/1000)&gt;Design!$B$34,   (1-Constants!$D$20/1000000000*IF(ISBLANK(Design!$B$31),Design!$B$30/4,Design!$B$31/4)*1000000) * ($B62+D62-C62*O62/1000) - (D62+C62*(1+($A62-25)*Constants!$C$32/100)*IF(ISBLANK(Design!$B$41),Constants!$C$6/1000,Design!$B$41/1000)),  (1-Constants!$D$20/1000000000*IF(ISBLANK(Design!$B$31),Design!$B$30,Design!$B$31)*1000000) * ($B62+D62-C62*O62/1000) - (D62+C62*(1+($A62-25)*Constants!$C$32/100)*IF(ISBLANK(Design!$B$41),Constants!$C$6/1000,Design!$B$41/1000)))</f>
        <v>5.5828399999359046</v>
      </c>
      <c r="Q62" s="115">
        <f ca="1">IF(P62&gt;Design!$C$27,Design!$C$27,P62)</f>
        <v>4.9936842105263155</v>
      </c>
      <c r="R62" s="116">
        <f>2*Design!$D$6/3</f>
        <v>2</v>
      </c>
      <c r="S62" s="116">
        <f ca="1">FORECAST(R62, OFFSET(Design!$C$14:$C$16,MATCH(R62,Design!$B$14:$B$16,1)-1,0,2), OFFSET(Design!$B$14:$B$16,MATCH(R62,Design!$B$14:$B$16,1)-1,0,2))+(AB62-25)*Design!$B$17/1000</f>
        <v>0.38376791286937045</v>
      </c>
      <c r="T62" s="182">
        <f ca="1">IF(100*(Design!$C$27+S62+R62*IF(ISBLANK(Design!$B$41),Constants!$C$6,Design!$B$41)/1000*(1+Constants!$C$32/100*(AC62-25)))/($B62+S62-R62*AD62/1000)&gt;Design!$B$34,Design!$B$35,100*(Design!$C$27+S62+R62*IF(ISBLANK(Design!$B$41),Constants!$C$6,Design!$B$41)/1000*(1+Constants!$C$32/100*(AC62-25)))/($B62+S62-R62*AD62/1000))</f>
        <v>62.897698207375853</v>
      </c>
      <c r="U62" s="117">
        <f ca="1">IF(($B62-R62*IF(ISBLANK(Design!$B$41),Constants!$C$6,Design!$B$41)/1000*(1+Constants!$C$32/100*(AC62-25))-Design!$C$27)/(IF(ISBLANK(Design!$B$40),Design!$B$38,Design!$B$40)/1000000)*T62/100/(IF(ISBLANK(Design!$B$31),Design!$B$30,Design!$B$31)*1000000)&lt;0,0,($B62-R62*IF(ISBLANK(Design!$B$41),Constants!$C$6,Design!$B$41)/1000*(1+Constants!$C$32/100*(AC62-25))-Design!$C$27)/(IF(ISBLANK(Design!$B$40),Design!$B$38,Design!$B$40)/1000000)*T62/100/(IF(ISBLANK(Design!$B$31),Design!$B$30,Design!$B$31)*1000000))</f>
        <v>0.3318201558527118</v>
      </c>
      <c r="V62" s="183">
        <f>$B62*Constants!$C$21/1000+IF(ISBLANK(Design!$B$31),Design!$B$30,Design!$B$31)*1000000*Constants!$D$25/1000000000*($B62-Constants!$C$24)</f>
        <v>6.1574999999999963E-2</v>
      </c>
      <c r="W62" s="183">
        <f>$B62*R62*($B62/(Constants!$C$26*1000000000)*IF(ISBLANK(Design!$B$31),Design!$B$30,Design!$B$31)*1000000/2+$B62/(Constants!$C$27*1000000000)*IF(ISBLANK(Design!$B$31),Design!$B$30,Design!$B$31)*1000000/2)</f>
        <v>0.44917031249999972</v>
      </c>
      <c r="X62" s="183">
        <f t="shared" ca="1" si="14"/>
        <v>0.5168722860017736</v>
      </c>
      <c r="Y62" s="183">
        <f>Constants!$D$25/1000000000*Constants!$C$24*IF(ISBLANK(Design!$B$31),Design!$B$30,Design!$B$31)*1000000</f>
        <v>5.2499999999999998E-2</v>
      </c>
      <c r="Z62" s="183">
        <f t="shared" ca="1" si="23"/>
        <v>1.0801175985017732</v>
      </c>
      <c r="AA62" s="183">
        <f t="shared" ca="1" si="19"/>
        <v>0.28477345843209745</v>
      </c>
      <c r="AB62" s="184">
        <f ca="1">$A62+AA62*Design!$B$18</f>
        <v>101.23208713062955</v>
      </c>
      <c r="AC62" s="184">
        <f ca="1">Z62*Design!$C$11+$A62</f>
        <v>124.96435114456561</v>
      </c>
      <c r="AD62" s="184">
        <f ca="1">Constants!$D$22+Constants!$D$22*Constants!$C$23/100*(AC62-25)</f>
        <v>204.97148091565248</v>
      </c>
      <c r="AE62" s="183">
        <f ca="1">IF(100*(Design!$C$27+S62+R62*IF(ISBLANK(Design!$B$41),Constants!$C$6,Design!$B$41)/1000*(1+Constants!$C$32/100*(AC62-25)))/($B62+S62-R62*AD62/1000)&gt;Design!$B$34,   (1-Constants!$D$20/1000000000*IF(ISBLANK(Design!$B$31),Design!$B$30/4,Design!$B$31/4)*1000000) * ($B62+S62-R62*AD62/1000) - (S62+R62*(1+($A62-25)*Constants!$C$32/100)*IF(ISBLANK(Design!$B$41),Constants!$C$6/1000,Design!$B$41/1000)),  (1-Constants!$D$20/1000000000*IF(ISBLANK(Design!$B$31),Design!$B$30,Design!$B$31)*1000000) * ($B62+S62-R62*AD62/1000) - (S62+R62*(1+($A62-25)*Constants!$C$32/100)*IF(ISBLANK(Design!$B$41),Constants!$C$6/1000,Design!$B$41/1000)))</f>
        <v>5.8654058265352997</v>
      </c>
      <c r="AF62" s="117">
        <f ca="1">IF(AE62&gt;Design!$C$27,Design!$C$27,AE62)</f>
        <v>4.9936842105263155</v>
      </c>
      <c r="AG62" s="118">
        <f>Design!$D$6/3</f>
        <v>1</v>
      </c>
      <c r="AH62" s="118">
        <f ca="1">FORECAST(AG62, OFFSET(Design!$C$14:$C$16,MATCH(AG62,Design!$B$14:$B$16,1)-1,0,2), OFFSET(Design!$B$14:$B$16,MATCH(AG62,Design!$B$14:$B$16,1)-1,0,2))+(AQ62-25)*Design!$B$17/1000</f>
        <v>0.31508885842766138</v>
      </c>
      <c r="AI62" s="194">
        <f ca="1">IF(100*(Design!$C$27+AH62+AG62*IF(ISBLANK(Design!$B$41),Constants!$C$6,Design!$B$41)/1000*(1+Constants!$C$32/100*(AR62-25)))/($B62+AH62-AG62*AS62/1000)&gt;Design!$B$34,Design!$B$35,100*(Design!$C$27+AH62+AG62*IF(ISBLANK(Design!$B$41),Constants!$C$6,Design!$B$41)/1000*(1+Constants!$C$32/100*(AR62-25)))/($B62+AH62-AG62*AS62/1000))</f>
        <v>60.282082374346608</v>
      </c>
      <c r="AJ62" s="119">
        <f ca="1">IF(($B62-AG62*IF(ISBLANK(Design!$B$41),Constants!$C$6,Design!$B$41)/1000*(1+Constants!$C$32/100*(AR62-25))-Design!$C$27)/(IF(ISBLANK(Design!$B$40),Design!$B$38,Design!$B$40)/1000000)*AI62/100/(IF(ISBLANK(Design!$B$31),Design!$B$30,Design!$B$31)*1000000)&lt;0,0,($B62-AG62*IF(ISBLANK(Design!$B$41),Constants!$C$6,Design!$B$41)/1000*(1+Constants!$C$32/100*(AR62-25))-Design!$C$27)/(IF(ISBLANK(Design!$B$40),Design!$B$38,Design!$B$40)/1000000)*AI62/100/(IF(ISBLANK(Design!$B$31),Design!$B$30,Design!$B$31)*1000000))</f>
        <v>0.3238310999468676</v>
      </c>
      <c r="AK62" s="195">
        <f>$B62*Constants!$C$21/1000+IF(ISBLANK(Design!$B$31),Design!$B$30,Design!$B$31)*1000000*Constants!$D$25/1000000000*($B62-Constants!$C$24)</f>
        <v>6.1574999999999963E-2</v>
      </c>
      <c r="AL62" s="195">
        <f>$B62*AG62*($B62/(Constants!$C$26*1000000000)*IF(ISBLANK(Design!$B$31),Design!$B$30,Design!$B$31)*1000000/2+$B62/(Constants!$C$27*1000000000)*IF(ISBLANK(Design!$B$31),Design!$B$30,Design!$B$31)*1000000/2)</f>
        <v>0.22458515624999986</v>
      </c>
      <c r="AM62" s="195">
        <f t="shared" ca="1" si="15"/>
        <v>0.11333501789115878</v>
      </c>
      <c r="AN62" s="195">
        <f>Constants!$D$25/1000000000*Constants!$C$24*IF(ISBLANK(Design!$B$31),Design!$B$30,Design!$B$31)*1000000</f>
        <v>5.2499999999999998E-2</v>
      </c>
      <c r="AO62" s="195">
        <f t="shared" ca="1" si="24"/>
        <v>0.45199517414115858</v>
      </c>
      <c r="AP62" s="195">
        <f t="shared" ca="1" si="21"/>
        <v>0.12514673323791017</v>
      </c>
      <c r="AQ62" s="196">
        <f ca="1">$A62+AP62*Design!$B$18</f>
        <v>92.133363794560879</v>
      </c>
      <c r="AR62" s="196">
        <f ca="1">AO62*Design!$C$11+$A62</f>
        <v>101.72382144322287</v>
      </c>
      <c r="AS62" s="196">
        <f ca="1">Constants!$D$22+Constants!$D$22*Constants!$C$23/100*(AR62-25)</f>
        <v>186.37905715457831</v>
      </c>
      <c r="AT62" s="195">
        <f ca="1">IF(100*(Design!$C$27+AH62+AG62*IF(ISBLANK(Design!$B$41),Constants!$C$6,Design!$B$41)/1000*(1+Constants!$C$32/100*(AR62-25)))/($B62+AH62-AG62*AS62/1000)&gt;Design!$B$34,   (1-Constants!$D$20/1000000000*IF(ISBLANK(Design!$B$31),Design!$B$30/4,Design!$B$31/4)*1000000) * ($B62+AH62-AG62*AS62/1000) - (AH62+AG62*(1+($A62-25)*Constants!$C$32/100)*IF(ISBLANK(Design!$B$41),Constants!$C$6/1000,Design!$B$41/1000)),  (1-Constants!$D$20/1000000000*IF(ISBLANK(Design!$B$31),Design!$B$30,Design!$B$31)*1000000) * ($B62+AH62-AG62*AS62/1000) - (AH62+AG62*(1+($A62-25)*Constants!$C$32/100)*IF(ISBLANK(Design!$B$41),Constants!$C$6/1000,Design!$B$41/1000)))</f>
        <v>6.1022971670978672</v>
      </c>
      <c r="AU62" s="119">
        <f ca="1">IF(AT62&gt;Design!$C$27,Design!$C$27,AT62)</f>
        <v>4.9936842105263155</v>
      </c>
    </row>
    <row r="63" spans="1:47" ht="12.75" customHeight="1" x14ac:dyDescent="0.3">
      <c r="A63" s="112">
        <f>Design!$D$12</f>
        <v>85</v>
      </c>
      <c r="B63" s="113">
        <f t="shared" si="12"/>
        <v>8.5599999999999969</v>
      </c>
      <c r="C63" s="114">
        <f>Design!$D$6</f>
        <v>3</v>
      </c>
      <c r="D63" s="114">
        <f ca="1">FORECAST(C63, OFFSET(Design!$C$14:$C$16,MATCH(C63,Design!$B$14:$B$16,1)-1,0,2), OFFSET(Design!$B$14:$B$16,MATCH(C63,Design!$B$14:$B$16,1)-1,0,2))+(M63-25)*Design!$B$17/1000</f>
        <v>0.40293999906020822</v>
      </c>
      <c r="E63" s="173">
        <f ca="1">IF(100*(Design!$C$27+D63+C63*IF(ISBLANK(Design!$B$41),Constants!$C$6,Design!$B$41)/1000*(1+Constants!$C$32/100*(N63-25)))/($B63+D63-C63*O63/1000)&gt;Design!$B$34,Design!$B$35,100*(Design!$C$27+D63+C63*IF(ISBLANK(Design!$B$41),Constants!$C$6,Design!$B$41)/1000*(1+Constants!$C$32/100*(N63-25)))/($B63+D63-C63*O63/1000))</f>
        <v>67.983855226594585</v>
      </c>
      <c r="F63" s="115">
        <f ca="1">IF(($B63-C63*IF(ISBLANK(Design!$B$41),Constants!$C$6,Design!$B$41)/1000*(1+Constants!$C$32/100*(N63-25))-Design!$C$27)/(IF(ISBLANK(Design!$B$40),Design!$B$38,Design!$B$40)/1000000)*E63/100/(IF(ISBLANK(Design!$B$31),Design!$B$30,Design!$B$31)*1000000)&lt;0,0,($B63-C63*IF(ISBLANK(Design!$B$41),Constants!$C$6,Design!$B$41)/1000*(1+Constants!$C$32/100*(N63-25))-Design!$C$27)/(IF(ISBLANK(Design!$B$40),Design!$B$38,Design!$B$40)/1000000)*E63/100/(IF(ISBLANK(Design!$B$31),Design!$B$30,Design!$B$31)*1000000))</f>
        <v>0.32922984349442413</v>
      </c>
      <c r="G63" s="165">
        <f>B63*Constants!$C$21/1000+IF(ISBLANK(Design!$B$31),Design!$B$30,Design!$B$31)*1000000*Constants!$D$25/1000000000*(B63-Constants!$C$24)</f>
        <v>5.8779999999999957E-2</v>
      </c>
      <c r="H63" s="165">
        <f>B63*C63*(B63/(Constants!$C$26*1000000000)*IF(ISBLANK(Design!$B$31),Design!$B$30,Design!$B$31)*1000000/2+B63/(Constants!$C$27*1000000000)*IF(ISBLANK(Design!$B$31),Design!$B$30,Design!$B$31)*1000000/2)</f>
        <v>0.6411439999999996</v>
      </c>
      <c r="I63" s="165">
        <f t="shared" ca="1" si="13"/>
        <v>1.4608098130815601</v>
      </c>
      <c r="J63" s="165">
        <f>Constants!$D$25/1000000000*Constants!$C$24*IF(ISBLANK(Design!$B$31),Design!$B$30,Design!$B$31)*1000000</f>
        <v>5.2499999999999998E-2</v>
      </c>
      <c r="K63" s="165">
        <f t="shared" ca="1" si="22"/>
        <v>2.2132338130815601</v>
      </c>
      <c r="L63" s="165">
        <f t="shared" ca="1" si="17"/>
        <v>0.38701756034722407</v>
      </c>
      <c r="M63" s="166">
        <f ca="1">$A63+L63*Design!$B$18</f>
        <v>107.06000093979176</v>
      </c>
      <c r="N63" s="166">
        <f ca="1">K63*Design!$C$11+A63</f>
        <v>166.88965108401771</v>
      </c>
      <c r="O63" s="166">
        <f ca="1">Constants!$D$22+Constants!$D$22*Constants!$C$23/100*(N63-25)</f>
        <v>238.51172086721419</v>
      </c>
      <c r="P63" s="165">
        <f ca="1">IF(100*(Design!$C$27+D63+C63*IF(ISBLANK(Design!$B$41),Constants!$C$6,Design!$B$41)/1000*(1+Constants!$C$32/100*(N63-25)))/($B63+D63-C63*O63/1000)&gt;Design!$B$34,   (1-Constants!$D$20/1000000000*IF(ISBLANK(Design!$B$31),Design!$B$30/4,Design!$B$31/4)*1000000) * ($B63+D63-C63*O63/1000) - (D63+C63*(1+($A63-25)*Constants!$C$32/100)*IF(ISBLANK(Design!$B$41),Constants!$C$6/1000,Design!$B$41/1000)),  (1-Constants!$D$20/1000000000*IF(ISBLANK(Design!$B$31),Design!$B$30,Design!$B$31)*1000000) * ($B63+D63-C63*O63/1000) - (D63+C63*(1+($A63-25)*Constants!$C$32/100)*IF(ISBLANK(Design!$B$41),Constants!$C$6/1000,Design!$B$41/1000)))</f>
        <v>5.4260903170451664</v>
      </c>
      <c r="Q63" s="115">
        <f ca="1">IF(P63&gt;Design!$C$27,Design!$C$27,P63)</f>
        <v>4.9936842105263155</v>
      </c>
      <c r="R63" s="116">
        <f>2*Design!$D$6/3</f>
        <v>2</v>
      </c>
      <c r="S63" s="116">
        <f ca="1">FORECAST(R63, OFFSET(Design!$C$14:$C$16,MATCH(R63,Design!$B$14:$B$16,1)-1,0,2), OFFSET(Design!$B$14:$B$16,MATCH(R63,Design!$B$14:$B$16,1)-1,0,2))+(AB63-25)*Design!$B$17/1000</f>
        <v>0.3844321822044075</v>
      </c>
      <c r="T63" s="182">
        <f ca="1">IF(100*(Design!$C$27+S63+R63*IF(ISBLANK(Design!$B$41),Constants!$C$6,Design!$B$41)/1000*(1+Constants!$C$32/100*(AC63-25)))/($B63+S63-R63*AD63/1000)&gt;Design!$B$34,Design!$B$35,100*(Design!$C$27+S63+R63*IF(ISBLANK(Design!$B$41),Constants!$C$6,Design!$B$41)/1000*(1+Constants!$C$32/100*(AC63-25)))/($B63+S63-R63*AD63/1000))</f>
        <v>64.47753035621632</v>
      </c>
      <c r="U63" s="117">
        <f ca="1">IF(($B63-R63*IF(ISBLANK(Design!$B$41),Constants!$C$6,Design!$B$41)/1000*(1+Constants!$C$32/100*(AC63-25))-Design!$C$27)/(IF(ISBLANK(Design!$B$40),Design!$B$38,Design!$B$40)/1000000)*T63/100/(IF(ISBLANK(Design!$B$31),Design!$B$30,Design!$B$31)*1000000)&lt;0,0,($B63-R63*IF(ISBLANK(Design!$B$41),Constants!$C$6,Design!$B$41)/1000*(1+Constants!$C$32/100*(AC63-25))-Design!$C$27)/(IF(ISBLANK(Design!$B$40),Design!$B$38,Design!$B$40)/1000000)*T63/100/(IF(ISBLANK(Design!$B$31),Design!$B$30,Design!$B$31)*1000000))</f>
        <v>0.32016613650981429</v>
      </c>
      <c r="V63" s="183">
        <f>$B63*Constants!$C$21/1000+IF(ISBLANK(Design!$B$31),Design!$B$30,Design!$B$31)*1000000*Constants!$D$25/1000000000*($B63-Constants!$C$24)</f>
        <v>5.8779999999999957E-2</v>
      </c>
      <c r="W63" s="183">
        <f>$B63*R63*($B63/(Constants!$C$26*1000000000)*IF(ISBLANK(Design!$B$31),Design!$B$30,Design!$B$31)*1000000/2+$B63/(Constants!$C$27*1000000000)*IF(ISBLANK(Design!$B$31),Design!$B$30,Design!$B$31)*1000000/2)</f>
        <v>0.42742933333333305</v>
      </c>
      <c r="X63" s="183">
        <f t="shared" ca="1" si="14"/>
        <v>0.52880709105865398</v>
      </c>
      <c r="Y63" s="183">
        <f>Constants!$D$25/1000000000*Constants!$C$24*IF(ISBLANK(Design!$B$31),Design!$B$30,Design!$B$31)*1000000</f>
        <v>5.2499999999999998E-2</v>
      </c>
      <c r="Z63" s="183">
        <f t="shared" ca="1" si="23"/>
        <v>1.067516424391987</v>
      </c>
      <c r="AA63" s="183">
        <f t="shared" ca="1" si="19"/>
        <v>0.27311961044899169</v>
      </c>
      <c r="AB63" s="184">
        <f ca="1">$A63+AA63*Design!$B$18</f>
        <v>100.56781779559253</v>
      </c>
      <c r="AC63" s="184">
        <f ca="1">Z63*Design!$C$11+$A63</f>
        <v>124.49810770250352</v>
      </c>
      <c r="AD63" s="184">
        <f ca="1">Constants!$D$22+Constants!$D$22*Constants!$C$23/100*(AC63-25)</f>
        <v>204.59848616200281</v>
      </c>
      <c r="AE63" s="183">
        <f ca="1">IF(100*(Design!$C$27+S63+R63*IF(ISBLANK(Design!$B$41),Constants!$C$6,Design!$B$41)/1000*(1+Constants!$C$32/100*(AC63-25)))/($B63+S63-R63*AD63/1000)&gt;Design!$B$34,   (1-Constants!$D$20/1000000000*IF(ISBLANK(Design!$B$31),Design!$B$30/4,Design!$B$31/4)*1000000) * ($B63+S63-R63*AD63/1000) - (S63+R63*(1+($A63-25)*Constants!$C$32/100)*IF(ISBLANK(Design!$B$41),Constants!$C$6/1000,Design!$B$41/1000)),  (1-Constants!$D$20/1000000000*IF(ISBLANK(Design!$B$31),Design!$B$30,Design!$B$31)*1000000) * ($B63+S63-R63*AD63/1000) - (S63+R63*(1+($A63-25)*Constants!$C$32/100)*IF(ISBLANK(Design!$B$41),Constants!$C$6/1000,Design!$B$41/1000)))</f>
        <v>5.7094618153786429</v>
      </c>
      <c r="AF63" s="117">
        <f ca="1">IF(AE63&gt;Design!$C$27,Design!$C$27,AE63)</f>
        <v>4.9936842105263155</v>
      </c>
      <c r="AG63" s="118">
        <f>Design!$D$6/3</f>
        <v>1</v>
      </c>
      <c r="AH63" s="118">
        <f ca="1">FORECAST(AG63, OFFSET(Design!$C$14:$C$16,MATCH(AG63,Design!$B$14:$B$16,1)-1,0,2), OFFSET(Design!$B$14:$B$16,MATCH(AG63,Design!$B$14:$B$16,1)-1,0,2))+(AQ63-25)*Design!$B$17/1000</f>
        <v>0.31535069238333235</v>
      </c>
      <c r="AI63" s="194">
        <f ca="1">IF(100*(Design!$C$27+AH63+AG63*IF(ISBLANK(Design!$B$41),Constants!$C$6,Design!$B$41)/1000*(1+Constants!$C$32/100*(AR63-25)))/($B63+AH63-AG63*AS63/1000)&gt;Design!$B$34,Design!$B$35,100*(Design!$C$27+AH63+AG63*IF(ISBLANK(Design!$B$41),Constants!$C$6,Design!$B$41)/1000*(1+Constants!$C$32/100*(AR63-25)))/($B63+AH63-AG63*AS63/1000))</f>
        <v>61.771717018555776</v>
      </c>
      <c r="AJ63" s="119">
        <f ca="1">IF(($B63-AG63*IF(ISBLANK(Design!$B$41),Constants!$C$6,Design!$B$41)/1000*(1+Constants!$C$32/100*(AR63-25))-Design!$C$27)/(IF(ISBLANK(Design!$B$40),Design!$B$38,Design!$B$40)/1000000)*AI63/100/(IF(ISBLANK(Design!$B$31),Design!$B$30,Design!$B$31)*1000000)&lt;0,0,($B63-AG63*IF(ISBLANK(Design!$B$41),Constants!$C$6,Design!$B$41)/1000*(1+Constants!$C$32/100*(AR63-25))-Design!$C$27)/(IF(ISBLANK(Design!$B$40),Design!$B$38,Design!$B$40)/1000000)*AI63/100/(IF(ISBLANK(Design!$B$31),Design!$B$30,Design!$B$31)*1000000))</f>
        <v>0.31267542334876408</v>
      </c>
      <c r="AK63" s="195">
        <f>$B63*Constants!$C$21/1000+IF(ISBLANK(Design!$B$31),Design!$B$30,Design!$B$31)*1000000*Constants!$D$25/1000000000*($B63-Constants!$C$24)</f>
        <v>5.8779999999999957E-2</v>
      </c>
      <c r="AL63" s="195">
        <f>$B63*AG63*($B63/(Constants!$C$26*1000000000)*IF(ISBLANK(Design!$B$31),Design!$B$30,Design!$B$31)*1000000/2+$B63/(Constants!$C$27*1000000000)*IF(ISBLANK(Design!$B$31),Design!$B$30,Design!$B$31)*1000000/2)</f>
        <v>0.21371466666666653</v>
      </c>
      <c r="AM63" s="195">
        <f t="shared" ca="1" si="15"/>
        <v>0.11586220587842179</v>
      </c>
      <c r="AN63" s="195">
        <f>Constants!$D$25/1000000000*Constants!$C$24*IF(ISBLANK(Design!$B$31),Design!$B$30,Design!$B$31)*1000000</f>
        <v>5.2499999999999998E-2</v>
      </c>
      <c r="AO63" s="195">
        <f t="shared" ca="1" si="24"/>
        <v>0.44085687254508826</v>
      </c>
      <c r="AP63" s="195">
        <f t="shared" ca="1" si="21"/>
        <v>0.12055315506824399</v>
      </c>
      <c r="AQ63" s="196">
        <f ca="1">$A63+AP63*Design!$B$18</f>
        <v>91.871529838889913</v>
      </c>
      <c r="AR63" s="196">
        <f ca="1">AO63*Design!$C$11+$A63</f>
        <v>101.31170428416826</v>
      </c>
      <c r="AS63" s="196">
        <f ca="1">Constants!$D$22+Constants!$D$22*Constants!$C$23/100*(AR63-25)</f>
        <v>186.04936342733461</v>
      </c>
      <c r="AT63" s="195">
        <f ca="1">IF(100*(Design!$C$27+AH63+AG63*IF(ISBLANK(Design!$B$41),Constants!$C$6,Design!$B$41)/1000*(1+Constants!$C$32/100*(AR63-25)))/($B63+AH63-AG63*AS63/1000)&gt;Design!$B$34,   (1-Constants!$D$20/1000000000*IF(ISBLANK(Design!$B$31),Design!$B$30/4,Design!$B$31/4)*1000000) * ($B63+AH63-AG63*AS63/1000) - (AH63+AG63*(1+($A63-25)*Constants!$C$32/100)*IF(ISBLANK(Design!$B$41),Constants!$C$6/1000,Design!$B$41/1000)),  (1-Constants!$D$20/1000000000*IF(ISBLANK(Design!$B$31),Design!$B$30,Design!$B$31)*1000000) * ($B63+AH63-AG63*AS63/1000) - (AH63+AG63*(1+($A63-25)*Constants!$C$32/100)*IF(ISBLANK(Design!$B$41),Constants!$C$6/1000,Design!$B$41/1000)))</f>
        <v>5.9461603737676745</v>
      </c>
      <c r="AU63" s="119">
        <f ca="1">IF(AT63&gt;Design!$C$27,Design!$C$27,AT63)</f>
        <v>4.9936842105263155</v>
      </c>
    </row>
    <row r="64" spans="1:47" ht="12.75" customHeight="1" x14ac:dyDescent="0.3">
      <c r="A64" s="112">
        <f>Design!$D$12</f>
        <v>85</v>
      </c>
      <c r="B64" s="113">
        <f t="shared" si="12"/>
        <v>8.3449999999999971</v>
      </c>
      <c r="C64" s="114">
        <f>Design!$D$6</f>
        <v>3</v>
      </c>
      <c r="D64" s="114">
        <f ca="1">FORECAST(C64, OFFSET(Design!$C$14:$C$16,MATCH(C64,Design!$B$14:$B$16,1)-1,0,2), OFFSET(Design!$B$14:$B$16,MATCH(C64,Design!$B$14:$B$16,1)-1,0,2))+(M64-25)*Design!$B$17/1000</f>
        <v>0.40413899861602653</v>
      </c>
      <c r="E64" s="173">
        <f ca="1">IF(100*(Design!$C$27+D64+C64*IF(ISBLANK(Design!$B$41),Constants!$C$6,Design!$B$41)/1000*(1+Constants!$C$32/100*(N64-25)))/($B64+D64-C64*O64/1000)&gt;Design!$B$34,Design!$B$35,100*(Design!$C$27+D64+C64*IF(ISBLANK(Design!$B$41),Constants!$C$6,Design!$B$41)/1000*(1+Constants!$C$32/100*(N64-25)))/($B64+D64-C64*O64/1000))</f>
        <v>69.81381144656558</v>
      </c>
      <c r="F64" s="115">
        <f ca="1">IF(($B64-C64*IF(ISBLANK(Design!$B$41),Constants!$C$6,Design!$B$41)/1000*(1+Constants!$C$32/100*(N64-25))-Design!$C$27)/(IF(ISBLANK(Design!$B$40),Design!$B$38,Design!$B$40)/1000000)*E64/100/(IF(ISBLANK(Design!$B$31),Design!$B$30,Design!$B$31)*1000000)&lt;0,0,($B64-C64*IF(ISBLANK(Design!$B$41),Constants!$C$6,Design!$B$41)/1000*(1+Constants!$C$32/100*(N64-25))-Design!$C$27)/(IF(ISBLANK(Design!$B$40),Design!$B$38,Design!$B$40)/1000000)*E64/100/(IF(ISBLANK(Design!$B$31),Design!$B$30,Design!$B$31)*1000000))</f>
        <v>0.31642128429525646</v>
      </c>
      <c r="G64" s="165">
        <f>B64*Constants!$C$21/1000+IF(ISBLANK(Design!$B$31),Design!$B$30,Design!$B$31)*1000000*Constants!$D$25/1000000000*(B64-Constants!$C$24)</f>
        <v>5.5984999999999965E-2</v>
      </c>
      <c r="H64" s="165">
        <f>B64*C64*(B64/(Constants!$C$26*1000000000)*IF(ISBLANK(Design!$B$31),Design!$B$30,Design!$B$31)*1000000/2+B64/(Constants!$C$27*1000000000)*IF(ISBLANK(Design!$B$31),Design!$B$30,Design!$B$31)*1000000/2)</f>
        <v>0.60934146874999962</v>
      </c>
      <c r="I64" s="165">
        <f t="shared" ca="1" si="13"/>
        <v>1.5010706929586601</v>
      </c>
      <c r="J64" s="165">
        <f>Constants!$D$25/1000000000*Constants!$C$24*IF(ISBLANK(Design!$B$31),Design!$B$30,Design!$B$31)*1000000</f>
        <v>5.2499999999999998E-2</v>
      </c>
      <c r="K64" s="165">
        <f t="shared" ca="1" si="22"/>
        <v>2.2188971617086599</v>
      </c>
      <c r="L64" s="165">
        <f t="shared" ca="1" si="17"/>
        <v>0.36598248042058656</v>
      </c>
      <c r="M64" s="166">
        <f ca="1">$A64+L64*Design!$B$18</f>
        <v>105.86100138397343</v>
      </c>
      <c r="N64" s="166">
        <f ca="1">K64*Design!$C$11+A64</f>
        <v>167.0991949832204</v>
      </c>
      <c r="O64" s="166">
        <f ca="1">Constants!$D$22+Constants!$D$22*Constants!$C$23/100*(N64-25)</f>
        <v>238.67935598657633</v>
      </c>
      <c r="P64" s="165">
        <f ca="1">IF(100*(Design!$C$27+D64+C64*IF(ISBLANK(Design!$B$41),Constants!$C$6,Design!$B$41)/1000*(1+Constants!$C$32/100*(N64-25)))/($B64+D64-C64*O64/1000)&gt;Design!$B$34,   (1-Constants!$D$20/1000000000*IF(ISBLANK(Design!$B$31),Design!$B$30/4,Design!$B$31/4)*1000000) * ($B64+D64-C64*O64/1000) - (D64+C64*(1+($A64-25)*Constants!$C$32/100)*IF(ISBLANK(Design!$B$41),Constants!$C$6/1000,Design!$B$41/1000)),  (1-Constants!$D$20/1000000000*IF(ISBLANK(Design!$B$31),Design!$B$30,Design!$B$31)*1000000) * ($B64+D64-C64*O64/1000) - (D64+C64*(1+($A64-25)*Constants!$C$32/100)*IF(ISBLANK(Design!$B$41),Constants!$C$6/1000,Design!$B$41/1000)))</f>
        <v>5.2690923779710994</v>
      </c>
      <c r="Q64" s="115">
        <f ca="1">IF(P64&gt;Design!$C$27,Design!$C$27,P64)</f>
        <v>4.9936842105263155</v>
      </c>
      <c r="R64" s="116">
        <f>2*Design!$D$6/3</f>
        <v>2</v>
      </c>
      <c r="S64" s="116">
        <f ca="1">FORECAST(R64, OFFSET(Design!$C$14:$C$16,MATCH(R64,Design!$B$14:$B$16,1)-1,0,2), OFFSET(Design!$B$14:$B$16,MATCH(R64,Design!$B$14:$B$16,1)-1,0,2))+(AB64-25)*Design!$B$17/1000</f>
        <v>0.38513343231768637</v>
      </c>
      <c r="T64" s="182">
        <f ca="1">IF(100*(Design!$C$27+S64+R64*IF(ISBLANK(Design!$B$41),Constants!$C$6,Design!$B$41)/1000*(1+Constants!$C$32/100*(AC64-25)))/($B64+S64-R64*AD64/1000)&gt;Design!$B$34,Design!$B$35,100*(Design!$C$27+S64+R64*IF(ISBLANK(Design!$B$41),Constants!$C$6,Design!$B$41)/1000*(1+Constants!$C$32/100*(AC64-25)))/($B64+S64-R64*AD64/1000))</f>
        <v>66.139400660034795</v>
      </c>
      <c r="U64" s="117">
        <f ca="1">IF(($B64-R64*IF(ISBLANK(Design!$B$41),Constants!$C$6,Design!$B$41)/1000*(1+Constants!$C$32/100*(AC64-25))-Design!$C$27)/(IF(ISBLANK(Design!$B$40),Design!$B$38,Design!$B$40)/1000000)*T64/100/(IF(ISBLANK(Design!$B$31),Design!$B$30,Design!$B$31)*1000000)&lt;0,0,($B64-R64*IF(ISBLANK(Design!$B$41),Constants!$C$6,Design!$B$41)/1000*(1+Constants!$C$32/100*(AC64-25))-Design!$C$27)/(IF(ISBLANK(Design!$B$40),Design!$B$38,Design!$B$40)/1000000)*T64/100/(IF(ISBLANK(Design!$B$31),Design!$B$30,Design!$B$31)*1000000))</f>
        <v>0.3079129594363233</v>
      </c>
      <c r="V64" s="183">
        <f>$B64*Constants!$C$21/1000+IF(ISBLANK(Design!$B$31),Design!$B$30,Design!$B$31)*1000000*Constants!$D$25/1000000000*($B64-Constants!$C$24)</f>
        <v>5.5984999999999965E-2</v>
      </c>
      <c r="W64" s="183">
        <f>$B64*R64*($B64/(Constants!$C$26*1000000000)*IF(ISBLANK(Design!$B$31),Design!$B$30,Design!$B$31)*1000000/2+$B64/(Constants!$C$27*1000000000)*IF(ISBLANK(Design!$B$31),Design!$B$30,Design!$B$31)*1000000/2)</f>
        <v>0.4062276458333331</v>
      </c>
      <c r="X64" s="183">
        <f t="shared" ca="1" si="14"/>
        <v>0.54145991506184199</v>
      </c>
      <c r="Y64" s="183">
        <f>Constants!$D$25/1000000000*Constants!$C$24*IF(ISBLANK(Design!$B$31),Design!$B$30,Design!$B$31)*1000000</f>
        <v>5.2499999999999998E-2</v>
      </c>
      <c r="Z64" s="183">
        <f t="shared" ca="1" si="23"/>
        <v>1.0561725608951751</v>
      </c>
      <c r="AA64" s="183">
        <f t="shared" ca="1" si="19"/>
        <v>0.26081697688269567</v>
      </c>
      <c r="AB64" s="184">
        <f ca="1">$A64+AA64*Design!$B$18</f>
        <v>99.866567682313658</v>
      </c>
      <c r="AC64" s="184">
        <f ca="1">Z64*Design!$C$11+$A64</f>
        <v>124.07838475312147</v>
      </c>
      <c r="AD64" s="184">
        <f ca="1">Constants!$D$22+Constants!$D$22*Constants!$C$23/100*(AC64-25)</f>
        <v>204.26270780249718</v>
      </c>
      <c r="AE64" s="183">
        <f ca="1">IF(100*(Design!$C$27+S64+R64*IF(ISBLANK(Design!$B$41),Constants!$C$6,Design!$B$41)/1000*(1+Constants!$C$32/100*(AC64-25)))/($B64+S64-R64*AD64/1000)&gt;Design!$B$34,   (1-Constants!$D$20/1000000000*IF(ISBLANK(Design!$B$31),Design!$B$30/4,Design!$B$31/4)*1000000) * ($B64+S64-R64*AD64/1000) - (S64+R64*(1+($A64-25)*Constants!$C$32/100)*IF(ISBLANK(Design!$B$41),Constants!$C$6/1000,Design!$B$41/1000)),  (1-Constants!$D$20/1000000000*IF(ISBLANK(Design!$B$31),Design!$B$30,Design!$B$31)*1000000) * ($B64+S64-R64*AD64/1000) - (S64+R64*(1+($A64-25)*Constants!$C$32/100)*IF(ISBLANK(Design!$B$41),Constants!$C$6/1000,Design!$B$41/1000)))</f>
        <v>5.5534535958324387</v>
      </c>
      <c r="AF64" s="117">
        <f ca="1">IF(AE64&gt;Design!$C$27,Design!$C$27,AE64)</f>
        <v>4.9936842105263155</v>
      </c>
      <c r="AG64" s="118">
        <f>Design!$D$6/3</f>
        <v>1</v>
      </c>
      <c r="AH64" s="118">
        <f ca="1">FORECAST(AG64, OFFSET(Design!$C$14:$C$16,MATCH(AG64,Design!$B$14:$B$16,1)-1,0,2), OFFSET(Design!$B$14:$B$16,MATCH(AG64,Design!$B$14:$B$16,1)-1,0,2))+(AQ64-25)*Design!$B$17/1000</f>
        <v>0.31562627567293755</v>
      </c>
      <c r="AI64" s="194">
        <f ca="1">IF(100*(Design!$C$27+AH64+AG64*IF(ISBLANK(Design!$B$41),Constants!$C$6,Design!$B$41)/1000*(1+Constants!$C$32/100*(AR64-25)))/($B64+AH64-AG64*AS64/1000)&gt;Design!$B$34,Design!$B$35,100*(Design!$C$27+AH64+AG64*IF(ISBLANK(Design!$B$41),Constants!$C$6,Design!$B$41)/1000*(1+Constants!$C$32/100*(AR64-25)))/($B64+AH64-AG64*AS64/1000))</f>
        <v>63.336905247496638</v>
      </c>
      <c r="AJ64" s="119">
        <f ca="1">IF(($B64-AG64*IF(ISBLANK(Design!$B$41),Constants!$C$6,Design!$B$41)/1000*(1+Constants!$C$32/100*(AR64-25))-Design!$C$27)/(IF(ISBLANK(Design!$B$40),Design!$B$38,Design!$B$40)/1000000)*AI64/100/(IF(ISBLANK(Design!$B$31),Design!$B$30,Design!$B$31)*1000000)&lt;0,0,($B64-AG64*IF(ISBLANK(Design!$B$41),Constants!$C$6,Design!$B$41)/1000*(1+Constants!$C$32/100*(AR64-25))-Design!$C$27)/(IF(ISBLANK(Design!$B$40),Design!$B$38,Design!$B$40)/1000000)*AI64/100/(IF(ISBLANK(Design!$B$31),Design!$B$30,Design!$B$31)*1000000))</f>
        <v>0.30095451778695254</v>
      </c>
      <c r="AK64" s="195">
        <f>$B64*Constants!$C$21/1000+IF(ISBLANK(Design!$B$31),Design!$B$30,Design!$B$31)*1000000*Constants!$D$25/1000000000*($B64-Constants!$C$24)</f>
        <v>5.5984999999999965E-2</v>
      </c>
      <c r="AL64" s="195">
        <f>$B64*AG64*($B64/(Constants!$C$26*1000000000)*IF(ISBLANK(Design!$B$31),Design!$B$30,Design!$B$31)*1000000/2+$B64/(Constants!$C$27*1000000000)*IF(ISBLANK(Design!$B$31),Design!$B$30,Design!$B$31)*1000000/2)</f>
        <v>0.20311382291666655</v>
      </c>
      <c r="AM64" s="195">
        <f t="shared" ca="1" si="15"/>
        <v>0.11852457924113928</v>
      </c>
      <c r="AN64" s="195">
        <f>Constants!$D$25/1000000000*Constants!$C$24*IF(ISBLANK(Design!$B$31),Design!$B$30,Design!$B$31)*1000000</f>
        <v>5.2499999999999998E-2</v>
      </c>
      <c r="AO64" s="195">
        <f t="shared" ca="1" si="24"/>
        <v>0.43012340215780581</v>
      </c>
      <c r="AP64" s="195">
        <f t="shared" ca="1" si="21"/>
        <v>0.11571836051376658</v>
      </c>
      <c r="AQ64" s="196">
        <f ca="1">$A64+AP64*Design!$B$18</f>
        <v>91.59594654928469</v>
      </c>
      <c r="AR64" s="196">
        <f ca="1">AO64*Design!$C$11+$A64</f>
        <v>100.91456587983882</v>
      </c>
      <c r="AS64" s="196">
        <f ca="1">Constants!$D$22+Constants!$D$22*Constants!$C$23/100*(AR64-25)</f>
        <v>185.73165270387105</v>
      </c>
      <c r="AT64" s="195">
        <f ca="1">IF(100*(Design!$C$27+AH64+AG64*IF(ISBLANK(Design!$B$41),Constants!$C$6,Design!$B$41)/1000*(1+Constants!$C$32/100*(AR64-25)))/($B64+AH64-AG64*AS64/1000)&gt;Design!$B$34,   (1-Constants!$D$20/1000000000*IF(ISBLANK(Design!$B$31),Design!$B$30/4,Design!$B$31/4)*1000000) * ($B64+AH64-AG64*AS64/1000) - (AH64+AG64*(1+($A64-25)*Constants!$C$32/100)*IF(ISBLANK(Design!$B$41),Constants!$C$6/1000,Design!$B$41/1000)),  (1-Constants!$D$20/1000000000*IF(ISBLANK(Design!$B$31),Design!$B$30,Design!$B$31)*1000000) * ($B64+AH64-AG64*AS64/1000) - (AH64+AG64*(1+($A64-25)*Constants!$C$32/100)*IF(ISBLANK(Design!$B$41),Constants!$C$6/1000,Design!$B$41/1000)))</f>
        <v>5.790011115225572</v>
      </c>
      <c r="AU64" s="119">
        <f ca="1">IF(AT64&gt;Design!$C$27,Design!$C$27,AT64)</f>
        <v>4.9936842105263155</v>
      </c>
    </row>
    <row r="65" spans="1:47" ht="12.75" customHeight="1" x14ac:dyDescent="0.3">
      <c r="A65" s="112">
        <f>Design!$D$12</f>
        <v>85</v>
      </c>
      <c r="B65" s="113">
        <f t="shared" si="12"/>
        <v>8.1299999999999972</v>
      </c>
      <c r="C65" s="114">
        <f>Design!$D$6</f>
        <v>3</v>
      </c>
      <c r="D65" s="114">
        <f ca="1">FORECAST(C65, OFFSET(Design!$C$14:$C$16,MATCH(C65,Design!$B$14:$B$16,1)-1,0,2), OFFSET(Design!$B$14:$B$16,MATCH(C65,Design!$B$14:$B$16,1)-1,0,2))+(M65-25)*Design!$B$17/1000</f>
        <v>0.4054143742376532</v>
      </c>
      <c r="E65" s="173">
        <f ca="1">IF(100*(Design!$C$27+D65+C65*IF(ISBLANK(Design!$B$41),Constants!$C$6,Design!$B$41)/1000*(1+Constants!$C$32/100*(N65-25)))/($B65+D65-C65*O65/1000)&gt;Design!$B$34,Design!$B$35,100*(Design!$C$27+D65+C65*IF(ISBLANK(Design!$B$41),Constants!$C$6,Design!$B$41)/1000*(1+Constants!$C$32/100*(N65-25)))/($B65+D65-C65*O65/1000))</f>
        <v>71.748455296634845</v>
      </c>
      <c r="F65" s="115">
        <f ca="1">IF(($B65-C65*IF(ISBLANK(Design!$B$41),Constants!$C$6,Design!$B$41)/1000*(1+Constants!$C$32/100*(N65-25))-Design!$C$27)/(IF(ISBLANK(Design!$B$40),Design!$B$38,Design!$B$40)/1000000)*E65/100/(IF(ISBLANK(Design!$B$31),Design!$B$30,Design!$B$31)*1000000)&lt;0,0,($B65-C65*IF(ISBLANK(Design!$B$41),Constants!$C$6,Design!$B$41)/1000*(1+Constants!$C$32/100*(N65-25))-Design!$C$27)/(IF(ISBLANK(Design!$B$40),Design!$B$38,Design!$B$40)/1000000)*E65/100/(IF(ISBLANK(Design!$B$31),Design!$B$30,Design!$B$31)*1000000))</f>
        <v>0.30291084036426447</v>
      </c>
      <c r="G65" s="165">
        <f>B65*Constants!$C$21/1000+IF(ISBLANK(Design!$B$31),Design!$B$30,Design!$B$31)*1000000*Constants!$D$25/1000000000*(B65-Constants!$C$24)</f>
        <v>5.318999999999996E-2</v>
      </c>
      <c r="H65" s="165">
        <f>B65*C65*(B65/(Constants!$C$26*1000000000)*IF(ISBLANK(Design!$B$31),Design!$B$30,Design!$B$31)*1000000/2+B65/(Constants!$C$27*1000000000)*IF(ISBLANK(Design!$B$31),Design!$B$30,Design!$B$31)*1000000/2)</f>
        <v>0.57834787499999973</v>
      </c>
      <c r="I65" s="165">
        <f t="shared" ca="1" si="13"/>
        <v>1.544366997367512</v>
      </c>
      <c r="J65" s="165">
        <f>Constants!$D$25/1000000000*Constants!$C$24*IF(ISBLANK(Design!$B$31),Design!$B$30,Design!$B$31)*1000000</f>
        <v>5.2499999999999998E-2</v>
      </c>
      <c r="K65" s="165">
        <f t="shared" ca="1" si="22"/>
        <v>2.2284048723675118</v>
      </c>
      <c r="L65" s="165">
        <f t="shared" ca="1" si="17"/>
        <v>0.34360746951485605</v>
      </c>
      <c r="M65" s="166">
        <f ca="1">$A65+L65*Design!$B$18</f>
        <v>104.58562576234679</v>
      </c>
      <c r="N65" s="166">
        <f ca="1">K65*Design!$C$11+A65</f>
        <v>167.45098027759792</v>
      </c>
      <c r="O65" s="166">
        <f ca="1">Constants!$D$22+Constants!$D$22*Constants!$C$23/100*(N65-25)</f>
        <v>238.96078422207836</v>
      </c>
      <c r="P65" s="165">
        <f ca="1">IF(100*(Design!$C$27+D65+C65*IF(ISBLANK(Design!$B$41),Constants!$C$6,Design!$B$41)/1000*(1+Constants!$C$32/100*(N65-25)))/($B65+D65-C65*O65/1000)&gt;Design!$B$34,   (1-Constants!$D$20/1000000000*IF(ISBLANK(Design!$B$31),Design!$B$30/4,Design!$B$31/4)*1000000) * ($B65+D65-C65*O65/1000) - (D65+C65*(1+($A65-25)*Constants!$C$32/100)*IF(ISBLANK(Design!$B$41),Constants!$C$6/1000,Design!$B$41/1000)),  (1-Constants!$D$20/1000000000*IF(ISBLANK(Design!$B$31),Design!$B$30,Design!$B$31)*1000000) * ($B65+D65-C65*O65/1000) - (D65+C65*(1+($A65-25)*Constants!$C$32/100)*IF(ISBLANK(Design!$B$41),Constants!$C$6/1000,Design!$B$41/1000)))</f>
        <v>5.1118254054447654</v>
      </c>
      <c r="Q65" s="115">
        <f ca="1">IF(P65&gt;Design!$C$27,Design!$C$27,P65)</f>
        <v>4.9936842105263155</v>
      </c>
      <c r="R65" s="116">
        <f>2*Design!$D$6/3</f>
        <v>2</v>
      </c>
      <c r="S65" s="116">
        <f ca="1">FORECAST(R65, OFFSET(Design!$C$14:$C$16,MATCH(R65,Design!$B$14:$B$16,1)-1,0,2), OFFSET(Design!$B$14:$B$16,MATCH(R65,Design!$B$14:$B$16,1)-1,0,2))+(AB65-25)*Design!$B$17/1000</f>
        <v>0.38587484012759188</v>
      </c>
      <c r="T65" s="182">
        <f ca="1">IF(100*(Design!$C$27+S65+R65*IF(ISBLANK(Design!$B$41),Constants!$C$6,Design!$B$41)/1000*(1+Constants!$C$32/100*(AC65-25)))/($B65+S65-R65*AD65/1000)&gt;Design!$B$34,Design!$B$35,100*(Design!$C$27+S65+R65*IF(ISBLANK(Design!$B$41),Constants!$C$6,Design!$B$41)/1000*(1+Constants!$C$32/100*(AC65-25)))/($B65+S65-R65*AD65/1000))</f>
        <v>67.88987042521228</v>
      </c>
      <c r="U65" s="117">
        <f ca="1">IF(($B65-R65*IF(ISBLANK(Design!$B$41),Constants!$C$6,Design!$B$41)/1000*(1+Constants!$C$32/100*(AC65-25))-Design!$C$27)/(IF(ISBLANK(Design!$B$40),Design!$B$38,Design!$B$40)/1000000)*T65/100/(IF(ISBLANK(Design!$B$31),Design!$B$30,Design!$B$31)*1000000)&lt;0,0,($B65-R65*IF(ISBLANK(Design!$B$41),Constants!$C$6,Design!$B$41)/1000*(1+Constants!$C$32/100*(AC65-25))-Design!$C$27)/(IF(ISBLANK(Design!$B$40),Design!$B$38,Design!$B$40)/1000000)*T65/100/(IF(ISBLANK(Design!$B$31),Design!$B$30,Design!$B$31)*1000000))</f>
        <v>0.29501263482838647</v>
      </c>
      <c r="V65" s="183">
        <f>$B65*Constants!$C$21/1000+IF(ISBLANK(Design!$B$31),Design!$B$30,Design!$B$31)*1000000*Constants!$D$25/1000000000*($B65-Constants!$C$24)</f>
        <v>5.318999999999996E-2</v>
      </c>
      <c r="W65" s="183">
        <f>$B65*R65*($B65/(Constants!$C$26*1000000000)*IF(ISBLANK(Design!$B$31),Design!$B$30,Design!$B$31)*1000000/2+$B65/(Constants!$C$27*1000000000)*IF(ISBLANK(Design!$B$31),Design!$B$30,Design!$B$31)*1000000/2)</f>
        <v>0.38556524999999975</v>
      </c>
      <c r="X65" s="183">
        <f t="shared" ca="1" si="14"/>
        <v>0.55489330309251239</v>
      </c>
      <c r="Y65" s="183">
        <f>Constants!$D$25/1000000000*Constants!$C$24*IF(ISBLANK(Design!$B$31),Design!$B$30,Design!$B$31)*1000000</f>
        <v>5.2499999999999998E-2</v>
      </c>
      <c r="Z65" s="183">
        <f t="shared" ca="1" si="23"/>
        <v>1.0461485530925121</v>
      </c>
      <c r="AA65" s="183">
        <f t="shared" ca="1" si="19"/>
        <v>0.2478098223229494</v>
      </c>
      <c r="AB65" s="184">
        <f ca="1">$A65+AA65*Design!$B$18</f>
        <v>99.125159872408119</v>
      </c>
      <c r="AC65" s="184">
        <f ca="1">Z65*Design!$C$11+$A65</f>
        <v>123.70749646442295</v>
      </c>
      <c r="AD65" s="184">
        <f ca="1">Constants!$D$22+Constants!$D$22*Constants!$C$23/100*(AC65-25)</f>
        <v>203.96599717153836</v>
      </c>
      <c r="AE65" s="183">
        <f ca="1">IF(100*(Design!$C$27+S65+R65*IF(ISBLANK(Design!$B$41),Constants!$C$6,Design!$B$41)/1000*(1+Constants!$C$32/100*(AC65-25)))/($B65+S65-R65*AD65/1000)&gt;Design!$B$34,   (1-Constants!$D$20/1000000000*IF(ISBLANK(Design!$B$31),Design!$B$30/4,Design!$B$31/4)*1000000) * ($B65+S65-R65*AD65/1000) - (S65+R65*(1+($A65-25)*Constants!$C$32/100)*IF(ISBLANK(Design!$B$41),Constants!$C$6/1000,Design!$B$41/1000)),  (1-Constants!$D$20/1000000000*IF(ISBLANK(Design!$B$31),Design!$B$30,Design!$B$31)*1000000) * ($B65+S65-R65*AD65/1000) - (S65+R65*(1+($A65-25)*Constants!$C$32/100)*IF(ISBLANK(Design!$B$41),Constants!$C$6/1000,Design!$B$41/1000)))</f>
        <v>5.3973776087577487</v>
      </c>
      <c r="AF65" s="117">
        <f ca="1">IF(AE65&gt;Design!$C$27,Design!$C$27,AE65)</f>
        <v>4.9936842105263155</v>
      </c>
      <c r="AG65" s="118">
        <f>Design!$D$6/3</f>
        <v>1</v>
      </c>
      <c r="AH65" s="118">
        <f ca="1">FORECAST(AG65, OFFSET(Design!$C$14:$C$16,MATCH(AG65,Design!$B$14:$B$16,1)-1,0,2), OFFSET(Design!$B$14:$B$16,MATCH(AG65,Design!$B$14:$B$16,1)-1,0,2))+(AQ65-25)*Design!$B$17/1000</f>
        <v>0.31591671919401826</v>
      </c>
      <c r="AI65" s="194">
        <f ca="1">IF(100*(Design!$C$27+AH65+AG65*IF(ISBLANK(Design!$B$41),Constants!$C$6,Design!$B$41)/1000*(1+Constants!$C$32/100*(AR65-25)))/($B65+AH65-AG65*AS65/1000)&gt;Design!$B$34,Design!$B$35,100*(Design!$C$27+AH65+AG65*IF(ISBLANK(Design!$B$41),Constants!$C$6,Design!$B$41)/1000*(1+Constants!$C$32/100*(AR65-25)))/($B65+AH65-AG65*AS65/1000))</f>
        <v>64.983537298641238</v>
      </c>
      <c r="AJ65" s="119">
        <f ca="1">IF(($B65-AG65*IF(ISBLANK(Design!$B$41),Constants!$C$6,Design!$B$41)/1000*(1+Constants!$C$32/100*(AR65-25))-Design!$C$27)/(IF(ISBLANK(Design!$B$40),Design!$B$38,Design!$B$40)/1000000)*AI65/100/(IF(ISBLANK(Design!$B$31),Design!$B$30,Design!$B$31)*1000000)&lt;0,0,($B65-AG65*IF(ISBLANK(Design!$B$41),Constants!$C$6,Design!$B$41)/1000*(1+Constants!$C$32/100*(AR65-25))-Design!$C$27)/(IF(ISBLANK(Design!$B$40),Design!$B$38,Design!$B$40)/1000000)*AI65/100/(IF(ISBLANK(Design!$B$31),Design!$B$30,Design!$B$31)*1000000))</f>
        <v>0.28862422264657989</v>
      </c>
      <c r="AK65" s="195">
        <f>$B65*Constants!$C$21/1000+IF(ISBLANK(Design!$B$31),Design!$B$30,Design!$B$31)*1000000*Constants!$D$25/1000000000*($B65-Constants!$C$24)</f>
        <v>5.318999999999996E-2</v>
      </c>
      <c r="AL65" s="195">
        <f>$B65*AG65*($B65/(Constants!$C$26*1000000000)*IF(ISBLANK(Design!$B$31),Design!$B$30,Design!$B$31)*1000000/2+$B65/(Constants!$C$27*1000000000)*IF(ISBLANK(Design!$B$31),Design!$B$30,Design!$B$31)*1000000/2)</f>
        <v>0.19278262499999987</v>
      </c>
      <c r="AM65" s="195">
        <f t="shared" ca="1" si="15"/>
        <v>0.12133302081495023</v>
      </c>
      <c r="AN65" s="195">
        <f>Constants!$D$25/1000000000*Constants!$C$24*IF(ISBLANK(Design!$B$31),Design!$B$30,Design!$B$31)*1000000</f>
        <v>5.2499999999999998E-2</v>
      </c>
      <c r="AO65" s="195">
        <f t="shared" ca="1" si="24"/>
        <v>0.41980564581495006</v>
      </c>
      <c r="AP65" s="195">
        <f t="shared" ca="1" si="21"/>
        <v>0.1106228601439297</v>
      </c>
      <c r="AQ65" s="196">
        <f ca="1">$A65+AP65*Design!$B$18</f>
        <v>91.305503028203987</v>
      </c>
      <c r="AR65" s="196">
        <f ca="1">AO65*Design!$C$11+$A65</f>
        <v>100.53280889515315</v>
      </c>
      <c r="AS65" s="196">
        <f ca="1">Constants!$D$22+Constants!$D$22*Constants!$C$23/100*(AR65-25)</f>
        <v>185.42624711612251</v>
      </c>
      <c r="AT65" s="195">
        <f ca="1">IF(100*(Design!$C$27+AH65+AG65*IF(ISBLANK(Design!$B$41),Constants!$C$6,Design!$B$41)/1000*(1+Constants!$C$32/100*(AR65-25)))/($B65+AH65-AG65*AS65/1000)&gt;Design!$B$34,   (1-Constants!$D$20/1000000000*IF(ISBLANK(Design!$B$31),Design!$B$30/4,Design!$B$31/4)*1000000) * ($B65+AH65-AG65*AS65/1000) - (AH65+AG65*(1+($A65-25)*Constants!$C$32/100)*IF(ISBLANK(Design!$B$41),Constants!$C$6/1000,Design!$B$41/1000)),  (1-Constants!$D$20/1000000000*IF(ISBLANK(Design!$B$31),Design!$B$30,Design!$B$31)*1000000) * ($B65+AH65-AG65*AS65/1000) - (AH65+AG65*(1+($A65-25)*Constants!$C$32/100)*IF(ISBLANK(Design!$B$41),Constants!$C$6/1000,Design!$B$41/1000)))</f>
        <v>5.633848854006609</v>
      </c>
      <c r="AU65" s="119">
        <f ca="1">IF(AT65&gt;Design!$C$27,Design!$C$27,AT65)</f>
        <v>4.9936842105263155</v>
      </c>
    </row>
    <row r="66" spans="1:47" ht="12.75" customHeight="1" x14ac:dyDescent="0.3">
      <c r="A66" s="112">
        <f>Design!$D$12</f>
        <v>85</v>
      </c>
      <c r="B66" s="113">
        <f t="shared" si="12"/>
        <v>7.9149999999999974</v>
      </c>
      <c r="C66" s="114">
        <f>Design!$D$6</f>
        <v>3</v>
      </c>
      <c r="D66" s="114">
        <f ca="1">FORECAST(C66, OFFSET(Design!$C$14:$C$16,MATCH(C66,Design!$B$14:$B$16,1)-1,0,2), OFFSET(Design!$B$14:$B$16,MATCH(C66,Design!$B$14:$B$16,1)-1,0,2))+(M66-25)*Design!$B$17/1000</f>
        <v>0.42009715117294832</v>
      </c>
      <c r="E66" s="173">
        <f ca="1">IF(100*(Design!$C$27+D66+C66*IF(ISBLANK(Design!$B$41),Constants!$C$6,Design!$B$41)/1000*(1+Constants!$C$32/100*(N66-25)))/($B66+D66-C66*O66/1000)&gt;Design!$B$34,Design!$B$35,100*(Design!$C$27+D66+C66*IF(ISBLANK(Design!$B$41),Constants!$C$6,Design!$B$41)/1000*(1+Constants!$C$32/100*(N66-25)))/($B66+D66-C66*O66/1000))</f>
        <v>93.174999999999997</v>
      </c>
      <c r="F66" s="115">
        <f ca="1">IF(($B66-C66*IF(ISBLANK(Design!$B$41),Constants!$C$6,Design!$B$41)/1000*(1+Constants!$C$32/100*(N66-25))-Design!$C$27)/(IF(ISBLANK(Design!$B$40),Design!$B$38,Design!$B$40)/1000000)*E66/100/(IF(ISBLANK(Design!$B$31),Design!$B$30,Design!$B$31)*1000000)&lt;0,0,($B66-C66*IF(ISBLANK(Design!$B$41),Constants!$C$6,Design!$B$41)/1000*(1+Constants!$C$32/100*(N66-25))-Design!$C$27)/(IF(ISBLANK(Design!$B$40),Design!$B$38,Design!$B$40)/1000000)*E66/100/(IF(ISBLANK(Design!$B$31),Design!$B$30,Design!$B$31)*1000000))</f>
        <v>0.36295668173054735</v>
      </c>
      <c r="G66" s="165">
        <f>B66*Constants!$C$21/1000+IF(ISBLANK(Design!$B$31),Design!$B$30,Design!$B$31)*1000000*Constants!$D$25/1000000000*(B66-Constants!$C$24)</f>
        <v>5.0394999999999968E-2</v>
      </c>
      <c r="H66" s="165">
        <f>B66*C66*(B66/(Constants!$C$26*1000000000)*IF(ISBLANK(Design!$B$31),Design!$B$30,Design!$B$31)*1000000/2+B66/(Constants!$C$27*1000000000)*IF(ISBLANK(Design!$B$31),Design!$B$30,Design!$B$31)*1000000/2)</f>
        <v>0.54816321874999963</v>
      </c>
      <c r="I66" s="165">
        <f t="shared" ca="1" si="13"/>
        <v>2.1481716899429681</v>
      </c>
      <c r="J66" s="165">
        <f>Constants!$D$25/1000000000*Constants!$C$24*IF(ISBLANK(Design!$B$31),Design!$B$30,Design!$B$31)*1000000</f>
        <v>5.2499999999999998E-2</v>
      </c>
      <c r="K66" s="165">
        <f t="shared" ca="1" si="22"/>
        <v>2.7992299086929679</v>
      </c>
      <c r="L66" s="165">
        <f t="shared" ca="1" si="17"/>
        <v>8.6014891702661217E-2</v>
      </c>
      <c r="M66" s="166">
        <f ca="1">$A66+L66*Design!$B$18</f>
        <v>89.902848827051685</v>
      </c>
      <c r="N66" s="166">
        <f ca="1">K66*Design!$C$11+A66</f>
        <v>188.5715066216398</v>
      </c>
      <c r="O66" s="166">
        <f ca="1">Constants!$D$22+Constants!$D$22*Constants!$C$23/100*(N66-25)</f>
        <v>255.85720529731185</v>
      </c>
      <c r="P66" s="165">
        <f ca="1">IF(100*(Design!$C$27+D66+C66*IF(ISBLANK(Design!$B$41),Constants!$C$6,Design!$B$41)/1000*(1+Constants!$C$32/100*(N66-25)))/($B66+D66-C66*O66/1000)&gt;Design!$B$34,   (1-Constants!$D$20/1000000000*IF(ISBLANK(Design!$B$31),Design!$B$30/4,Design!$B$31/4)*1000000) * ($B66+D66-C66*O66/1000) - (D66+C66*(1+($A66-25)*Constants!$C$32/100)*IF(ISBLANK(Design!$B$41),Constants!$C$6/1000,Design!$B$41/1000)),  (1-Constants!$D$20/1000000000*IF(ISBLANK(Design!$B$31),Design!$B$30,Design!$B$31)*1000000) * ($B66+D66-C66*O66/1000) - (D66+C66*(1+($A66-25)*Constants!$C$32/100)*IF(ISBLANK(Design!$B$41),Constants!$C$6/1000,Design!$B$41/1000)))</f>
        <v>6.4641117663251322</v>
      </c>
      <c r="Q66" s="115">
        <f ca="1">IF(P66&gt;Design!$C$27,Design!$C$27,P66)</f>
        <v>4.9936842105263155</v>
      </c>
      <c r="R66" s="116">
        <f>2*Design!$D$6/3</f>
        <v>2</v>
      </c>
      <c r="S66" s="116">
        <f ca="1">FORECAST(R66, OFFSET(Design!$C$14:$C$16,MATCH(R66,Design!$B$14:$B$16,1)-1,0,2), OFFSET(Design!$B$14:$B$16,MATCH(R66,Design!$B$14:$B$16,1)-1,0,2))+(AB66-25)*Design!$B$17/1000</f>
        <v>0.3866599576309423</v>
      </c>
      <c r="T66" s="182">
        <f ca="1">IF(100*(Design!$C$27+S66+R66*IF(ISBLANK(Design!$B$41),Constants!$C$6,Design!$B$41)/1000*(1+Constants!$C$32/100*(AC66-25)))/($B66+S66-R66*AD66/1000)&gt;Design!$B$34,Design!$B$35,100*(Design!$C$27+S66+R66*IF(ISBLANK(Design!$B$41),Constants!$C$6,Design!$B$41)/1000*(1+Constants!$C$32/100*(AC66-25)))/($B66+S66-R66*AD66/1000))</f>
        <v>69.736220881257879</v>
      </c>
      <c r="U66" s="117">
        <f ca="1">IF(($B66-R66*IF(ISBLANK(Design!$B$41),Constants!$C$6,Design!$B$41)/1000*(1+Constants!$C$32/100*(AC66-25))-Design!$C$27)/(IF(ISBLANK(Design!$B$40),Design!$B$38,Design!$B$40)/1000000)*T66/100/(IF(ISBLANK(Design!$B$31),Design!$B$30,Design!$B$31)*1000000)&lt;0,0,($B66-R66*IF(ISBLANK(Design!$B$41),Constants!$C$6,Design!$B$41)/1000*(1+Constants!$C$32/100*(AC66-25))-Design!$C$27)/(IF(ISBLANK(Design!$B$40),Design!$B$38,Design!$B$40)/1000000)*T66/100/(IF(ISBLANK(Design!$B$31),Design!$B$30,Design!$B$31)*1000000))</f>
        <v>0.28141190964318968</v>
      </c>
      <c r="V66" s="183">
        <f>$B66*Constants!$C$21/1000+IF(ISBLANK(Design!$B$31),Design!$B$30,Design!$B$31)*1000000*Constants!$D$25/1000000000*($B66-Constants!$C$24)</f>
        <v>5.0394999999999968E-2</v>
      </c>
      <c r="W66" s="183">
        <f>$B66*R66*($B66/(Constants!$C$26*1000000000)*IF(ISBLANK(Design!$B$31),Design!$B$30,Design!$B$31)*1000000/2+$B66/(Constants!$C$27*1000000000)*IF(ISBLANK(Design!$B$31),Design!$B$30,Design!$B$31)*1000000/2)</f>
        <v>0.36544214583333312</v>
      </c>
      <c r="X66" s="183">
        <f t="shared" ca="1" si="14"/>
        <v>0.56917732597139425</v>
      </c>
      <c r="Y66" s="183">
        <f>Constants!$D$25/1000000000*Constants!$C$24*IF(ISBLANK(Design!$B$31),Design!$B$30,Design!$B$31)*1000000</f>
        <v>5.2499999999999998E-2</v>
      </c>
      <c r="Z66" s="183">
        <f t="shared" ca="1" si="23"/>
        <v>1.0375144718047273</v>
      </c>
      <c r="AA66" s="183">
        <f t="shared" ca="1" si="19"/>
        <v>0.23403583103610048</v>
      </c>
      <c r="AB66" s="184">
        <f ca="1">$A66+AA66*Design!$B$18</f>
        <v>98.340042369057727</v>
      </c>
      <c r="AC66" s="184">
        <f ca="1">Z66*Design!$C$11+$A66</f>
        <v>123.3880354567749</v>
      </c>
      <c r="AD66" s="184">
        <f ca="1">Constants!$D$22+Constants!$D$22*Constants!$C$23/100*(AC66-25)</f>
        <v>203.71042836541994</v>
      </c>
      <c r="AE66" s="183">
        <f ca="1">IF(100*(Design!$C$27+S66+R66*IF(ISBLANK(Design!$B$41),Constants!$C$6,Design!$B$41)/1000*(1+Constants!$C$32/100*(AC66-25)))/($B66+S66-R66*AD66/1000)&gt;Design!$B$34,   (1-Constants!$D$20/1000000000*IF(ISBLANK(Design!$B$31),Design!$B$30/4,Design!$B$31/4)*1000000) * ($B66+S66-R66*AD66/1000) - (S66+R66*(1+($A66-25)*Constants!$C$32/100)*IF(ISBLANK(Design!$B$41),Constants!$C$6/1000,Design!$B$41/1000)),  (1-Constants!$D$20/1000000000*IF(ISBLANK(Design!$B$31),Design!$B$30,Design!$B$31)*1000000) * ($B66+S66-R66*AD66/1000) - (S66+R66*(1+($A66-25)*Constants!$C$32/100)*IF(ISBLANK(Design!$B$41),Constants!$C$6/1000,Design!$B$41/1000)))</f>
        <v>5.2412298687234298</v>
      </c>
      <c r="AF66" s="117">
        <f ca="1">IF(AE66&gt;Design!$C$27,Design!$C$27,AE66)</f>
        <v>4.9936842105263155</v>
      </c>
      <c r="AG66" s="118">
        <f>Design!$D$6/3</f>
        <v>1</v>
      </c>
      <c r="AH66" s="118">
        <f ca="1">FORECAST(AG66, OFFSET(Design!$C$14:$C$16,MATCH(AG66,Design!$B$14:$B$16,1)-1,0,2), OFFSET(Design!$B$14:$B$16,MATCH(AG66,Design!$B$14:$B$16,1)-1,0,2))+(AQ66-25)*Design!$B$17/1000</f>
        <v>0.31622325671505036</v>
      </c>
      <c r="AI66" s="194">
        <f ca="1">IF(100*(Design!$C$27+AH66+AG66*IF(ISBLANK(Design!$B$41),Constants!$C$6,Design!$B$41)/1000*(1+Constants!$C$32/100*(AR66-25)))/($B66+AH66-AG66*AS66/1000)&gt;Design!$B$34,Design!$B$35,100*(Design!$C$27+AH66+AG66*IF(ISBLANK(Design!$B$41),Constants!$C$6,Design!$B$41)/1000*(1+Constants!$C$32/100*(AR66-25)))/($B66+AH66-AG66*AS66/1000))</f>
        <v>66.718131363567167</v>
      </c>
      <c r="AJ66" s="119">
        <f ca="1">IF(($B66-AG66*IF(ISBLANK(Design!$B$41),Constants!$C$6,Design!$B$41)/1000*(1+Constants!$C$32/100*(AR66-25))-Design!$C$27)/(IF(ISBLANK(Design!$B$40),Design!$B$38,Design!$B$40)/1000000)*AI66/100/(IF(ISBLANK(Design!$B$31),Design!$B$30,Design!$B$31)*1000000)&lt;0,0,($B66-AG66*IF(ISBLANK(Design!$B$41),Constants!$C$6,Design!$B$41)/1000*(1+Constants!$C$32/100*(AR66-25))-Design!$C$27)/(IF(ISBLANK(Design!$B$40),Design!$B$38,Design!$B$40)/1000000)*AI66/100/(IF(ISBLANK(Design!$B$31),Design!$B$30,Design!$B$31)*1000000))</f>
        <v>0.27563566092597208</v>
      </c>
      <c r="AK66" s="195">
        <f>$B66*Constants!$C$21/1000+IF(ISBLANK(Design!$B$31),Design!$B$30,Design!$B$31)*1000000*Constants!$D$25/1000000000*($B66-Constants!$C$24)</f>
        <v>5.0394999999999968E-2</v>
      </c>
      <c r="AL66" s="195">
        <f>$B66*AG66*($B66/(Constants!$C$26*1000000000)*IF(ISBLANK(Design!$B$31),Design!$B$30,Design!$B$31)*1000000/2+$B66/(Constants!$C$27*1000000000)*IF(ISBLANK(Design!$B$31),Design!$B$30,Design!$B$31)*1000000/2)</f>
        <v>0.18272107291666656</v>
      </c>
      <c r="AM66" s="195">
        <f t="shared" ca="1" si="15"/>
        <v>0.12429963613707892</v>
      </c>
      <c r="AN66" s="195">
        <f>Constants!$D$25/1000000000*Constants!$C$24*IF(ISBLANK(Design!$B$31),Design!$B$30,Design!$B$31)*1000000</f>
        <v>5.2499999999999998E-2</v>
      </c>
      <c r="AO66" s="195">
        <f t="shared" ca="1" si="24"/>
        <v>0.40991570905374541</v>
      </c>
      <c r="AP66" s="195">
        <f t="shared" ca="1" si="21"/>
        <v>0.10524500889775283</v>
      </c>
      <c r="AQ66" s="196">
        <f ca="1">$A66+AP66*Design!$B$18</f>
        <v>90.998965507171917</v>
      </c>
      <c r="AR66" s="196">
        <f ca="1">AO66*Design!$C$11+$A66</f>
        <v>100.16688123498858</v>
      </c>
      <c r="AS66" s="196">
        <f ca="1">Constants!$D$22+Constants!$D$22*Constants!$C$23/100*(AR66-25)</f>
        <v>185.13350498799088</v>
      </c>
      <c r="AT66" s="195">
        <f ca="1">IF(100*(Design!$C$27+AH66+AG66*IF(ISBLANK(Design!$B$41),Constants!$C$6,Design!$B$41)/1000*(1+Constants!$C$32/100*(AR66-25)))/($B66+AH66-AG66*AS66/1000)&gt;Design!$B$34,   (1-Constants!$D$20/1000000000*IF(ISBLANK(Design!$B$31),Design!$B$30/4,Design!$B$31/4)*1000000) * ($B66+AH66-AG66*AS66/1000) - (AH66+AG66*(1+($A66-25)*Constants!$C$32/100)*IF(ISBLANK(Design!$B$41),Constants!$C$6/1000,Design!$B$41/1000)),  (1-Constants!$D$20/1000000000*IF(ISBLANK(Design!$B$31),Design!$B$30,Design!$B$31)*1000000) * ($B66+AH66-AG66*AS66/1000) - (AH66+AG66*(1+($A66-25)*Constants!$C$32/100)*IF(ISBLANK(Design!$B$41),Constants!$C$6/1000,Design!$B$41/1000)))</f>
        <v>5.4776729927905183</v>
      </c>
      <c r="AU66" s="119">
        <f ca="1">IF(AT66&gt;Design!$C$27,Design!$C$27,AT66)</f>
        <v>4.9936842105263155</v>
      </c>
    </row>
    <row r="67" spans="1:47" ht="12.75" customHeight="1" x14ac:dyDescent="0.3">
      <c r="A67" s="112">
        <f>Design!$D$12</f>
        <v>85</v>
      </c>
      <c r="B67" s="113">
        <f t="shared" si="12"/>
        <v>7.6999999999999975</v>
      </c>
      <c r="C67" s="114">
        <f>Design!$D$6</f>
        <v>3</v>
      </c>
      <c r="D67" s="114">
        <f ca="1">FORECAST(C67, OFFSET(Design!$C$14:$C$16,MATCH(C67,Design!$B$14:$B$16,1)-1,0,2), OFFSET(Design!$B$14:$B$16,MATCH(C67,Design!$B$14:$B$16,1)-1,0,2))+(M67-25)*Design!$B$17/1000</f>
        <v>0.42009715117294832</v>
      </c>
      <c r="E67" s="173">
        <f ca="1">IF(100*(Design!$C$27+D67+C67*IF(ISBLANK(Design!$B$41),Constants!$C$6,Design!$B$41)/1000*(1+Constants!$C$32/100*(N67-25)))/($B67+D67-C67*O67/1000)&gt;Design!$B$34,Design!$B$35,100*(Design!$C$27+D67+C67*IF(ISBLANK(Design!$B$41),Constants!$C$6,Design!$B$41)/1000*(1+Constants!$C$32/100*(N67-25)))/($B67+D67-C67*O67/1000))</f>
        <v>93.174999999999997</v>
      </c>
      <c r="F67" s="115">
        <f ca="1">IF(($B67-C67*IF(ISBLANK(Design!$B$41),Constants!$C$6,Design!$B$41)/1000*(1+Constants!$C$32/100*(N67-25))-Design!$C$27)/(IF(ISBLANK(Design!$B$40),Design!$B$38,Design!$B$40)/1000000)*E67/100/(IF(ISBLANK(Design!$B$31),Design!$B$30,Design!$B$31)*1000000)&lt;0,0,($B67-C67*IF(ISBLANK(Design!$B$41),Constants!$C$6,Design!$B$41)/1000*(1+Constants!$C$32/100*(N67-25))-Design!$C$27)/(IF(ISBLANK(Design!$B$40),Design!$B$38,Design!$B$40)/1000000)*E67/100/(IF(ISBLANK(Design!$B$31),Design!$B$30,Design!$B$31)*1000000))</f>
        <v>0.33416395793514359</v>
      </c>
      <c r="G67" s="165">
        <f>B67*Constants!$C$21/1000+IF(ISBLANK(Design!$B$31),Design!$B$30,Design!$B$31)*1000000*Constants!$D$25/1000000000*(B67-Constants!$C$24)</f>
        <v>4.7599999999999969E-2</v>
      </c>
      <c r="H67" s="165">
        <f>B67*C67*(B67/(Constants!$C$26*1000000000)*IF(ISBLANK(Design!$B$31),Design!$B$30,Design!$B$31)*1000000/2+B67/(Constants!$C$27*1000000000)*IF(ISBLANK(Design!$B$31),Design!$B$30,Design!$B$31)*1000000/2)</f>
        <v>0.51878749999999973</v>
      </c>
      <c r="I67" s="165">
        <f t="shared" ca="1" si="13"/>
        <v>2.1370045726055911</v>
      </c>
      <c r="J67" s="165">
        <f>Constants!$D$25/1000000000*Constants!$C$24*IF(ISBLANK(Design!$B$31),Design!$B$30,Design!$B$31)*1000000</f>
        <v>5.2499999999999998E-2</v>
      </c>
      <c r="K67" s="165">
        <f t="shared" ca="1" si="22"/>
        <v>2.7558920726055911</v>
      </c>
      <c r="L67" s="165">
        <f t="shared" ca="1" si="17"/>
        <v>8.6014891702661217E-2</v>
      </c>
      <c r="M67" s="166">
        <f ca="1">$A67+L67*Design!$B$18</f>
        <v>89.902848827051685</v>
      </c>
      <c r="N67" s="166">
        <f ca="1">K67*Design!$C$11+A67</f>
        <v>186.96800668640685</v>
      </c>
      <c r="O67" s="166">
        <f ca="1">Constants!$D$22+Constants!$D$22*Constants!$C$23/100*(N67-25)</f>
        <v>254.5744053491255</v>
      </c>
      <c r="P67" s="165">
        <f ca="1">IF(100*(Design!$C$27+D67+C67*IF(ISBLANK(Design!$B$41),Constants!$C$6,Design!$B$41)/1000*(1+Constants!$C$32/100*(N67-25)))/($B67+D67-C67*O67/1000)&gt;Design!$B$34,   (1-Constants!$D$20/1000000000*IF(ISBLANK(Design!$B$31),Design!$B$30/4,Design!$B$31/4)*1000000) * ($B67+D67-C67*O67/1000) - (D67+C67*(1+($A67-25)*Constants!$C$32/100)*IF(ISBLANK(Design!$B$41),Constants!$C$6/1000,Design!$B$41/1000)),  (1-Constants!$D$20/1000000000*IF(ISBLANK(Design!$B$31),Design!$B$30,Design!$B$31)*1000000) * ($B67+D67-C67*O67/1000) - (D67+C67*(1+($A67-25)*Constants!$C$32/100)*IF(ISBLANK(Design!$B$41),Constants!$C$6/1000,Design!$B$41/1000)))</f>
        <v>6.2673712628803004</v>
      </c>
      <c r="Q67" s="115">
        <f ca="1">IF(P67&gt;Design!$C$27,Design!$C$27,P67)</f>
        <v>4.9936842105263155</v>
      </c>
      <c r="R67" s="116">
        <f>2*Design!$D$6/3</f>
        <v>2</v>
      </c>
      <c r="S67" s="116">
        <f ca="1">FORECAST(R67, OFFSET(Design!$C$14:$C$16,MATCH(R67,Design!$B$14:$B$16,1)-1,0,2), OFFSET(Design!$B$14:$B$16,MATCH(R67,Design!$B$14:$B$16,1)-1,0,2))+(AB67-25)*Design!$B$17/1000</f>
        <v>0.38749276902076668</v>
      </c>
      <c r="T67" s="182">
        <f ca="1">IF(100*(Design!$C$27+S67+R67*IF(ISBLANK(Design!$B$41),Constants!$C$6,Design!$B$41)/1000*(1+Constants!$C$32/100*(AC67-25)))/($B67+S67-R67*AD67/1000)&gt;Design!$B$34,Design!$B$35,100*(Design!$C$27+S67+R67*IF(ISBLANK(Design!$B$41),Constants!$C$6,Design!$B$41)/1000*(1+Constants!$C$32/100*(AC67-25)))/($B67+S67-R67*AD67/1000))</f>
        <v>71.686554893225505</v>
      </c>
      <c r="U67" s="117">
        <f ca="1">IF(($B67-R67*IF(ISBLANK(Design!$B$41),Constants!$C$6,Design!$B$41)/1000*(1+Constants!$C$32/100*(AC67-25))-Design!$C$27)/(IF(ISBLANK(Design!$B$40),Design!$B$38,Design!$B$40)/1000000)*T67/100/(IF(ISBLANK(Design!$B$31),Design!$B$30,Design!$B$31)*1000000)&lt;0,0,($B67-R67*IF(ISBLANK(Design!$B$41),Constants!$C$6,Design!$B$41)/1000*(1+Constants!$C$32/100*(AC67-25))-Design!$C$27)/(IF(ISBLANK(Design!$B$40),Design!$B$38,Design!$B$40)/1000000)*T67/100/(IF(ISBLANK(Design!$B$31),Design!$B$30,Design!$B$31)*1000000))</f>
        <v>0.26705152449680786</v>
      </c>
      <c r="V67" s="183">
        <f>$B67*Constants!$C$21/1000+IF(ISBLANK(Design!$B$31),Design!$B$30,Design!$B$31)*1000000*Constants!$D$25/1000000000*($B67-Constants!$C$24)</f>
        <v>4.7599999999999969E-2</v>
      </c>
      <c r="W67" s="183">
        <f>$B67*R67*($B67/(Constants!$C$26*1000000000)*IF(ISBLANK(Design!$B$31),Design!$B$30,Design!$B$31)*1000000/2+$B67/(Constants!$C$27*1000000000)*IF(ISBLANK(Design!$B$31),Design!$B$30,Design!$B$31)*1000000/2)</f>
        <v>0.3458583333333331</v>
      </c>
      <c r="X67" s="183">
        <f t="shared" ca="1" si="14"/>
        <v>0.58439075341164581</v>
      </c>
      <c r="Y67" s="183">
        <f>Constants!$D$25/1000000000*Constants!$C$24*IF(ISBLANK(Design!$B$31),Design!$B$30,Design!$B$31)*1000000</f>
        <v>5.2499999999999998E-2</v>
      </c>
      <c r="Z67" s="183">
        <f t="shared" ca="1" si="23"/>
        <v>1.0303490867449789</v>
      </c>
      <c r="AA67" s="183">
        <f t="shared" ca="1" si="19"/>
        <v>0.21942510489883049</v>
      </c>
      <c r="AB67" s="184">
        <f ca="1">$A67+AA67*Design!$B$18</f>
        <v>97.507230979233341</v>
      </c>
      <c r="AC67" s="184">
        <f ca="1">Z67*Design!$C$11+$A67</f>
        <v>123.12291620956422</v>
      </c>
      <c r="AD67" s="184">
        <f ca="1">Constants!$D$22+Constants!$D$22*Constants!$C$23/100*(AC67-25)</f>
        <v>203.49833296765138</v>
      </c>
      <c r="AE67" s="183">
        <f ca="1">IF(100*(Design!$C$27+S67+R67*IF(ISBLANK(Design!$B$41),Constants!$C$6,Design!$B$41)/1000*(1+Constants!$C$32/100*(AC67-25)))/($B67+S67-R67*AD67/1000)&gt;Design!$B$34,   (1-Constants!$D$20/1000000000*IF(ISBLANK(Design!$B$31),Design!$B$30/4,Design!$B$31/4)*1000000) * ($B67+S67-R67*AD67/1000) - (S67+R67*(1+($A67-25)*Constants!$C$32/100)*IF(ISBLANK(Design!$B$41),Constants!$C$6/1000,Design!$B$41/1000)),  (1-Constants!$D$20/1000000000*IF(ISBLANK(Design!$B$31),Design!$B$30,Design!$B$31)*1000000) * ($B67+S67-R67*AD67/1000) - (S67+R67*(1+($A67-25)*Constants!$C$32/100)*IF(ISBLANK(Design!$B$41),Constants!$C$6/1000,Design!$B$41/1000)))</f>
        <v>5.0850058979223638</v>
      </c>
      <c r="AF67" s="117">
        <f ca="1">IF(AE67&gt;Design!$C$27,Design!$C$27,AE67)</f>
        <v>4.9936842105263155</v>
      </c>
      <c r="AG67" s="118">
        <f>Design!$D$6/3</f>
        <v>1</v>
      </c>
      <c r="AH67" s="118">
        <f ca="1">FORECAST(AG67, OFFSET(Design!$C$14:$C$16,MATCH(AG67,Design!$B$14:$B$16,1)-1,0,2), OFFSET(Design!$B$14:$B$16,MATCH(AG67,Design!$B$14:$B$16,1)-1,0,2))+(AQ67-25)*Design!$B$17/1000</f>
        <v>0.31654726232894753</v>
      </c>
      <c r="AI67" s="194">
        <f ca="1">IF(100*(Design!$C$27+AH67+AG67*IF(ISBLANK(Design!$B$41),Constants!$C$6,Design!$B$41)/1000*(1+Constants!$C$32/100*(AR67-25)))/($B67+AH67-AG67*AS67/1000)&gt;Design!$B$34,Design!$B$35,100*(Design!$C$27+AH67+AG67*IF(ISBLANK(Design!$B$41),Constants!$C$6,Design!$B$41)/1000*(1+Constants!$C$32/100*(AR67-25)))/($B67+AH67-AG67*AS67/1000))</f>
        <v>68.547919464060442</v>
      </c>
      <c r="AJ67" s="119">
        <f ca="1">IF(($B67-AG67*IF(ISBLANK(Design!$B$41),Constants!$C$6,Design!$B$41)/1000*(1+Constants!$C$32/100*(AR67-25))-Design!$C$27)/(IF(ISBLANK(Design!$B$40),Design!$B$38,Design!$B$40)/1000000)*AI67/100/(IF(ISBLANK(Design!$B$31),Design!$B$30,Design!$B$31)*1000000)&lt;0,0,($B67-AG67*IF(ISBLANK(Design!$B$41),Constants!$C$6,Design!$B$41)/1000*(1+Constants!$C$32/100*(AR67-25))-Design!$C$27)/(IF(ISBLANK(Design!$B$40),Design!$B$38,Design!$B$40)/1000000)*AI67/100/(IF(ISBLANK(Design!$B$31),Design!$B$30,Design!$B$31)*1000000))</f>
        <v>0.26193459302377248</v>
      </c>
      <c r="AK67" s="195">
        <f>$B67*Constants!$C$21/1000+IF(ISBLANK(Design!$B$31),Design!$B$30,Design!$B$31)*1000000*Constants!$D$25/1000000000*($B67-Constants!$C$24)</f>
        <v>4.7599999999999969E-2</v>
      </c>
      <c r="AL67" s="195">
        <f>$B67*AG67*($B67/(Constants!$C$26*1000000000)*IF(ISBLANK(Design!$B$31),Design!$B$30,Design!$B$31)*1000000/2+$B67/(Constants!$C$27*1000000000)*IF(ISBLANK(Design!$B$31),Design!$B$30,Design!$B$31)*1000000/2)</f>
        <v>0.17292916666666655</v>
      </c>
      <c r="AM67" s="195">
        <f t="shared" ca="1" si="15"/>
        <v>0.12743793320056404</v>
      </c>
      <c r="AN67" s="195">
        <f>Constants!$D$25/1000000000*Constants!$C$24*IF(ISBLANK(Design!$B$31),Design!$B$30,Design!$B$31)*1000000</f>
        <v>5.2499999999999998E-2</v>
      </c>
      <c r="AO67" s="195">
        <f t="shared" ca="1" si="24"/>
        <v>0.40046709986723056</v>
      </c>
      <c r="AP67" s="195">
        <f t="shared" ca="1" si="21"/>
        <v>9.9560699882012424E-2</v>
      </c>
      <c r="AQ67" s="196">
        <f ca="1">$A67+AP67*Design!$B$18</f>
        <v>90.674959893274703</v>
      </c>
      <c r="AR67" s="196">
        <f ca="1">AO67*Design!$C$11+$A67</f>
        <v>99.817282695087528</v>
      </c>
      <c r="AS67" s="196">
        <f ca="1">Constants!$D$22+Constants!$D$22*Constants!$C$23/100*(AR67-25)</f>
        <v>184.85382615607003</v>
      </c>
      <c r="AT67" s="195">
        <f ca="1">IF(100*(Design!$C$27+AH67+AG67*IF(ISBLANK(Design!$B$41),Constants!$C$6,Design!$B$41)/1000*(1+Constants!$C$32/100*(AR67-25)))/($B67+AH67-AG67*AS67/1000)&gt;Design!$B$34,   (1-Constants!$D$20/1000000000*IF(ISBLANK(Design!$B$31),Design!$B$30/4,Design!$B$31/4)*1000000) * ($B67+AH67-AG67*AS67/1000) - (AH67+AG67*(1+($A67-25)*Constants!$C$32/100)*IF(ISBLANK(Design!$B$41),Constants!$C$6/1000,Design!$B$41/1000)),  (1-Constants!$D$20/1000000000*IF(ISBLANK(Design!$B$31),Design!$B$30,Design!$B$31)*1000000) * ($B67+AH67-AG67*AS67/1000) - (AH67+AG67*(1+($A67-25)*Constants!$C$32/100)*IF(ISBLANK(Design!$B$41),Constants!$C$6/1000,Design!$B$41/1000)))</f>
        <v>5.3214828657687328</v>
      </c>
      <c r="AU67" s="119">
        <f ca="1">IF(AT67&gt;Design!$C$27,Design!$C$27,AT67)</f>
        <v>4.9936842105263155</v>
      </c>
    </row>
    <row r="68" spans="1:47" ht="12.75" customHeight="1" x14ac:dyDescent="0.3">
      <c r="A68" s="112">
        <f>Design!$D$12</f>
        <v>85</v>
      </c>
      <c r="B68" s="113">
        <f t="shared" si="12"/>
        <v>7.4849999999999977</v>
      </c>
      <c r="C68" s="114">
        <f>Design!$D$6</f>
        <v>3</v>
      </c>
      <c r="D68" s="114">
        <f ca="1">FORECAST(C68, OFFSET(Design!$C$14:$C$16,MATCH(C68,Design!$B$14:$B$16,1)-1,0,2), OFFSET(Design!$B$14:$B$16,MATCH(C68,Design!$B$14:$B$16,1)-1,0,2))+(M68-25)*Design!$B$17/1000</f>
        <v>0.42009715117294832</v>
      </c>
      <c r="E68" s="173">
        <f ca="1">IF(100*(Design!$C$27+D68+C68*IF(ISBLANK(Design!$B$41),Constants!$C$6,Design!$B$41)/1000*(1+Constants!$C$32/100*(N68-25)))/($B68+D68-C68*O68/1000)&gt;Design!$B$34,Design!$B$35,100*(Design!$C$27+D68+C68*IF(ISBLANK(Design!$B$41),Constants!$C$6,Design!$B$41)/1000*(1+Constants!$C$32/100*(N68-25)))/($B68+D68-C68*O68/1000))</f>
        <v>93.174999999999997</v>
      </c>
      <c r="F68" s="115">
        <f ca="1">IF(($B68-C68*IF(ISBLANK(Design!$B$41),Constants!$C$6,Design!$B$41)/1000*(1+Constants!$C$32/100*(N68-25))-Design!$C$27)/(IF(ISBLANK(Design!$B$40),Design!$B$38,Design!$B$40)/1000000)*E68/100/(IF(ISBLANK(Design!$B$31),Design!$B$30,Design!$B$31)*1000000)&lt;0,0,($B68-C68*IF(ISBLANK(Design!$B$41),Constants!$C$6,Design!$B$41)/1000*(1+Constants!$C$32/100*(N68-25))-Design!$C$27)/(IF(ISBLANK(Design!$B$40),Design!$B$38,Design!$B$40)/1000000)*E68/100/(IF(ISBLANK(Design!$B$31),Design!$B$30,Design!$B$31)*1000000))</f>
        <v>0.30536826490507935</v>
      </c>
      <c r="G68" s="165">
        <f>B68*Constants!$C$21/1000+IF(ISBLANK(Design!$B$31),Design!$B$30,Design!$B$31)*1000000*Constants!$D$25/1000000000*(B68-Constants!$C$24)</f>
        <v>4.480499999999997E-2</v>
      </c>
      <c r="H68" s="165">
        <f>B68*C68*(B68/(Constants!$C$26*1000000000)*IF(ISBLANK(Design!$B$31),Design!$B$30,Design!$B$31)*1000000/2+B68/(Constants!$C$27*1000000000)*IF(ISBLANK(Design!$B$31),Design!$B$30,Design!$B$31)*1000000/2)</f>
        <v>0.49022071874999967</v>
      </c>
      <c r="I68" s="165">
        <f t="shared" ca="1" si="13"/>
        <v>2.1261535120416397</v>
      </c>
      <c r="J68" s="165">
        <f>Constants!$D$25/1000000000*Constants!$C$24*IF(ISBLANK(Design!$B$31),Design!$B$30,Design!$B$31)*1000000</f>
        <v>5.2499999999999998E-2</v>
      </c>
      <c r="K68" s="165">
        <f t="shared" ca="1" si="22"/>
        <v>2.7136792307916395</v>
      </c>
      <c r="L68" s="165">
        <f t="shared" ca="1" si="17"/>
        <v>8.6014891702661217E-2</v>
      </c>
      <c r="M68" s="166">
        <f ca="1">$A68+L68*Design!$B$18</f>
        <v>89.902848827051685</v>
      </c>
      <c r="N68" s="166">
        <f ca="1">K68*Design!$C$11+A68</f>
        <v>185.40613153929067</v>
      </c>
      <c r="O68" s="166">
        <f ca="1">Constants!$D$22+Constants!$D$22*Constants!$C$23/100*(N68-25)</f>
        <v>253.32490523143255</v>
      </c>
      <c r="P68" s="165">
        <f ca="1">IF(100*(Design!$C$27+D68+C68*IF(ISBLANK(Design!$B$41),Constants!$C$6,Design!$B$41)/1000*(1+Constants!$C$32/100*(N68-25)))/($B68+D68-C68*O68/1000)&gt;Design!$B$34,   (1-Constants!$D$20/1000000000*IF(ISBLANK(Design!$B$31),Design!$B$30/4,Design!$B$31/4)*1000000) * ($B68+D68-C68*O68/1000) - (D68+C68*(1+($A68-25)*Constants!$C$32/100)*IF(ISBLANK(Design!$B$41),Constants!$C$6/1000,Design!$B$41/1000)),  (1-Constants!$D$20/1000000000*IF(ISBLANK(Design!$B$31),Design!$B$30,Design!$B$31)*1000000) * ($B68+D68-C68*O68/1000) - (D68+C68*(1+($A68-25)*Constants!$C$32/100)*IF(ISBLANK(Design!$B$41),Constants!$C$6/1000,Design!$B$41/1000)))</f>
        <v>6.0705376780842819</v>
      </c>
      <c r="Q68" s="115">
        <f ca="1">IF(P68&gt;Design!$C$27,Design!$C$27,P68)</f>
        <v>4.9936842105263155</v>
      </c>
      <c r="R68" s="116">
        <f>2*Design!$D$6/3</f>
        <v>2</v>
      </c>
      <c r="S68" s="116">
        <f ca="1">FORECAST(R68, OFFSET(Design!$C$14:$C$16,MATCH(R68,Design!$B$14:$B$16,1)-1,0,2), OFFSET(Design!$B$14:$B$16,MATCH(R68,Design!$B$14:$B$16,1)-1,0,2))+(AB68-25)*Design!$B$17/1000</f>
        <v>0.39691182752593446</v>
      </c>
      <c r="T68" s="182">
        <f ca="1">IF(100*(Design!$C$27+S68+R68*IF(ISBLANK(Design!$B$41),Constants!$C$6,Design!$B$41)/1000*(1+Constants!$C$32/100*(AC68-25)))/($B68+S68-R68*AD68/1000)&gt;Design!$B$34,Design!$B$35,100*(Design!$C$27+S68+R68*IF(ISBLANK(Design!$B$41),Constants!$C$6,Design!$B$41)/1000*(1+Constants!$C$32/100*(AC68-25)))/($B68+S68-R68*AD68/1000))</f>
        <v>93.174999999999997</v>
      </c>
      <c r="U68" s="117">
        <f ca="1">IF(($B68-R68*IF(ISBLANK(Design!$B$41),Constants!$C$6,Design!$B$41)/1000*(1+Constants!$C$32/100*(AC68-25))-Design!$C$27)/(IF(ISBLANK(Design!$B$40),Design!$B$38,Design!$B$40)/1000000)*T68/100/(IF(ISBLANK(Design!$B$31),Design!$B$30,Design!$B$31)*1000000)&lt;0,0,($B68-R68*IF(ISBLANK(Design!$B$41),Constants!$C$6,Design!$B$41)/1000*(1+Constants!$C$32/100*(AC68-25))-Design!$C$27)/(IF(ISBLANK(Design!$B$40),Design!$B$38,Design!$B$40)/1000000)*T68/100/(IF(ISBLANK(Design!$B$31),Design!$B$30,Design!$B$31)*1000000))</f>
        <v>0.31789033841137143</v>
      </c>
      <c r="V68" s="183">
        <f>$B68*Constants!$C$21/1000+IF(ISBLANK(Design!$B$31),Design!$B$30,Design!$B$31)*1000000*Constants!$D$25/1000000000*($B68-Constants!$C$24)</f>
        <v>4.480499999999997E-2</v>
      </c>
      <c r="W68" s="183">
        <f>$B68*R68*($B68/(Constants!$C$26*1000000000)*IF(ISBLANK(Design!$B$31),Design!$B$30,Design!$B$31)*1000000/2+$B68/(Constants!$C$27*1000000000)*IF(ISBLANK(Design!$B$31),Design!$B$30,Design!$B$31)*1000000/2)</f>
        <v>0.3268138124999998</v>
      </c>
      <c r="X68" s="183">
        <f t="shared" ca="1" si="14"/>
        <v>0.77915174515797181</v>
      </c>
      <c r="Y68" s="183">
        <f>Constants!$D$25/1000000000*Constants!$C$24*IF(ISBLANK(Design!$B$31),Design!$B$30,Design!$B$31)*1000000</f>
        <v>5.2499999999999998E-2</v>
      </c>
      <c r="Z68" s="183">
        <f t="shared" ca="1" si="23"/>
        <v>1.2032705576579716</v>
      </c>
      <c r="AA68" s="183">
        <f t="shared" ca="1" si="19"/>
        <v>5.4178464457290076E-2</v>
      </c>
      <c r="AB68" s="184">
        <f ca="1">$A68+AA68*Design!$B$18</f>
        <v>88.08817247406553</v>
      </c>
      <c r="AC68" s="184">
        <f ca="1">Z68*Design!$C$11+$A68</f>
        <v>129.52101063334496</v>
      </c>
      <c r="AD68" s="184">
        <f ca="1">Constants!$D$22+Constants!$D$22*Constants!$C$23/100*(AC68-25)</f>
        <v>208.61680850667597</v>
      </c>
      <c r="AE68" s="183">
        <f ca="1">IF(100*(Design!$C$27+S68+R68*IF(ISBLANK(Design!$B$41),Constants!$C$6,Design!$B$41)/1000*(1+Constants!$C$32/100*(AC68-25)))/($B68+S68-R68*AD68/1000)&gt;Design!$B$34,   (1-Constants!$D$20/1000000000*IF(ISBLANK(Design!$B$31),Design!$B$30/4,Design!$B$31/4)*1000000) * ($B68+S68-R68*AD68/1000) - (S68+R68*(1+($A68-25)*Constants!$C$32/100)*IF(ISBLANK(Design!$B$41),Constants!$C$6/1000,Design!$B$41/1000)),  (1-Constants!$D$20/1000000000*IF(ISBLANK(Design!$B$31),Design!$B$30,Design!$B$31)*1000000) * ($B68+S68-R68*AD68/1000) - (S68+R68*(1+($A68-25)*Constants!$C$32/100)*IF(ISBLANK(Design!$B$41),Constants!$C$6/1000,Design!$B$41/1000)))</f>
        <v>6.4470800951191611</v>
      </c>
      <c r="AF68" s="117">
        <f ca="1">IF(AE68&gt;Design!$C$27,Design!$C$27,AE68)</f>
        <v>4.9936842105263155</v>
      </c>
      <c r="AG68" s="118">
        <f>Design!$D$6/3</f>
        <v>1</v>
      </c>
      <c r="AH68" s="118">
        <f ca="1">FORECAST(AG68, OFFSET(Design!$C$14:$C$16,MATCH(AG68,Design!$B$14:$B$16,1)-1,0,2), OFFSET(Design!$B$14:$B$16,MATCH(AG68,Design!$B$14:$B$16,1)-1,0,2))+(AQ68-25)*Design!$B$17/1000</f>
        <v>0.31689027096549832</v>
      </c>
      <c r="AI68" s="194">
        <f ca="1">IF(100*(Design!$C$27+AH68+AG68*IF(ISBLANK(Design!$B$41),Constants!$C$6,Design!$B$41)/1000*(1+Constants!$C$32/100*(AR68-25)))/($B68+AH68-AG68*AS68/1000)&gt;Design!$B$34,Design!$B$35,100*(Design!$C$27+AH68+AG68*IF(ISBLANK(Design!$B$41),Constants!$C$6,Design!$B$41)/1000*(1+Constants!$C$32/100*(AR68-25)))/($B68+AH68-AG68*AS68/1000))</f>
        <v>70.48094779971548</v>
      </c>
      <c r="AJ68" s="119">
        <f ca="1">IF(($B68-AG68*IF(ISBLANK(Design!$B$41),Constants!$C$6,Design!$B$41)/1000*(1+Constants!$C$32/100*(AR68-25))-Design!$C$27)/(IF(ISBLANK(Design!$B$40),Design!$B$38,Design!$B$40)/1000000)*AI68/100/(IF(ISBLANK(Design!$B$31),Design!$B$30,Design!$B$31)*1000000)&lt;0,0,($B68-AG68*IF(ISBLANK(Design!$B$41),Constants!$C$6,Design!$B$41)/1000*(1+Constants!$C$32/100*(AR68-25))-Design!$C$27)/(IF(ISBLANK(Design!$B$40),Design!$B$38,Design!$B$40)/1000000)*AI68/100/(IF(ISBLANK(Design!$B$31),Design!$B$30,Design!$B$31)*1000000))</f>
        <v>0.24746066141217013</v>
      </c>
      <c r="AK68" s="195">
        <f>$B68*Constants!$C$21/1000+IF(ISBLANK(Design!$B$31),Design!$B$30,Design!$B$31)*1000000*Constants!$D$25/1000000000*($B68-Constants!$C$24)</f>
        <v>4.480499999999997E-2</v>
      </c>
      <c r="AL68" s="195">
        <f>$B68*AG68*($B68/(Constants!$C$26*1000000000)*IF(ISBLANK(Design!$B$31),Design!$B$30,Design!$B$31)*1000000/2+$B68/(Constants!$C$27*1000000000)*IF(ISBLANK(Design!$B$31),Design!$B$30,Design!$B$31)*1000000/2)</f>
        <v>0.1634069062499999</v>
      </c>
      <c r="AM68" s="195">
        <f t="shared" ca="1" si="15"/>
        <v>0.13076303538251369</v>
      </c>
      <c r="AN68" s="195">
        <f>Constants!$D$25/1000000000*Constants!$C$24*IF(ISBLANK(Design!$B$31),Design!$B$30,Design!$B$31)*1000000</f>
        <v>5.2499999999999998E-2</v>
      </c>
      <c r="AO68" s="195">
        <f t="shared" ca="1" si="24"/>
        <v>0.39147494163251351</v>
      </c>
      <c r="AP68" s="195">
        <f t="shared" ca="1" si="21"/>
        <v>9.3543004503928523E-2</v>
      </c>
      <c r="AQ68" s="196">
        <f ca="1">$A68+AP68*Design!$B$18</f>
        <v>90.331951256723926</v>
      </c>
      <c r="AR68" s="196">
        <f ca="1">AO68*Design!$C$11+$A68</f>
        <v>99.484572840403004</v>
      </c>
      <c r="AS68" s="196">
        <f ca="1">Constants!$D$22+Constants!$D$22*Constants!$C$23/100*(AR68-25)</f>
        <v>184.58765827232241</v>
      </c>
      <c r="AT68" s="195">
        <f ca="1">IF(100*(Design!$C$27+AH68+AG68*IF(ISBLANK(Design!$B$41),Constants!$C$6,Design!$B$41)/1000*(1+Constants!$C$32/100*(AR68-25)))/($B68+AH68-AG68*AS68/1000)&gt;Design!$B$34,   (1-Constants!$D$20/1000000000*IF(ISBLANK(Design!$B$31),Design!$B$30/4,Design!$B$31/4)*1000000) * ($B68+AH68-AG68*AS68/1000) - (AH68+AG68*(1+($A68-25)*Constants!$C$32/100)*IF(ISBLANK(Design!$B$41),Constants!$C$6/1000,Design!$B$41/1000)),  (1-Constants!$D$20/1000000000*IF(ISBLANK(Design!$B$31),Design!$B$30,Design!$B$31)*1000000) * ($B68+AH68-AG68*AS68/1000) - (AH68+AG68*(1+($A68-25)*Constants!$C$32/100)*IF(ISBLANK(Design!$B$41),Constants!$C$6/1000,Design!$B$41/1000)))</f>
        <v>5.1652777284624376</v>
      </c>
      <c r="AU68" s="119">
        <f ca="1">IF(AT68&gt;Design!$C$27,Design!$C$27,AT68)</f>
        <v>4.9936842105263155</v>
      </c>
    </row>
    <row r="69" spans="1:47" ht="12.75" customHeight="1" x14ac:dyDescent="0.3">
      <c r="A69" s="112">
        <f>Design!$D$12</f>
        <v>85</v>
      </c>
      <c r="B69" s="113">
        <f t="shared" si="12"/>
        <v>7.2699999999999978</v>
      </c>
      <c r="C69" s="114">
        <f>Design!$D$6</f>
        <v>3</v>
      </c>
      <c r="D69" s="114">
        <f ca="1">FORECAST(C69, OFFSET(Design!$C$14:$C$16,MATCH(C69,Design!$B$14:$B$16,1)-1,0,2), OFFSET(Design!$B$14:$B$16,MATCH(C69,Design!$B$14:$B$16,1)-1,0,2))+(M69-25)*Design!$B$17/1000</f>
        <v>0.42009715117294832</v>
      </c>
      <c r="E69" s="173">
        <f ca="1">IF(100*(Design!$C$27+D69+C69*IF(ISBLANK(Design!$B$41),Constants!$C$6,Design!$B$41)/1000*(1+Constants!$C$32/100*(N69-25)))/($B69+D69-C69*O69/1000)&gt;Design!$B$34,Design!$B$35,100*(Design!$C$27+D69+C69*IF(ISBLANK(Design!$B$41),Constants!$C$6,Design!$B$41)/1000*(1+Constants!$C$32/100*(N69-25)))/($B69+D69-C69*O69/1000))</f>
        <v>93.174999999999997</v>
      </c>
      <c r="F69" s="115">
        <f ca="1">IF(($B69-C69*IF(ISBLANK(Design!$B$41),Constants!$C$6,Design!$B$41)/1000*(1+Constants!$C$32/100*(N69-25))-Design!$C$27)/(IF(ISBLANK(Design!$B$40),Design!$B$38,Design!$B$40)/1000000)*E69/100/(IF(ISBLANK(Design!$B$31),Design!$B$30,Design!$B$31)*1000000)&lt;0,0,($B69-C69*IF(ISBLANK(Design!$B$41),Constants!$C$6,Design!$B$41)/1000*(1+Constants!$C$32/100*(N69-25))-Design!$C$27)/(IF(ISBLANK(Design!$B$40),Design!$B$38,Design!$B$40)/1000000)*E69/100/(IF(ISBLANK(Design!$B$31),Design!$B$30,Design!$B$31)*1000000))</f>
        <v>0.27656960479940679</v>
      </c>
      <c r="G69" s="165">
        <f>B69*Constants!$C$21/1000+IF(ISBLANK(Design!$B$31),Design!$B$30,Design!$B$31)*1000000*Constants!$D$25/1000000000*(B69-Constants!$C$24)</f>
        <v>4.2009999999999971E-2</v>
      </c>
      <c r="H69" s="165">
        <f>B69*C69*(B69/(Constants!$C$26*1000000000)*IF(ISBLANK(Design!$B$31),Design!$B$30,Design!$B$31)*1000000/2+B69/(Constants!$C$27*1000000000)*IF(ISBLANK(Design!$B$31),Design!$B$30,Design!$B$31)*1000000/2)</f>
        <v>0.46246287499999972</v>
      </c>
      <c r="I69" s="165">
        <f t="shared" ca="1" si="13"/>
        <v>2.1156176902217276</v>
      </c>
      <c r="J69" s="165">
        <f>Constants!$D$25/1000000000*Constants!$C$24*IF(ISBLANK(Design!$B$31),Design!$B$30,Design!$B$31)*1000000</f>
        <v>5.2499999999999998E-2</v>
      </c>
      <c r="K69" s="165">
        <f t="shared" ca="1" si="22"/>
        <v>2.6725905652217277</v>
      </c>
      <c r="L69" s="165">
        <f t="shared" ca="1" si="17"/>
        <v>8.6014891702661217E-2</v>
      </c>
      <c r="M69" s="166">
        <f ca="1">$A69+L69*Design!$B$18</f>
        <v>89.902848827051685</v>
      </c>
      <c r="N69" s="166">
        <f ca="1">K69*Design!$C$11+A69</f>
        <v>183.88585091320391</v>
      </c>
      <c r="O69" s="166">
        <f ca="1">Constants!$D$22+Constants!$D$22*Constants!$C$23/100*(N69-25)</f>
        <v>252.10868073056315</v>
      </c>
      <c r="P69" s="165">
        <f ca="1">IF(100*(Design!$C$27+D69+C69*IF(ISBLANK(Design!$B$41),Constants!$C$6,Design!$B$41)/1000*(1+Constants!$C$32/100*(N69-25)))/($B69+D69-C69*O69/1000)&gt;Design!$B$34,   (1-Constants!$D$20/1000000000*IF(ISBLANK(Design!$B$31),Design!$B$30/4,Design!$B$31/4)*1000000) * ($B69+D69-C69*O69/1000) - (D69+C69*(1+($A69-25)*Constants!$C$32/100)*IF(ISBLANK(Design!$B$41),Constants!$C$6/1000,Design!$B$41/1000)),  (1-Constants!$D$20/1000000000*IF(ISBLANK(Design!$B$31),Design!$B$30,Design!$B$31)*1000000) * ($B69+D69-C69*O69/1000) - (D69+C69*(1+($A69-25)*Constants!$C$32/100)*IF(ISBLANK(Design!$B$41),Constants!$C$6/1000,Design!$B$41/1000)))</f>
        <v>5.8736110796203365</v>
      </c>
      <c r="Q69" s="115">
        <f ca="1">IF(P69&gt;Design!$C$27,Design!$C$27,P69)</f>
        <v>4.9936842105263155</v>
      </c>
      <c r="R69" s="116">
        <f>2*Design!$D$6/3</f>
        <v>2</v>
      </c>
      <c r="S69" s="116">
        <f ca="1">FORECAST(R69, OFFSET(Design!$C$14:$C$16,MATCH(R69,Design!$B$14:$B$16,1)-1,0,2), OFFSET(Design!$B$14:$B$16,MATCH(R69,Design!$B$14:$B$16,1)-1,0,2))+(AB69-25)*Design!$B$17/1000</f>
        <v>0.39691182752593446</v>
      </c>
      <c r="T69" s="182">
        <f ca="1">IF(100*(Design!$C$27+S69+R69*IF(ISBLANK(Design!$B$41),Constants!$C$6,Design!$B$41)/1000*(1+Constants!$C$32/100*(AC69-25)))/($B69+S69-R69*AD69/1000)&gt;Design!$B$34,Design!$B$35,100*(Design!$C$27+S69+R69*IF(ISBLANK(Design!$B$41),Constants!$C$6,Design!$B$41)/1000*(1+Constants!$C$32/100*(AC69-25)))/($B69+S69-R69*AD69/1000))</f>
        <v>93.174999999999997</v>
      </c>
      <c r="U69" s="117">
        <f ca="1">IF(($B69-R69*IF(ISBLANK(Design!$B$41),Constants!$C$6,Design!$B$41)/1000*(1+Constants!$C$32/100*(AC69-25))-Design!$C$27)/(IF(ISBLANK(Design!$B$40),Design!$B$38,Design!$B$40)/1000000)*T69/100/(IF(ISBLANK(Design!$B$31),Design!$B$30,Design!$B$31)*1000000)&lt;0,0,($B69-R69*IF(ISBLANK(Design!$B$41),Constants!$C$6,Design!$B$41)/1000*(1+Constants!$C$32/100*(AC69-25))-Design!$C$27)/(IF(ISBLANK(Design!$B$40),Design!$B$38,Design!$B$40)/1000000)*T69/100/(IF(ISBLANK(Design!$B$31),Design!$B$30,Design!$B$31)*1000000))</f>
        <v>0.28902592832621304</v>
      </c>
      <c r="V69" s="183">
        <f>$B69*Constants!$C$21/1000+IF(ISBLANK(Design!$B$31),Design!$B$30,Design!$B$31)*1000000*Constants!$D$25/1000000000*($B69-Constants!$C$24)</f>
        <v>4.2009999999999971E-2</v>
      </c>
      <c r="W69" s="183">
        <f>$B69*R69*($B69/(Constants!$C$26*1000000000)*IF(ISBLANK(Design!$B$31),Design!$B$30,Design!$B$31)*1000000/2+$B69/(Constants!$C$27*1000000000)*IF(ISBLANK(Design!$B$31),Design!$B$30,Design!$B$31)*1000000/2)</f>
        <v>0.30830858333333311</v>
      </c>
      <c r="X69" s="183">
        <f t="shared" ca="1" si="14"/>
        <v>0.77618635790093427</v>
      </c>
      <c r="Y69" s="183">
        <f>Constants!$D$25/1000000000*Constants!$C$24*IF(ISBLANK(Design!$B$31),Design!$B$30,Design!$B$31)*1000000</f>
        <v>5.2499999999999998E-2</v>
      </c>
      <c r="Z69" s="183">
        <f t="shared" ca="1" si="23"/>
        <v>1.1790049412342674</v>
      </c>
      <c r="AA69" s="183">
        <f t="shared" ca="1" si="19"/>
        <v>5.4178464457290076E-2</v>
      </c>
      <c r="AB69" s="184">
        <f ca="1">$A69+AA69*Design!$B$18</f>
        <v>88.08817247406553</v>
      </c>
      <c r="AC69" s="184">
        <f ca="1">Z69*Design!$C$11+$A69</f>
        <v>128.6231828256679</v>
      </c>
      <c r="AD69" s="184">
        <f ca="1">Constants!$D$22+Constants!$D$22*Constants!$C$23/100*(AC69-25)</f>
        <v>207.89854626053432</v>
      </c>
      <c r="AE69" s="183">
        <f ca="1">IF(100*(Design!$C$27+S69+R69*IF(ISBLANK(Design!$B$41),Constants!$C$6,Design!$B$41)/1000*(1+Constants!$C$32/100*(AC69-25)))/($B69+S69-R69*AD69/1000)&gt;Design!$B$34,   (1-Constants!$D$20/1000000000*IF(ISBLANK(Design!$B$31),Design!$B$30/4,Design!$B$31/4)*1000000) * ($B69+S69-R69*AD69/1000) - (S69+R69*(1+($A69-25)*Constants!$C$32/100)*IF(ISBLANK(Design!$B$41),Constants!$C$6/1000,Design!$B$41/1000)),  (1-Constants!$D$20/1000000000*IF(ISBLANK(Design!$B$31),Design!$B$30,Design!$B$31)*1000000) * ($B69+S69-R69*AD69/1000) - (S69+R69*(1+($A69-25)*Constants!$C$32/100)*IF(ISBLANK(Design!$B$41),Constants!$C$6/1000,Design!$B$41/1000)))</f>
        <v>6.2480923268148461</v>
      </c>
      <c r="AF69" s="117">
        <f ca="1">IF(AE69&gt;Design!$C$27,Design!$C$27,AE69)</f>
        <v>4.9936842105263155</v>
      </c>
      <c r="AG69" s="118">
        <f>Design!$D$6/3</f>
        <v>1</v>
      </c>
      <c r="AH69" s="118">
        <f ca="1">FORECAST(AG69, OFFSET(Design!$C$14:$C$16,MATCH(AG69,Design!$B$14:$B$16,1)-1,0,2), OFFSET(Design!$B$14:$B$16,MATCH(AG69,Design!$B$14:$B$16,1)-1,0,2))+(AQ69-25)*Design!$B$17/1000</f>
        <v>0.31725400260634856</v>
      </c>
      <c r="AI69" s="194">
        <f ca="1">IF(100*(Design!$C$27+AH69+AG69*IF(ISBLANK(Design!$B$41),Constants!$C$6,Design!$B$41)/1000*(1+Constants!$C$32/100*(AR69-25)))/($B69+AH69-AG69*AS69/1000)&gt;Design!$B$34,Design!$B$35,100*(Design!$C$27+AH69+AG69*IF(ISBLANK(Design!$B$41),Constants!$C$6,Design!$B$41)/1000*(1+Constants!$C$32/100*(AR69-25)))/($B69+AH69-AG69*AS69/1000))</f>
        <v>72.526194490583691</v>
      </c>
      <c r="AJ69" s="119">
        <f ca="1">IF(($B69-AG69*IF(ISBLANK(Design!$B$41),Constants!$C$6,Design!$B$41)/1000*(1+Constants!$C$32/100*(AR69-25))-Design!$C$27)/(IF(ISBLANK(Design!$B$40),Design!$B$38,Design!$B$40)/1000000)*AI69/100/(IF(ISBLANK(Design!$B$31),Design!$B$30,Design!$B$31)*1000000)&lt;0,0,($B69-AG69*IF(ISBLANK(Design!$B$41),Constants!$C$6,Design!$B$41)/1000*(1+Constants!$C$32/100*(AR69-25))-Design!$C$27)/(IF(ISBLANK(Design!$B$40),Design!$B$38,Design!$B$40)/1000000)*AI69/100/(IF(ISBLANK(Design!$B$31),Design!$B$30,Design!$B$31)*1000000))</f>
        <v>0.23214650410698637</v>
      </c>
      <c r="AK69" s="195">
        <f>$B69*Constants!$C$21/1000+IF(ISBLANK(Design!$B$31),Design!$B$30,Design!$B$31)*1000000*Constants!$D$25/1000000000*($B69-Constants!$C$24)</f>
        <v>4.2009999999999971E-2</v>
      </c>
      <c r="AL69" s="195">
        <f>$B69*AG69*($B69/(Constants!$C$26*1000000000)*IF(ISBLANK(Design!$B$31),Design!$B$30,Design!$B$31)*1000000/2+$B69/(Constants!$C$27*1000000000)*IF(ISBLANK(Design!$B$31),Design!$B$30,Design!$B$31)*1000000/2)</f>
        <v>0.15415429166666655</v>
      </c>
      <c r="AM69" s="195">
        <f t="shared" ca="1" si="15"/>
        <v>0.13429193500867381</v>
      </c>
      <c r="AN69" s="195">
        <f>Constants!$D$25/1000000000*Constants!$C$24*IF(ISBLANK(Design!$B$31),Design!$B$30,Design!$B$31)*1000000</f>
        <v>5.2499999999999998E-2</v>
      </c>
      <c r="AO69" s="195">
        <f t="shared" ca="1" si="24"/>
        <v>0.38295622667534035</v>
      </c>
      <c r="AP69" s="195">
        <f t="shared" ca="1" si="21"/>
        <v>8.7161747646906734E-2</v>
      </c>
      <c r="AQ69" s="196">
        <f ca="1">$A69+AP69*Design!$B$18</f>
        <v>89.968219615873679</v>
      </c>
      <c r="AR69" s="196">
        <f ca="1">AO69*Design!$C$11+$A69</f>
        <v>99.169380386987598</v>
      </c>
      <c r="AS69" s="196">
        <f ca="1">Constants!$D$22+Constants!$D$22*Constants!$C$23/100*(AR69-25)</f>
        <v>184.33550430959008</v>
      </c>
      <c r="AT69" s="195">
        <f ca="1">IF(100*(Design!$C$27+AH69+AG69*IF(ISBLANK(Design!$B$41),Constants!$C$6,Design!$B$41)/1000*(1+Constants!$C$32/100*(AR69-25)))/($B69+AH69-AG69*AS69/1000)&gt;Design!$B$34,   (1-Constants!$D$20/1000000000*IF(ISBLANK(Design!$B$31),Design!$B$30/4,Design!$B$31/4)*1000000) * ($B69+AH69-AG69*AS69/1000) - (AH69+AG69*(1+($A69-25)*Constants!$C$32/100)*IF(ISBLANK(Design!$B$41),Constants!$C$6/1000,Design!$B$41/1000)),  (1-Constants!$D$20/1000000000*IF(ISBLANK(Design!$B$31),Design!$B$30,Design!$B$31)*1000000) * ($B69+AH69-AG69*AS69/1000) - (AH69+AG69*(1+($A69-25)*Constants!$C$32/100)*IF(ISBLANK(Design!$B$41),Constants!$C$6/1000,Design!$B$41/1000)))</f>
        <v>5.0090567456553918</v>
      </c>
      <c r="AU69" s="119">
        <f ca="1">IF(AT69&gt;Design!$C$27,Design!$C$27,AT69)</f>
        <v>4.9936842105263155</v>
      </c>
    </row>
    <row r="70" spans="1:47" ht="12.75" customHeight="1" x14ac:dyDescent="0.3">
      <c r="A70" s="112">
        <f>Design!$D$12</f>
        <v>85</v>
      </c>
      <c r="B70" s="113">
        <f t="shared" si="12"/>
        <v>7.0549999999999979</v>
      </c>
      <c r="C70" s="114">
        <f>Design!$D$6</f>
        <v>3</v>
      </c>
      <c r="D70" s="114">
        <f ca="1">FORECAST(C70, OFFSET(Design!$C$14:$C$16,MATCH(C70,Design!$B$14:$B$16,1)-1,0,2), OFFSET(Design!$B$14:$B$16,MATCH(C70,Design!$B$14:$B$16,1)-1,0,2))+(M70-25)*Design!$B$17/1000</f>
        <v>0.42009715117294832</v>
      </c>
      <c r="E70" s="173">
        <f ca="1">IF(100*(Design!$C$27+D70+C70*IF(ISBLANK(Design!$B$41),Constants!$C$6,Design!$B$41)/1000*(1+Constants!$C$32/100*(N70-25)))/($B70+D70-C70*O70/1000)&gt;Design!$B$34,Design!$B$35,100*(Design!$C$27+D70+C70*IF(ISBLANK(Design!$B$41),Constants!$C$6,Design!$B$41)/1000*(1+Constants!$C$32/100*(N70-25)))/($B70+D70-C70*O70/1000))</f>
        <v>93.174999999999997</v>
      </c>
      <c r="F70" s="115">
        <f ca="1">IF(($B70-C70*IF(ISBLANK(Design!$B$41),Constants!$C$6,Design!$B$41)/1000*(1+Constants!$C$32/100*(N70-25))-Design!$C$27)/(IF(ISBLANK(Design!$B$40),Design!$B$38,Design!$B$40)/1000000)*E70/100/(IF(ISBLANK(Design!$B$31),Design!$B$30,Design!$B$31)*1000000)&lt;0,0,($B70-C70*IF(ISBLANK(Design!$B$41),Constants!$C$6,Design!$B$41)/1000*(1+Constants!$C$32/100*(N70-25))-Design!$C$27)/(IF(ISBLANK(Design!$B$40),Design!$B$38,Design!$B$40)/1000000)*E70/100/(IF(ISBLANK(Design!$B$31),Design!$B$30,Design!$B$31)*1000000))</f>
        <v>0.24776797968725348</v>
      </c>
      <c r="G70" s="165">
        <f>B70*Constants!$C$21/1000+IF(ISBLANK(Design!$B$31),Design!$B$30,Design!$B$31)*1000000*Constants!$D$25/1000000000*(B70-Constants!$C$24)</f>
        <v>3.9214999999999972E-2</v>
      </c>
      <c r="H70" s="165">
        <f>B70*C70*(B70/(Constants!$C$26*1000000000)*IF(ISBLANK(Design!$B$31),Design!$B$30,Design!$B$31)*1000000/2+B70/(Constants!$C$27*1000000000)*IF(ISBLANK(Design!$B$31),Design!$B$30,Design!$B$31)*1000000/2)</f>
        <v>0.4355139687499997</v>
      </c>
      <c r="I70" s="165">
        <f t="shared" ca="1" si="13"/>
        <v>2.1053963231874366</v>
      </c>
      <c r="J70" s="165">
        <f>Constants!$D$25/1000000000*Constants!$C$24*IF(ISBLANK(Design!$B$31),Design!$B$30,Design!$B$31)*1000000</f>
        <v>5.2499999999999998E-2</v>
      </c>
      <c r="K70" s="165">
        <f t="shared" ca="1" si="22"/>
        <v>2.6326252919374364</v>
      </c>
      <c r="L70" s="165">
        <f t="shared" ca="1" si="17"/>
        <v>8.6014891702661217E-2</v>
      </c>
      <c r="M70" s="166">
        <f ca="1">$A70+L70*Design!$B$18</f>
        <v>89.902848827051685</v>
      </c>
      <c r="N70" s="166">
        <f ca="1">K70*Design!$C$11+A70</f>
        <v>182.40713580168514</v>
      </c>
      <c r="O70" s="166">
        <f ca="1">Constants!$D$22+Constants!$D$22*Constants!$C$23/100*(N70-25)</f>
        <v>250.92570864134814</v>
      </c>
      <c r="P70" s="165">
        <f ca="1">IF(100*(Design!$C$27+D70+C70*IF(ISBLANK(Design!$B$41),Constants!$C$6,Design!$B$41)/1000*(1+Constants!$C$32/100*(N70-25)))/($B70+D70-C70*O70/1000)&gt;Design!$B$34,   (1-Constants!$D$20/1000000000*IF(ISBLANK(Design!$B$31),Design!$B$30/4,Design!$B$31/4)*1000000) * ($B70+D70-C70*O70/1000) - (D70+C70*(1+($A70-25)*Constants!$C$32/100)*IF(ISBLANK(Design!$B$41),Constants!$C$6/1000,Design!$B$41/1000)),  (1-Constants!$D$20/1000000000*IF(ISBLANK(Design!$B$31),Design!$B$30,Design!$B$31)*1000000) * ($B70+D70-C70*O70/1000) - (D70+C70*(1+($A70-25)*Constants!$C$32/100)*IF(ISBLANK(Design!$B$41),Constants!$C$6/1000,Design!$B$41/1000)))</f>
        <v>5.676591532352715</v>
      </c>
      <c r="Q70" s="115">
        <f ca="1">IF(P70&gt;Design!$C$27,Design!$C$27,P70)</f>
        <v>4.9936842105263155</v>
      </c>
      <c r="R70" s="116">
        <f>2*Design!$D$6/3</f>
        <v>2</v>
      </c>
      <c r="S70" s="116">
        <f ca="1">FORECAST(R70, OFFSET(Design!$C$14:$C$16,MATCH(R70,Design!$B$14:$B$16,1)-1,0,2), OFFSET(Design!$B$14:$B$16,MATCH(R70,Design!$B$14:$B$16,1)-1,0,2))+(AB70-25)*Design!$B$17/1000</f>
        <v>0.39691182752593446</v>
      </c>
      <c r="T70" s="182">
        <f ca="1">IF(100*(Design!$C$27+S70+R70*IF(ISBLANK(Design!$B$41),Constants!$C$6,Design!$B$41)/1000*(1+Constants!$C$32/100*(AC70-25)))/($B70+S70-R70*AD70/1000)&gt;Design!$B$34,Design!$B$35,100*(Design!$C$27+S70+R70*IF(ISBLANK(Design!$B$41),Constants!$C$6,Design!$B$41)/1000*(1+Constants!$C$32/100*(AC70-25)))/($B70+S70-R70*AD70/1000))</f>
        <v>93.174999999999997</v>
      </c>
      <c r="U70" s="117">
        <f ca="1">IF(($B70-R70*IF(ISBLANK(Design!$B$41),Constants!$C$6,Design!$B$41)/1000*(1+Constants!$C$32/100*(AC70-25))-Design!$C$27)/(IF(ISBLANK(Design!$B$40),Design!$B$38,Design!$B$40)/1000000)*T70/100/(IF(ISBLANK(Design!$B$31),Design!$B$30,Design!$B$31)*1000000)&lt;0,0,($B70-R70*IF(ISBLANK(Design!$B$41),Constants!$C$6,Design!$B$41)/1000*(1+Constants!$C$32/100*(AC70-25))-Design!$C$27)/(IF(ISBLANK(Design!$B$40),Design!$B$38,Design!$B$40)/1000000)*T70/100/(IF(ISBLANK(Design!$B$31),Design!$B$30,Design!$B$31)*1000000))</f>
        <v>0.26016039460713652</v>
      </c>
      <c r="V70" s="183">
        <f>$B70*Constants!$C$21/1000+IF(ISBLANK(Design!$B$31),Design!$B$30,Design!$B$31)*1000000*Constants!$D$25/1000000000*($B70-Constants!$C$24)</f>
        <v>3.9214999999999972E-2</v>
      </c>
      <c r="W70" s="183">
        <f>$B70*R70*($B70/(Constants!$C$26*1000000000)*IF(ISBLANK(Design!$B$31),Design!$B$30,Design!$B$31)*1000000/2+$B70/(Constants!$C$27*1000000000)*IF(ISBLANK(Design!$B$31),Design!$B$30,Design!$B$31)*1000000/2)</f>
        <v>0.29034264583333314</v>
      </c>
      <c r="X70" s="183">
        <f t="shared" ca="1" si="14"/>
        <v>0.7733202686482652</v>
      </c>
      <c r="Y70" s="183">
        <f>Constants!$D$25/1000000000*Constants!$C$24*IF(ISBLANK(Design!$B$31),Design!$B$30,Design!$B$31)*1000000</f>
        <v>5.2499999999999998E-2</v>
      </c>
      <c r="Z70" s="183">
        <f t="shared" ca="1" si="23"/>
        <v>1.1553779144815983</v>
      </c>
      <c r="AA70" s="183">
        <f t="shared" ca="1" si="19"/>
        <v>5.4178464457290076E-2</v>
      </c>
      <c r="AB70" s="184">
        <f ca="1">$A70+AA70*Design!$B$18</f>
        <v>88.08817247406553</v>
      </c>
      <c r="AC70" s="184">
        <f ca="1">Z70*Design!$C$11+$A70</f>
        <v>127.74898283581913</v>
      </c>
      <c r="AD70" s="184">
        <f ca="1">Constants!$D$22+Constants!$D$22*Constants!$C$23/100*(AC70-25)</f>
        <v>207.1991862686553</v>
      </c>
      <c r="AE70" s="183">
        <f ca="1">IF(100*(Design!$C$27+S70+R70*IF(ISBLANK(Design!$B$41),Constants!$C$6,Design!$B$41)/1000*(1+Constants!$C$32/100*(AC70-25)))/($B70+S70-R70*AD70/1000)&gt;Design!$B$34,   (1-Constants!$D$20/1000000000*IF(ISBLANK(Design!$B$31),Design!$B$30/4,Design!$B$31/4)*1000000) * ($B70+S70-R70*AD70/1000) - (S70+R70*(1+($A70-25)*Constants!$C$32/100)*IF(ISBLANK(Design!$B$41),Constants!$C$6/1000,Design!$B$41/1000)),  (1-Constants!$D$20/1000000000*IF(ISBLANK(Design!$B$31),Design!$B$30,Design!$B$31)*1000000) * ($B70+S70-R70*AD70/1000) - (S70+R70*(1+($A70-25)*Constants!$C$32/100)*IF(ISBLANK(Design!$B$41),Constants!$C$6/1000,Design!$B$41/1000)))</f>
        <v>6.0490693341597135</v>
      </c>
      <c r="AF70" s="117">
        <f ca="1">IF(AE70&gt;Design!$C$27,Design!$C$27,AE70)</f>
        <v>4.9936842105263155</v>
      </c>
      <c r="AG70" s="118">
        <f>Design!$D$6/3</f>
        <v>1</v>
      </c>
      <c r="AH70" s="118">
        <f ca="1">FORECAST(AG70, OFFSET(Design!$C$14:$C$16,MATCH(AG70,Design!$B$14:$B$16,1)-1,0,2), OFFSET(Design!$B$14:$B$16,MATCH(AG70,Design!$B$14:$B$16,1)-1,0,2))+(AQ70-25)*Design!$B$17/1000</f>
        <v>0.32097355485046519</v>
      </c>
      <c r="AI70" s="194">
        <f ca="1">IF(100*(Design!$C$27+AH70+AG70*IF(ISBLANK(Design!$B$41),Constants!$C$6,Design!$B$41)/1000*(1+Constants!$C$32/100*(AR70-25)))/($B70+AH70-AG70*AS70/1000)&gt;Design!$B$34,Design!$B$35,100*(Design!$C$27+AH70+AG70*IF(ISBLANK(Design!$B$41),Constants!$C$6,Design!$B$41)/1000*(1+Constants!$C$32/100*(AR70-25)))/($B70+AH70-AG70*AS70/1000))</f>
        <v>93.174999999999997</v>
      </c>
      <c r="AJ70" s="119">
        <f ca="1">IF(($B70-AG70*IF(ISBLANK(Design!$B$41),Constants!$C$6,Design!$B$41)/1000*(1+Constants!$C$32/100*(AR70-25))-Design!$C$27)/(IF(ISBLANK(Design!$B$40),Design!$B$38,Design!$B$40)/1000000)*AI70/100/(IF(ISBLANK(Design!$B$31),Design!$B$30,Design!$B$31)*1000000)&lt;0,0,($B70-AG70*IF(ISBLANK(Design!$B$41),Constants!$C$6,Design!$B$41)/1000*(1+Constants!$C$32/100*(AR70-25))-Design!$C$27)/(IF(ISBLANK(Design!$B$40),Design!$B$38,Design!$B$40)/1000000)*AI70/100/(IF(ISBLANK(Design!$B$31),Design!$B$30,Design!$B$31)*1000000))</f>
        <v>0.26930923991733674</v>
      </c>
      <c r="AK70" s="195">
        <f>$B70*Constants!$C$21/1000+IF(ISBLANK(Design!$B$31),Design!$B$30,Design!$B$31)*1000000*Constants!$D$25/1000000000*($B70-Constants!$C$24)</f>
        <v>3.9214999999999972E-2</v>
      </c>
      <c r="AL70" s="195">
        <f>$B70*AG70*($B70/(Constants!$C$26*1000000000)*IF(ISBLANK(Design!$B$31),Design!$B$30,Design!$B$31)*1000000/2+$B70/(Constants!$C$27*1000000000)*IF(ISBLANK(Design!$B$31),Design!$B$30,Design!$B$31)*1000000/2)</f>
        <v>0.14517132291666657</v>
      </c>
      <c r="AM70" s="195">
        <f t="shared" ca="1" si="15"/>
        <v>0.17355530683851883</v>
      </c>
      <c r="AN70" s="195">
        <f>Constants!$D$25/1000000000*Constants!$C$24*IF(ISBLANK(Design!$B$31),Design!$B$30,Design!$B$31)*1000000</f>
        <v>5.2499999999999998E-2</v>
      </c>
      <c r="AO70" s="195">
        <f t="shared" ca="1" si="24"/>
        <v>0.41044162975518539</v>
      </c>
      <c r="AP70" s="195">
        <f t="shared" ca="1" si="21"/>
        <v>2.1906445118544261E-2</v>
      </c>
      <c r="AQ70" s="196">
        <f ca="1">$A70+AP70*Design!$B$18</f>
        <v>86.248667371757023</v>
      </c>
      <c r="AR70" s="196">
        <f ca="1">AO70*Design!$C$11+$A70</f>
        <v>100.18634030094186</v>
      </c>
      <c r="AS70" s="196">
        <f ca="1">Constants!$D$22+Constants!$D$22*Constants!$C$23/100*(AR70-25)</f>
        <v>185.1490722407535</v>
      </c>
      <c r="AT70" s="195">
        <f ca="1">IF(100*(Design!$C$27+AH70+AG70*IF(ISBLANK(Design!$B$41),Constants!$C$6,Design!$B$41)/1000*(1+Constants!$C$32/100*(AR70-25)))/($B70+AH70-AG70*AS70/1000)&gt;Design!$B$34,   (1-Constants!$D$20/1000000000*IF(ISBLANK(Design!$B$31),Design!$B$30/4,Design!$B$31/4)*1000000) * ($B70+AH70-AG70*AS70/1000) - (AH70+AG70*(1+($A70-25)*Constants!$C$32/100)*IF(ISBLANK(Design!$B$41),Constants!$C$6/1000,Design!$B$41/1000)),  (1-Constants!$D$20/1000000000*IF(ISBLANK(Design!$B$31),Design!$B$30,Design!$B$31)*1000000) * ($B70+AH70-AG70*AS70/1000) - (AH70+AG70*(1+($A70-25)*Constants!$C$32/100)*IF(ISBLANK(Design!$B$41),Constants!$C$6/1000,Design!$B$41/1000)))</f>
        <v>6.323466156821131</v>
      </c>
      <c r="AU70" s="119">
        <f ca="1">IF(AT70&gt;Design!$C$27,Design!$C$27,AT70)</f>
        <v>4.9936842105263155</v>
      </c>
    </row>
    <row r="71" spans="1:47" ht="12.75" customHeight="1" x14ac:dyDescent="0.3">
      <c r="A71" s="112">
        <f>Design!$D$12</f>
        <v>85</v>
      </c>
      <c r="B71" s="113">
        <f t="shared" si="12"/>
        <v>6.8399999999999981</v>
      </c>
      <c r="C71" s="114">
        <f>Design!$D$6</f>
        <v>3</v>
      </c>
      <c r="D71" s="114">
        <f ca="1">FORECAST(C71, OFFSET(Design!$C$14:$C$16,MATCH(C71,Design!$B$14:$B$16,1)-1,0,2), OFFSET(Design!$B$14:$B$16,MATCH(C71,Design!$B$14:$B$16,1)-1,0,2))+(M71-25)*Design!$B$17/1000</f>
        <v>0.42009715117294832</v>
      </c>
      <c r="E71" s="173">
        <f ca="1">IF(100*(Design!$C$27+D71+C71*IF(ISBLANK(Design!$B$41),Constants!$C$6,Design!$B$41)/1000*(1+Constants!$C$32/100*(N71-25)))/($B71+D71-C71*O71/1000)&gt;Design!$B$34,Design!$B$35,100*(Design!$C$27+D71+C71*IF(ISBLANK(Design!$B$41),Constants!$C$6,Design!$B$41)/1000*(1+Constants!$C$32/100*(N71-25)))/($B71+D71-C71*O71/1000))</f>
        <v>93.174999999999997</v>
      </c>
      <c r="F71" s="115">
        <f ca="1">IF(($B71-C71*IF(ISBLANK(Design!$B$41),Constants!$C$6,Design!$B$41)/1000*(1+Constants!$C$32/100*(N71-25))-Design!$C$27)/(IF(ISBLANK(Design!$B$40),Design!$B$38,Design!$B$40)/1000000)*E71/100/(IF(ISBLANK(Design!$B$31),Design!$B$30,Design!$B$31)*1000000)&lt;0,0,($B71-C71*IF(ISBLANK(Design!$B$41),Constants!$C$6,Design!$B$41)/1000*(1+Constants!$C$32/100*(N71-25))-Design!$C$27)/(IF(ISBLANK(Design!$B$40),Design!$B$38,Design!$B$40)/1000000)*E71/100/(IF(ISBLANK(Design!$B$31),Design!$B$30,Design!$B$31)*1000000))</f>
        <v>0.21896339154790059</v>
      </c>
      <c r="G71" s="165">
        <f>B71*Constants!$C$21/1000+IF(ISBLANK(Design!$B$31),Design!$B$30,Design!$B$31)*1000000*Constants!$D$25/1000000000*(B71-Constants!$C$24)</f>
        <v>3.6419999999999973E-2</v>
      </c>
      <c r="H71" s="165">
        <f>B71*C71*(B71/(Constants!$C$26*1000000000)*IF(ISBLANK(Design!$B$31),Design!$B$30,Design!$B$31)*1000000/2+B71/(Constants!$C$27*1000000000)*IF(ISBLANK(Design!$B$31),Design!$B$30,Design!$B$31)*1000000/2)</f>
        <v>0.40937399999999985</v>
      </c>
      <c r="I71" s="165">
        <f t="shared" ca="1" si="13"/>
        <v>2.0954886610214909</v>
      </c>
      <c r="J71" s="165">
        <f>Constants!$D$25/1000000000*Constants!$C$24*IF(ISBLANK(Design!$B$31),Design!$B$30,Design!$B$31)*1000000</f>
        <v>5.2499999999999998E-2</v>
      </c>
      <c r="K71" s="165">
        <f t="shared" ca="1" si="22"/>
        <v>2.5937826610214909</v>
      </c>
      <c r="L71" s="165">
        <f t="shared" ca="1" si="17"/>
        <v>8.6014891702661217E-2</v>
      </c>
      <c r="M71" s="166">
        <f ca="1">$A71+L71*Design!$B$18</f>
        <v>89.902848827051685</v>
      </c>
      <c r="N71" s="166">
        <f ca="1">K71*Design!$C$11+A71</f>
        <v>180.96995845779514</v>
      </c>
      <c r="O71" s="166">
        <f ca="1">Constants!$D$22+Constants!$D$22*Constants!$C$23/100*(N71-25)</f>
        <v>249.77596676623614</v>
      </c>
      <c r="P71" s="165">
        <f ca="1">IF(100*(Design!$C$27+D71+C71*IF(ISBLANK(Design!$B$41),Constants!$C$6,Design!$B$41)/1000*(1+Constants!$C$32/100*(N71-25)))/($B71+D71-C71*O71/1000)&gt;Design!$B$34,   (1-Constants!$D$20/1000000000*IF(ISBLANK(Design!$B$31),Design!$B$30/4,Design!$B$31/4)*1000000) * ($B71+D71-C71*O71/1000) - (D71+C71*(1+($A71-25)*Constants!$C$32/100)*IF(ISBLANK(Design!$B$41),Constants!$C$6/1000,Design!$B$41/1000)),  (1-Constants!$D$20/1000000000*IF(ISBLANK(Design!$B$31),Design!$B$30,Design!$B$31)*1000000) * ($B71+D71-C71*O71/1000) - (D71+C71*(1+($A71-25)*Constants!$C$32/100)*IF(ISBLANK(Design!$B$41),Constants!$C$6/1000,Design!$B$41/1000)))</f>
        <v>5.4794790983291222</v>
      </c>
      <c r="Q71" s="115">
        <f ca="1">IF(P71&gt;Design!$C$27,Design!$C$27,P71)</f>
        <v>4.9936842105263155</v>
      </c>
      <c r="R71" s="116">
        <f>2*Design!$D$6/3</f>
        <v>2</v>
      </c>
      <c r="S71" s="116">
        <f ca="1">FORECAST(R71, OFFSET(Design!$C$14:$C$16,MATCH(R71,Design!$B$14:$B$16,1)-1,0,2), OFFSET(Design!$B$14:$B$16,MATCH(R71,Design!$B$14:$B$16,1)-1,0,2))+(AB71-25)*Design!$B$17/1000</f>
        <v>0.39691182752593446</v>
      </c>
      <c r="T71" s="182">
        <f ca="1">IF(100*(Design!$C$27+S71+R71*IF(ISBLANK(Design!$B$41),Constants!$C$6,Design!$B$41)/1000*(1+Constants!$C$32/100*(AC71-25)))/($B71+S71-R71*AD71/1000)&gt;Design!$B$34,Design!$B$35,100*(Design!$C$27+S71+R71*IF(ISBLANK(Design!$B$41),Constants!$C$6,Design!$B$41)/1000*(1+Constants!$C$32/100*(AC71-25)))/($B71+S71-R71*AD71/1000))</f>
        <v>93.174999999999997</v>
      </c>
      <c r="U71" s="117">
        <f ca="1">IF(($B71-R71*IF(ISBLANK(Design!$B$41),Constants!$C$6,Design!$B$41)/1000*(1+Constants!$C$32/100*(AC71-25))-Design!$C$27)/(IF(ISBLANK(Design!$B$40),Design!$B$38,Design!$B$40)/1000000)*T71/100/(IF(ISBLANK(Design!$B$31),Design!$B$30,Design!$B$31)*1000000)&lt;0,0,($B71-R71*IF(ISBLANK(Design!$B$41),Constants!$C$6,Design!$B$41)/1000*(1+Constants!$C$32/100*(AC71-25))-Design!$C$27)/(IF(ISBLANK(Design!$B$40),Design!$B$38,Design!$B$40)/1000000)*T71/100/(IF(ISBLANK(Design!$B$31),Design!$B$30,Design!$B$31)*1000000))</f>
        <v>0.23129373792277344</v>
      </c>
      <c r="V71" s="183">
        <f>$B71*Constants!$C$21/1000+IF(ISBLANK(Design!$B$31),Design!$B$30,Design!$B$31)*1000000*Constants!$D$25/1000000000*($B71-Constants!$C$24)</f>
        <v>3.6419999999999973E-2</v>
      </c>
      <c r="W71" s="183">
        <f>$B71*R71*($B71/(Constants!$C$26*1000000000)*IF(ISBLANK(Design!$B$31),Design!$B$30,Design!$B$31)*1000000/2+$B71/(Constants!$C$27*1000000000)*IF(ISBLANK(Design!$B$31),Design!$B$30,Design!$B$31)*1000000/2)</f>
        <v>0.27291599999999988</v>
      </c>
      <c r="X71" s="183">
        <f t="shared" ca="1" si="14"/>
        <v>0.77055309739960243</v>
      </c>
      <c r="Y71" s="183">
        <f>Constants!$D$25/1000000000*Constants!$C$24*IF(ISBLANK(Design!$B$31),Design!$B$30,Design!$B$31)*1000000</f>
        <v>5.2499999999999998E-2</v>
      </c>
      <c r="Z71" s="183">
        <f t="shared" ca="1" si="23"/>
        <v>1.1323890973996023</v>
      </c>
      <c r="AA71" s="183">
        <f t="shared" ca="1" si="19"/>
        <v>5.4178464457290076E-2</v>
      </c>
      <c r="AB71" s="184">
        <f ca="1">$A71+AA71*Design!$B$18</f>
        <v>88.08817247406553</v>
      </c>
      <c r="AC71" s="184">
        <f ca="1">Z71*Design!$C$11+$A71</f>
        <v>126.89839660378529</v>
      </c>
      <c r="AD71" s="184">
        <f ca="1">Constants!$D$22+Constants!$D$22*Constants!$C$23/100*(AC71-25)</f>
        <v>206.51871728302825</v>
      </c>
      <c r="AE71" s="183">
        <f ca="1">IF(100*(Design!$C$27+S71+R71*IF(ISBLANK(Design!$B$41),Constants!$C$6,Design!$B$41)/1000*(1+Constants!$C$32/100*(AC71-25)))/($B71+S71-R71*AD71/1000)&gt;Design!$B$34,   (1-Constants!$D$20/1000000000*IF(ISBLANK(Design!$B$31),Design!$B$30/4,Design!$B$31/4)*1000000) * ($B71+S71-R71*AD71/1000) - (S71+R71*(1+($A71-25)*Constants!$C$32/100)*IF(ISBLANK(Design!$B$41),Constants!$C$6/1000,Design!$B$41/1000)),  (1-Constants!$D$20/1000000000*IF(ISBLANK(Design!$B$31),Design!$B$30,Design!$B$31)*1000000) * ($B71+S71-R71*AD71/1000) - (S71+R71*(1+($A71-25)*Constants!$C$32/100)*IF(ISBLANK(Design!$B$41),Constants!$C$6/1000,Design!$B$41/1000)))</f>
        <v>5.8500111381144295</v>
      </c>
      <c r="AF71" s="117">
        <f ca="1">IF(AE71&gt;Design!$C$27,Design!$C$27,AE71)</f>
        <v>4.9936842105263155</v>
      </c>
      <c r="AG71" s="118">
        <f>Design!$D$6/3</f>
        <v>1</v>
      </c>
      <c r="AH71" s="118">
        <f ca="1">FORECAST(AG71, OFFSET(Design!$C$14:$C$16,MATCH(AG71,Design!$B$14:$B$16,1)-1,0,2), OFFSET(Design!$B$14:$B$16,MATCH(AG71,Design!$B$14:$B$16,1)-1,0,2))+(AQ71-25)*Design!$B$17/1000</f>
        <v>0.32097355485046519</v>
      </c>
      <c r="AI71" s="194">
        <f ca="1">IF(100*(Design!$C$27+AH71+AG71*IF(ISBLANK(Design!$B$41),Constants!$C$6,Design!$B$41)/1000*(1+Constants!$C$32/100*(AR71-25)))/($B71+AH71-AG71*AS71/1000)&gt;Design!$B$34,Design!$B$35,100*(Design!$C$27+AH71+AG71*IF(ISBLANK(Design!$B$41),Constants!$C$6,Design!$B$41)/1000*(1+Constants!$C$32/100*(AR71-25)))/($B71+AH71-AG71*AS71/1000))</f>
        <v>93.174999999999997</v>
      </c>
      <c r="AJ71" s="119">
        <f ca="1">IF(($B71-AG71*IF(ISBLANK(Design!$B$41),Constants!$C$6,Design!$B$41)/1000*(1+Constants!$C$32/100*(AR71-25))-Design!$C$27)/(IF(ISBLANK(Design!$B$40),Design!$B$38,Design!$B$40)/1000000)*AI71/100/(IF(ISBLANK(Design!$B$31),Design!$B$30,Design!$B$31)*1000000)&lt;0,0,($B71-AG71*IF(ISBLANK(Design!$B$41),Constants!$C$6,Design!$B$41)/1000*(1+Constants!$C$32/100*(AR71-25))-Design!$C$27)/(IF(ISBLANK(Design!$B$40),Design!$B$38,Design!$B$40)/1000000)*AI71/100/(IF(ISBLANK(Design!$B$31),Design!$B$30,Design!$B$31)*1000000))</f>
        <v>0.24041273808305744</v>
      </c>
      <c r="AK71" s="195">
        <f>$B71*Constants!$C$21/1000+IF(ISBLANK(Design!$B$31),Design!$B$30,Design!$B$31)*1000000*Constants!$D$25/1000000000*($B71-Constants!$C$24)</f>
        <v>3.6419999999999973E-2</v>
      </c>
      <c r="AL71" s="195">
        <f>$B71*AG71*($B71/(Constants!$C$26*1000000000)*IF(ISBLANK(Design!$B$31),Design!$B$30,Design!$B$31)*1000000/2+$B71/(Constants!$C$27*1000000000)*IF(ISBLANK(Design!$B$31),Design!$B$30,Design!$B$31)*1000000/2)</f>
        <v>0.13645799999999994</v>
      </c>
      <c r="AM71" s="195">
        <f t="shared" ca="1" si="15"/>
        <v>0.17300950779411134</v>
      </c>
      <c r="AN71" s="195">
        <f>Constants!$D$25/1000000000*Constants!$C$24*IF(ISBLANK(Design!$B$31),Design!$B$30,Design!$B$31)*1000000</f>
        <v>5.2499999999999998E-2</v>
      </c>
      <c r="AO71" s="195">
        <f t="shared" ca="1" si="24"/>
        <v>0.39838750779411125</v>
      </c>
      <c r="AP71" s="195">
        <f t="shared" ca="1" si="21"/>
        <v>2.1906445118544261E-2</v>
      </c>
      <c r="AQ71" s="196">
        <f ca="1">$A71+AP71*Design!$B$18</f>
        <v>86.248667371757023</v>
      </c>
      <c r="AR71" s="196">
        <f ca="1">AO71*Design!$C$11+$A71</f>
        <v>99.740337788382121</v>
      </c>
      <c r="AS71" s="196">
        <f ca="1">Constants!$D$22+Constants!$D$22*Constants!$C$23/100*(AR71-25)</f>
        <v>184.7922702307057</v>
      </c>
      <c r="AT71" s="195">
        <f ca="1">IF(100*(Design!$C$27+AH71+AG71*IF(ISBLANK(Design!$B$41),Constants!$C$6,Design!$B$41)/1000*(1+Constants!$C$32/100*(AR71-25)))/($B71+AH71-AG71*AS71/1000)&gt;Design!$B$34,   (1-Constants!$D$20/1000000000*IF(ISBLANK(Design!$B$31),Design!$B$30/4,Design!$B$31/4)*1000000) * ($B71+AH71-AG71*AS71/1000) - (AH71+AG71*(1+($A71-25)*Constants!$C$32/100)*IF(ISBLANK(Design!$B$41),Constants!$C$6/1000,Design!$B$41/1000)),  (1-Constants!$D$20/1000000000*IF(ISBLANK(Design!$B$31),Design!$B$30,Design!$B$31)*1000000) * ($B71+AH71-AG71*AS71/1000) - (AH71+AG71*(1+($A71-25)*Constants!$C$32/100)*IF(ISBLANK(Design!$B$41),Constants!$C$6/1000,Design!$B$41/1000)))</f>
        <v>6.1234723570939931</v>
      </c>
      <c r="AU71" s="119">
        <f ca="1">IF(AT71&gt;Design!$C$27,Design!$C$27,AT71)</f>
        <v>4.9936842105263155</v>
      </c>
    </row>
    <row r="72" spans="1:47" ht="12.75" customHeight="1" x14ac:dyDescent="0.3">
      <c r="A72" s="112">
        <f>Design!$D$12</f>
        <v>85</v>
      </c>
      <c r="B72" s="113">
        <f t="shared" si="12"/>
        <v>6.6249999999999982</v>
      </c>
      <c r="C72" s="114">
        <f>Design!$D$6</f>
        <v>3</v>
      </c>
      <c r="D72" s="114">
        <f ca="1">FORECAST(C72, OFFSET(Design!$C$14:$C$16,MATCH(C72,Design!$B$14:$B$16,1)-1,0,2), OFFSET(Design!$B$14:$B$16,MATCH(C72,Design!$B$14:$B$16,1)-1,0,2))+(M72-25)*Design!$B$17/1000</f>
        <v>0.42009715117294832</v>
      </c>
      <c r="E72" s="173">
        <f ca="1">IF(100*(Design!$C$27+D72+C72*IF(ISBLANK(Design!$B$41),Constants!$C$6,Design!$B$41)/1000*(1+Constants!$C$32/100*(N72-25)))/($B72+D72-C72*O72/1000)&gt;Design!$B$34,Design!$B$35,100*(Design!$C$27+D72+C72*IF(ISBLANK(Design!$B$41),Constants!$C$6,Design!$B$41)/1000*(1+Constants!$C$32/100*(N72-25)))/($B72+D72-C72*O72/1000))</f>
        <v>93.174999999999997</v>
      </c>
      <c r="F72" s="115">
        <f ca="1">IF(($B72-C72*IF(ISBLANK(Design!$B$41),Constants!$C$6,Design!$B$41)/1000*(1+Constants!$C$32/100*(N72-25))-Design!$C$27)/(IF(ISBLANK(Design!$B$40),Design!$B$38,Design!$B$40)/1000000)*E72/100/(IF(ISBLANK(Design!$B$31),Design!$B$30,Design!$B$31)*1000000)&lt;0,0,($B72-C72*IF(ISBLANK(Design!$B$41),Constants!$C$6,Design!$B$41)/1000*(1+Constants!$C$32/100*(N72-25))-Design!$C$27)/(IF(ISBLANK(Design!$B$40),Design!$B$38,Design!$B$40)/1000000)*E72/100/(IF(ISBLANK(Design!$B$31),Design!$B$30,Design!$B$31)*1000000))</f>
        <v>0.19015584227085594</v>
      </c>
      <c r="G72" s="165">
        <f>B72*Constants!$C$21/1000+IF(ISBLANK(Design!$B$31),Design!$B$30,Design!$B$31)*1000000*Constants!$D$25/1000000000*(B72-Constants!$C$24)</f>
        <v>3.3624999999999981E-2</v>
      </c>
      <c r="H72" s="165">
        <f>B72*C72*(B72/(Constants!$C$26*1000000000)*IF(ISBLANK(Design!$B$31),Design!$B$30,Design!$B$31)*1000000/2+B72/(Constants!$C$27*1000000000)*IF(ISBLANK(Design!$B$31),Design!$B$30,Design!$B$31)*1000000/2)</f>
        <v>0.38404296874999982</v>
      </c>
      <c r="I72" s="165">
        <f t="shared" ca="1" si="13"/>
        <v>2.085893987820465</v>
      </c>
      <c r="J72" s="165">
        <f>Constants!$D$25/1000000000*Constants!$C$24*IF(ISBLANK(Design!$B$31),Design!$B$30,Design!$B$31)*1000000</f>
        <v>5.2499999999999998E-2</v>
      </c>
      <c r="K72" s="165">
        <f t="shared" ca="1" si="22"/>
        <v>2.5560619565704652</v>
      </c>
      <c r="L72" s="165">
        <f t="shared" ca="1" si="17"/>
        <v>8.6014891702661217E-2</v>
      </c>
      <c r="M72" s="166">
        <f ca="1">$A72+L72*Design!$B$18</f>
        <v>89.902848827051685</v>
      </c>
      <c r="N72" s="166">
        <f ca="1">K72*Design!$C$11+A72</f>
        <v>179.57429239310721</v>
      </c>
      <c r="O72" s="166">
        <f ca="1">Constants!$D$22+Constants!$D$22*Constants!$C$23/100*(N72-25)</f>
        <v>248.65943391448576</v>
      </c>
      <c r="P72" s="165">
        <f ca="1">IF(100*(Design!$C$27+D72+C72*IF(ISBLANK(Design!$B$41),Constants!$C$6,Design!$B$41)/1000*(1+Constants!$C$32/100*(N72-25)))/($B72+D72-C72*O72/1000)&gt;Design!$B$34,   (1-Constants!$D$20/1000000000*IF(ISBLANK(Design!$B$31),Design!$B$30/4,Design!$B$31/4)*1000000) * ($B72+D72-C72*O72/1000) - (D72+C72*(1+($A72-25)*Constants!$C$32/100)*IF(ISBLANK(Design!$B$41),Constants!$C$6/1000,Design!$B$41/1000)),  (1-Constants!$D$20/1000000000*IF(ISBLANK(Design!$B$31),Design!$B$30,Design!$B$31)*1000000) * ($B72+D72-C72*O72/1000) - (D72+C72*(1+($A72-25)*Constants!$C$32/100)*IF(ISBLANK(Design!$B$41),Constants!$C$6/1000,Design!$B$41/1000)))</f>
        <v>5.282273836782978</v>
      </c>
      <c r="Q72" s="115">
        <f ca="1">IF(P72&gt;Design!$C$27,Design!$C$27,P72)</f>
        <v>4.9936842105263155</v>
      </c>
      <c r="R72" s="116">
        <f>2*Design!$D$6/3</f>
        <v>2</v>
      </c>
      <c r="S72" s="116">
        <f ca="1">FORECAST(R72, OFFSET(Design!$C$14:$C$16,MATCH(R72,Design!$B$14:$B$16,1)-1,0,2), OFFSET(Design!$B$14:$B$16,MATCH(R72,Design!$B$14:$B$16,1)-1,0,2))+(AB72-25)*Design!$B$17/1000</f>
        <v>0.39691182752593446</v>
      </c>
      <c r="T72" s="182">
        <f ca="1">IF(100*(Design!$C$27+S72+R72*IF(ISBLANK(Design!$B$41),Constants!$C$6,Design!$B$41)/1000*(1+Constants!$C$32/100*(AC72-25)))/($B72+S72-R72*AD72/1000)&gt;Design!$B$34,Design!$B$35,100*(Design!$C$27+S72+R72*IF(ISBLANK(Design!$B$41),Constants!$C$6,Design!$B$41)/1000*(1+Constants!$C$32/100*(AC72-25)))/($B72+S72-R72*AD72/1000))</f>
        <v>93.174999999999997</v>
      </c>
      <c r="U72" s="117">
        <f ca="1">IF(($B72-R72*IF(ISBLANK(Design!$B$41),Constants!$C$6,Design!$B$41)/1000*(1+Constants!$C$32/100*(AC72-25))-Design!$C$27)/(IF(ISBLANK(Design!$B$40),Design!$B$38,Design!$B$40)/1000000)*T72/100/(IF(ISBLANK(Design!$B$31),Design!$B$30,Design!$B$31)*1000000)&lt;0,0,($B72-R72*IF(ISBLANK(Design!$B$41),Constants!$C$6,Design!$B$41)/1000*(1+Constants!$C$32/100*(AC72-25))-Design!$C$27)/(IF(ISBLANK(Design!$B$40),Design!$B$38,Design!$B$40)/1000000)*T72/100/(IF(ISBLANK(Design!$B$31),Design!$B$30,Design!$B$31)*1000000))</f>
        <v>0.20242595891273996</v>
      </c>
      <c r="V72" s="183">
        <f>$B72*Constants!$C$21/1000+IF(ISBLANK(Design!$B$31),Design!$B$30,Design!$B$31)*1000000*Constants!$D$25/1000000000*($B72-Constants!$C$24)</f>
        <v>3.3624999999999981E-2</v>
      </c>
      <c r="W72" s="183">
        <f>$B72*R72*($B72/(Constants!$C$26*1000000000)*IF(ISBLANK(Design!$B$31),Design!$B$30,Design!$B$31)*1000000/2+$B72/(Constants!$C$27*1000000000)*IF(ISBLANK(Design!$B$31),Design!$B$30,Design!$B$31)*1000000/2)</f>
        <v>0.25602864583333323</v>
      </c>
      <c r="X72" s="183">
        <f t="shared" ca="1" si="14"/>
        <v>0.76788448064501225</v>
      </c>
      <c r="Y72" s="183">
        <f>Constants!$D$25/1000000000*Constants!$C$24*IF(ISBLANK(Design!$B$31),Design!$B$30,Design!$B$31)*1000000</f>
        <v>5.2499999999999998E-2</v>
      </c>
      <c r="Z72" s="183">
        <f t="shared" ca="1" si="23"/>
        <v>1.1100381264783454</v>
      </c>
      <c r="AA72" s="183">
        <f t="shared" ca="1" si="19"/>
        <v>5.4178464457290076E-2</v>
      </c>
      <c r="AB72" s="184">
        <f ca="1">$A72+AA72*Design!$B$18</f>
        <v>88.08817247406553</v>
      </c>
      <c r="AC72" s="184">
        <f ca="1">Z72*Design!$C$11+$A72</f>
        <v>126.07141067969877</v>
      </c>
      <c r="AD72" s="184">
        <f ca="1">Constants!$D$22+Constants!$D$22*Constants!$C$23/100*(AC72-25)</f>
        <v>205.85712854375902</v>
      </c>
      <c r="AE72" s="183">
        <f ca="1">IF(100*(Design!$C$27+S72+R72*IF(ISBLANK(Design!$B$41),Constants!$C$6,Design!$B$41)/1000*(1+Constants!$C$32/100*(AC72-25)))/($B72+S72-R72*AD72/1000)&gt;Design!$B$34,   (1-Constants!$D$20/1000000000*IF(ISBLANK(Design!$B$31),Design!$B$30/4,Design!$B$31/4)*1000000) * ($B72+S72-R72*AD72/1000) - (S72+R72*(1+($A72-25)*Constants!$C$32/100)*IF(ISBLANK(Design!$B$41),Constants!$C$6/1000,Design!$B$41/1000)),  (1-Constants!$D$20/1000000000*IF(ISBLANK(Design!$B$31),Design!$B$30,Design!$B$31)*1000000) * ($B72+S72-R72*AD72/1000) - (S72+R72*(1+($A72-25)*Constants!$C$32/100)*IF(ISBLANK(Design!$B$41),Constants!$C$6/1000,Design!$B$41/1000)))</f>
        <v>5.6509177587300572</v>
      </c>
      <c r="AF72" s="117">
        <f ca="1">IF(AE72&gt;Design!$C$27,Design!$C$27,AE72)</f>
        <v>4.9936842105263155</v>
      </c>
      <c r="AG72" s="118">
        <f>Design!$D$6/3</f>
        <v>1</v>
      </c>
      <c r="AH72" s="118">
        <f ca="1">FORECAST(AG72, OFFSET(Design!$C$14:$C$16,MATCH(AG72,Design!$B$14:$B$16,1)-1,0,2), OFFSET(Design!$B$14:$B$16,MATCH(AG72,Design!$B$14:$B$16,1)-1,0,2))+(AQ72-25)*Design!$B$17/1000</f>
        <v>0.32097355485046519</v>
      </c>
      <c r="AI72" s="194">
        <f ca="1">IF(100*(Design!$C$27+AH72+AG72*IF(ISBLANK(Design!$B$41),Constants!$C$6,Design!$B$41)/1000*(1+Constants!$C$32/100*(AR72-25)))/($B72+AH72-AG72*AS72/1000)&gt;Design!$B$34,Design!$B$35,100*(Design!$C$27+AH72+AG72*IF(ISBLANK(Design!$B$41),Constants!$C$6,Design!$B$41)/1000*(1+Constants!$C$32/100*(AR72-25)))/($B72+AH72-AG72*AS72/1000))</f>
        <v>93.174999999999997</v>
      </c>
      <c r="AJ72" s="119">
        <f ca="1">IF(($B72-AG72*IF(ISBLANK(Design!$B$41),Constants!$C$6,Design!$B$41)/1000*(1+Constants!$C$32/100*(AR72-25))-Design!$C$27)/(IF(ISBLANK(Design!$B$40),Design!$B$38,Design!$B$40)/1000000)*AI72/100/(IF(ISBLANK(Design!$B$31),Design!$B$30,Design!$B$31)*1000000)&lt;0,0,($B72-AG72*IF(ISBLANK(Design!$B$41),Constants!$C$6,Design!$B$41)/1000*(1+Constants!$C$32/100*(AR72-25))-Design!$C$27)/(IF(ISBLANK(Design!$B$40),Design!$B$38,Design!$B$40)/1000000)*AI72/100/(IF(ISBLANK(Design!$B$31),Design!$B$30,Design!$B$31)*1000000))</f>
        <v>0.2115159698897818</v>
      </c>
      <c r="AK72" s="195">
        <f>$B72*Constants!$C$21/1000+IF(ISBLANK(Design!$B$31),Design!$B$30,Design!$B$31)*1000000*Constants!$D$25/1000000000*($B72-Constants!$C$24)</f>
        <v>3.3624999999999981E-2</v>
      </c>
      <c r="AL72" s="195">
        <f>$B72*AG72*($B72/(Constants!$C$26*1000000000)*IF(ISBLANK(Design!$B$31),Design!$B$30,Design!$B$31)*1000000/2+$B72/(Constants!$C$27*1000000000)*IF(ISBLANK(Design!$B$31),Design!$B$30,Design!$B$31)*1000000/2)</f>
        <v>0.12801432291666662</v>
      </c>
      <c r="AM72" s="195">
        <f t="shared" ca="1" si="15"/>
        <v>0.17249682007089018</v>
      </c>
      <c r="AN72" s="195">
        <f>Constants!$D$25/1000000000*Constants!$C$24*IF(ISBLANK(Design!$B$31),Design!$B$30,Design!$B$31)*1000000</f>
        <v>5.2499999999999998E-2</v>
      </c>
      <c r="AO72" s="195">
        <f t="shared" ca="1" si="24"/>
        <v>0.38663614298755677</v>
      </c>
      <c r="AP72" s="195">
        <f t="shared" ca="1" si="21"/>
        <v>2.1906445118544261E-2</v>
      </c>
      <c r="AQ72" s="196">
        <f ca="1">$A72+AP72*Design!$B$18</f>
        <v>86.248667371757023</v>
      </c>
      <c r="AR72" s="196">
        <f ca="1">AO72*Design!$C$11+$A72</f>
        <v>99.305537290539604</v>
      </c>
      <c r="AS72" s="196">
        <f ca="1">Constants!$D$22+Constants!$D$22*Constants!$C$23/100*(AR72-25)</f>
        <v>184.44442983243169</v>
      </c>
      <c r="AT72" s="195">
        <f ca="1">IF(100*(Design!$C$27+AH72+AG72*IF(ISBLANK(Design!$B$41),Constants!$C$6,Design!$B$41)/1000*(1+Constants!$C$32/100*(AR72-25)))/($B72+AH72-AG72*AS72/1000)&gt;Design!$B$34,   (1-Constants!$D$20/1000000000*IF(ISBLANK(Design!$B$31),Design!$B$30/4,Design!$B$31/4)*1000000) * ($B72+AH72-AG72*AS72/1000) - (AH72+AG72*(1+($A72-25)*Constants!$C$32/100)*IF(ISBLANK(Design!$B$41),Constants!$C$6/1000,Design!$B$41/1000)),  (1-Constants!$D$20/1000000000*IF(ISBLANK(Design!$B$31),Design!$B$30,Design!$B$31)*1000000) * ($B72+AH72-AG72*AS72/1000) - (AH72+AG72*(1+($A72-25)*Constants!$C$32/100)*IF(ISBLANK(Design!$B$41),Constants!$C$6/1000,Design!$B$41/1000)))</f>
        <v>5.9234702073850851</v>
      </c>
      <c r="AU72" s="119">
        <f ca="1">IF(AT72&gt;Design!$C$27,Design!$C$27,AT72)</f>
        <v>4.9936842105263155</v>
      </c>
    </row>
    <row r="73" spans="1:47" ht="12.75" customHeight="1" x14ac:dyDescent="0.3">
      <c r="A73" s="112">
        <f>Design!$D$12</f>
        <v>85</v>
      </c>
      <c r="B73" s="113">
        <f t="shared" si="12"/>
        <v>6.4099999999999984</v>
      </c>
      <c r="C73" s="114">
        <f>Design!$D$6</f>
        <v>3</v>
      </c>
      <c r="D73" s="114">
        <f ca="1">FORECAST(C73, OFFSET(Design!$C$14:$C$16,MATCH(C73,Design!$B$14:$B$16,1)-1,0,2), OFFSET(Design!$B$14:$B$16,MATCH(C73,Design!$B$14:$B$16,1)-1,0,2))+(M73-25)*Design!$B$17/1000</f>
        <v>0.42009715117294832</v>
      </c>
      <c r="E73" s="173">
        <f ca="1">IF(100*(Design!$C$27+D73+C73*IF(ISBLANK(Design!$B$41),Constants!$C$6,Design!$B$41)/1000*(1+Constants!$C$32/100*(N73-25)))/($B73+D73-C73*O73/1000)&gt;Design!$B$34,Design!$B$35,100*(Design!$C$27+D73+C73*IF(ISBLANK(Design!$B$41),Constants!$C$6,Design!$B$41)/1000*(1+Constants!$C$32/100*(N73-25)))/($B73+D73-C73*O73/1000))</f>
        <v>93.174999999999997</v>
      </c>
      <c r="F73" s="115">
        <f ca="1">IF(($B73-C73*IF(ISBLANK(Design!$B$41),Constants!$C$6,Design!$B$41)/1000*(1+Constants!$C$32/100*(N73-25))-Design!$C$27)/(IF(ISBLANK(Design!$B$40),Design!$B$38,Design!$B$40)/1000000)*E73/100/(IF(ISBLANK(Design!$B$31),Design!$B$30,Design!$B$31)*1000000)&lt;0,0,($B73-C73*IF(ISBLANK(Design!$B$41),Constants!$C$6,Design!$B$41)/1000*(1+Constants!$C$32/100*(N73-25))-Design!$C$27)/(IF(ISBLANK(Design!$B$40),Design!$B$38,Design!$B$40)/1000000)*E73/100/(IF(ISBLANK(Design!$B$31),Design!$B$30,Design!$B$31)*1000000))</f>
        <v>0.1613453336559186</v>
      </c>
      <c r="G73" s="165">
        <f>B73*Constants!$C$21/1000+IF(ISBLANK(Design!$B$31),Design!$B$30,Design!$B$31)*1000000*Constants!$D$25/1000000000*(B73-Constants!$C$24)</f>
        <v>3.0829999999999975E-2</v>
      </c>
      <c r="H73" s="165">
        <f>B73*C73*(B73/(Constants!$C$26*1000000000)*IF(ISBLANK(Design!$B$31),Design!$B$30,Design!$B$31)*1000000/2+B73/(Constants!$C$27*1000000000)*IF(ISBLANK(Design!$B$31),Design!$B$30,Design!$B$31)*1000000/2)</f>
        <v>0.35952087499999985</v>
      </c>
      <c r="I73" s="165">
        <f t="shared" ca="1" si="13"/>
        <v>2.0766116216700152</v>
      </c>
      <c r="J73" s="165">
        <f>Constants!$D$25/1000000000*Constants!$C$24*IF(ISBLANK(Design!$B$31),Design!$B$30,Design!$B$31)*1000000</f>
        <v>5.2499999999999998E-2</v>
      </c>
      <c r="K73" s="165">
        <f t="shared" ca="1" si="22"/>
        <v>2.5194624966700152</v>
      </c>
      <c r="L73" s="165">
        <f t="shared" ca="1" si="17"/>
        <v>8.6014891702661217E-2</v>
      </c>
      <c r="M73" s="166">
        <f ca="1">$A73+L73*Design!$B$18</f>
        <v>89.902848827051685</v>
      </c>
      <c r="N73" s="166">
        <f ca="1">K73*Design!$C$11+A73</f>
        <v>178.22011237679055</v>
      </c>
      <c r="O73" s="166">
        <f ca="1">Constants!$D$22+Constants!$D$22*Constants!$C$23/100*(N73-25)</f>
        <v>247.57608990143245</v>
      </c>
      <c r="P73" s="165">
        <f ca="1">IF(100*(Design!$C$27+D73+C73*IF(ISBLANK(Design!$B$41),Constants!$C$6,Design!$B$41)/1000*(1+Constants!$C$32/100*(N73-25)))/($B73+D73-C73*O73/1000)&gt;Design!$B$34,   (1-Constants!$D$20/1000000000*IF(ISBLANK(Design!$B$31),Design!$B$30/4,Design!$B$31/4)*1000000) * ($B73+D73-C73*O73/1000) - (D73+C73*(1+($A73-25)*Constants!$C$32/100)*IF(ISBLANK(Design!$B$41),Constants!$C$6/1000,Design!$B$41/1000)),  (1-Constants!$D$20/1000000000*IF(ISBLANK(Design!$B$31),Design!$B$30,Design!$B$31)*1000000) * ($B73+D73-C73*O73/1000) - (D73+C73*(1+($A73-25)*Constants!$C$32/100)*IF(ISBLANK(Design!$B$41),Constants!$C$6/1000,Design!$B$41/1000)))</f>
        <v>5.0849758041354649</v>
      </c>
      <c r="Q73" s="115">
        <f ca="1">IF(P73&gt;Design!$C$27,Design!$C$27,P73)</f>
        <v>4.9936842105263155</v>
      </c>
      <c r="R73" s="116">
        <f>2*Design!$D$6/3</f>
        <v>2</v>
      </c>
      <c r="S73" s="116">
        <f ca="1">FORECAST(R73, OFFSET(Design!$C$14:$C$16,MATCH(R73,Design!$B$14:$B$16,1)-1,0,2), OFFSET(Design!$B$14:$B$16,MATCH(R73,Design!$B$14:$B$16,1)-1,0,2))+(AB73-25)*Design!$B$17/1000</f>
        <v>0.39691182752593446</v>
      </c>
      <c r="T73" s="182">
        <f ca="1">IF(100*(Design!$C$27+S73+R73*IF(ISBLANK(Design!$B$41),Constants!$C$6,Design!$B$41)/1000*(1+Constants!$C$32/100*(AC73-25)))/($B73+S73-R73*AD73/1000)&gt;Design!$B$34,Design!$B$35,100*(Design!$C$27+S73+R73*IF(ISBLANK(Design!$B$41),Constants!$C$6,Design!$B$41)/1000*(1+Constants!$C$32/100*(AC73-25)))/($B73+S73-R73*AD73/1000))</f>
        <v>93.174999999999997</v>
      </c>
      <c r="U73" s="117">
        <f ca="1">IF(($B73-R73*IF(ISBLANK(Design!$B$41),Constants!$C$6,Design!$B$41)/1000*(1+Constants!$C$32/100*(AC73-25))-Design!$C$27)/(IF(ISBLANK(Design!$B$40),Design!$B$38,Design!$B$40)/1000000)*T73/100/(IF(ISBLANK(Design!$B$31),Design!$B$30,Design!$B$31)*1000000)&lt;0,0,($B73-R73*IF(ISBLANK(Design!$B$41),Constants!$C$6,Design!$B$41)/1000*(1+Constants!$C$32/100*(AC73-25))-Design!$C$27)/(IF(ISBLANK(Design!$B$40),Design!$B$38,Design!$B$40)/1000000)*T73/100/(IF(ISBLANK(Design!$B$31),Design!$B$30,Design!$B$31)*1000000))</f>
        <v>0.1735570581876627</v>
      </c>
      <c r="V73" s="183">
        <f>$B73*Constants!$C$21/1000+IF(ISBLANK(Design!$B$31),Design!$B$30,Design!$B$31)*1000000*Constants!$D$25/1000000000*($B73-Constants!$C$24)</f>
        <v>3.0829999999999975E-2</v>
      </c>
      <c r="W73" s="183">
        <f>$B73*R73*($B73/(Constants!$C$26*1000000000)*IF(ISBLANK(Design!$B$31),Design!$B$30,Design!$B$31)*1000000/2+$B73/(Constants!$C$27*1000000000)*IF(ISBLANK(Design!$B$31),Design!$B$30,Design!$B$31)*1000000/2)</f>
        <v>0.2396805833333332</v>
      </c>
      <c r="X73" s="183">
        <f t="shared" ca="1" si="14"/>
        <v>0.76531407134972973</v>
      </c>
      <c r="Y73" s="183">
        <f>Constants!$D$25/1000000000*Constants!$C$24*IF(ISBLANK(Design!$B$31),Design!$B$30,Design!$B$31)*1000000</f>
        <v>5.2499999999999998E-2</v>
      </c>
      <c r="Z73" s="183">
        <f t="shared" ca="1" si="23"/>
        <v>1.0883246546830629</v>
      </c>
      <c r="AA73" s="183">
        <f t="shared" ca="1" si="19"/>
        <v>5.4178464457290076E-2</v>
      </c>
      <c r="AB73" s="184">
        <f ca="1">$A73+AA73*Design!$B$18</f>
        <v>88.08817247406553</v>
      </c>
      <c r="AC73" s="184">
        <f ca="1">Z73*Design!$C$11+$A73</f>
        <v>125.26801222327333</v>
      </c>
      <c r="AD73" s="184">
        <f ca="1">Constants!$D$22+Constants!$D$22*Constants!$C$23/100*(AC73-25)</f>
        <v>205.21440977861869</v>
      </c>
      <c r="AE73" s="183">
        <f ca="1">IF(100*(Design!$C$27+S73+R73*IF(ISBLANK(Design!$B$41),Constants!$C$6,Design!$B$41)/1000*(1+Constants!$C$32/100*(AC73-25)))/($B73+S73-R73*AD73/1000)&gt;Design!$B$34,   (1-Constants!$D$20/1000000000*IF(ISBLANK(Design!$B$31),Design!$B$30/4,Design!$B$31/4)*1000000) * ($B73+S73-R73*AD73/1000) - (S73+R73*(1+($A73-25)*Constants!$C$32/100)*IF(ISBLANK(Design!$B$41),Constants!$C$6/1000,Design!$B$41/1000)),  (1-Constants!$D$20/1000000000*IF(ISBLANK(Design!$B$31),Design!$B$30,Design!$B$31)*1000000) * ($B73+S73-R73*AD73/1000) - (S73+R73*(1+($A73-25)*Constants!$C$32/100)*IF(ISBLANK(Design!$B$41),Constants!$C$6/1000,Design!$B$41/1000)))</f>
        <v>5.4517892151488967</v>
      </c>
      <c r="AF73" s="117">
        <f ca="1">IF(AE73&gt;Design!$C$27,Design!$C$27,AE73)</f>
        <v>4.9936842105263155</v>
      </c>
      <c r="AG73" s="118">
        <f>Design!$D$6/3</f>
        <v>1</v>
      </c>
      <c r="AH73" s="118">
        <f ca="1">FORECAST(AG73, OFFSET(Design!$C$14:$C$16,MATCH(AG73,Design!$B$14:$B$16,1)-1,0,2), OFFSET(Design!$B$14:$B$16,MATCH(AG73,Design!$B$14:$B$16,1)-1,0,2))+(AQ73-25)*Design!$B$17/1000</f>
        <v>0.32097355485046519</v>
      </c>
      <c r="AI73" s="194">
        <f ca="1">IF(100*(Design!$C$27+AH73+AG73*IF(ISBLANK(Design!$B$41),Constants!$C$6,Design!$B$41)/1000*(1+Constants!$C$32/100*(AR73-25)))/($B73+AH73-AG73*AS73/1000)&gt;Design!$B$34,Design!$B$35,100*(Design!$C$27+AH73+AG73*IF(ISBLANK(Design!$B$41),Constants!$C$6,Design!$B$41)/1000*(1+Constants!$C$32/100*(AR73-25)))/($B73+AH73-AG73*AS73/1000))</f>
        <v>93.174999999999997</v>
      </c>
      <c r="AJ73" s="119">
        <f ca="1">IF(($B73-AG73*IF(ISBLANK(Design!$B$41),Constants!$C$6,Design!$B$41)/1000*(1+Constants!$C$32/100*(AR73-25))-Design!$C$27)/(IF(ISBLANK(Design!$B$40),Design!$B$38,Design!$B$40)/1000000)*AI73/100/(IF(ISBLANK(Design!$B$31),Design!$B$30,Design!$B$31)*1000000)&lt;0,0,($B73-AG73*IF(ISBLANK(Design!$B$41),Constants!$C$6,Design!$B$41)/1000*(1+Constants!$C$32/100*(AR73-25))-Design!$C$27)/(IF(ISBLANK(Design!$B$40),Design!$B$38,Design!$B$40)/1000000)*AI73/100/(IF(ISBLANK(Design!$B$31),Design!$B$30,Design!$B$31)*1000000))</f>
        <v>0.18261893548400088</v>
      </c>
      <c r="AK73" s="195">
        <f>$B73*Constants!$C$21/1000+IF(ISBLANK(Design!$B$31),Design!$B$30,Design!$B$31)*1000000*Constants!$D$25/1000000000*($B73-Constants!$C$24)</f>
        <v>3.0829999999999975E-2</v>
      </c>
      <c r="AL73" s="195">
        <f>$B73*AG73*($B73/(Constants!$C$26*1000000000)*IF(ISBLANK(Design!$B$31),Design!$B$30,Design!$B$31)*1000000/2+$B73/(Constants!$C$27*1000000000)*IF(ISBLANK(Design!$B$31),Design!$B$30,Design!$B$31)*1000000/2)</f>
        <v>0.1198402916666666</v>
      </c>
      <c r="AM73" s="195">
        <f t="shared" ca="1" si="15"/>
        <v>0.17201707715953507</v>
      </c>
      <c r="AN73" s="195">
        <f>Constants!$D$25/1000000000*Constants!$C$24*IF(ISBLANK(Design!$B$31),Design!$B$30,Design!$B$31)*1000000</f>
        <v>5.2499999999999998E-2</v>
      </c>
      <c r="AO73" s="195">
        <f t="shared" ca="1" si="24"/>
        <v>0.37518736882620163</v>
      </c>
      <c r="AP73" s="195">
        <f t="shared" ca="1" si="21"/>
        <v>2.1906445118544261E-2</v>
      </c>
      <c r="AQ73" s="196">
        <f ca="1">$A73+AP73*Design!$B$18</f>
        <v>86.248667371757023</v>
      </c>
      <c r="AR73" s="196">
        <f ca="1">AO73*Design!$C$11+$A73</f>
        <v>98.881932646569453</v>
      </c>
      <c r="AS73" s="196">
        <f ca="1">Constants!$D$22+Constants!$D$22*Constants!$C$23/100*(AR73-25)</f>
        <v>184.10554611725556</v>
      </c>
      <c r="AT73" s="195">
        <f ca="1">IF(100*(Design!$C$27+AH73+AG73*IF(ISBLANK(Design!$B$41),Constants!$C$6,Design!$B$41)/1000*(1+Constants!$C$32/100*(AR73-25)))/($B73+AH73-AG73*AS73/1000)&gt;Design!$B$34,   (1-Constants!$D$20/1000000000*IF(ISBLANK(Design!$B$31),Design!$B$30/4,Design!$B$31/4)*1000000) * ($B73+AH73-AG73*AS73/1000) - (AH73+AG73*(1+($A73-25)*Constants!$C$32/100)*IF(ISBLANK(Design!$B$41),Constants!$C$6/1000,Design!$B$41/1000)),  (1-Constants!$D$20/1000000000*IF(ISBLANK(Design!$B$31),Design!$B$30,Design!$B$31)*1000000) * ($B73+AH73-AG73*AS73/1000) - (AH73+AG73*(1+($A73-25)*Constants!$C$32/100)*IF(ISBLANK(Design!$B$41),Constants!$C$6/1000,Design!$B$41/1000)))</f>
        <v>5.7234597122867017</v>
      </c>
      <c r="AU73" s="119">
        <f ca="1">IF(AT73&gt;Design!$C$27,Design!$C$27,AT73)</f>
        <v>4.9936842105263155</v>
      </c>
    </row>
    <row r="74" spans="1:47" ht="12.75" customHeight="1" x14ac:dyDescent="0.3">
      <c r="A74" s="112">
        <f>Design!$D$12</f>
        <v>85</v>
      </c>
      <c r="B74" s="113">
        <f t="shared" si="12"/>
        <v>6.1949999999999985</v>
      </c>
      <c r="C74" s="114">
        <f>Design!$D$6</f>
        <v>3</v>
      </c>
      <c r="D74" s="114">
        <f ca="1">FORECAST(C74, OFFSET(Design!$C$14:$C$16,MATCH(C74,Design!$B$14:$B$16,1)-1,0,2), OFFSET(Design!$B$14:$B$16,MATCH(C74,Design!$B$14:$B$16,1)-1,0,2))+(M74-25)*Design!$B$17/1000</f>
        <v>0.42009715117294832</v>
      </c>
      <c r="E74" s="173">
        <f ca="1">IF(100*(Design!$C$27+D74+C74*IF(ISBLANK(Design!$B$41),Constants!$C$6,Design!$B$41)/1000*(1+Constants!$C$32/100*(N74-25)))/($B74+D74-C74*O74/1000)&gt;Design!$B$34,Design!$B$35,100*(Design!$C$27+D74+C74*IF(ISBLANK(Design!$B$41),Constants!$C$6,Design!$B$41)/1000*(1+Constants!$C$32/100*(N74-25)))/($B74+D74-C74*O74/1000))</f>
        <v>93.174999999999997</v>
      </c>
      <c r="F74" s="115">
        <f ca="1">IF(($B74-C74*IF(ISBLANK(Design!$B$41),Constants!$C$6,Design!$B$41)/1000*(1+Constants!$C$32/100*(N74-25))-Design!$C$27)/(IF(ISBLANK(Design!$B$40),Design!$B$38,Design!$B$40)/1000000)*E74/100/(IF(ISBLANK(Design!$B$31),Design!$B$30,Design!$B$31)*1000000)&lt;0,0,($B74-C74*IF(ISBLANK(Design!$B$41),Constants!$C$6,Design!$B$41)/1000*(1+Constants!$C$32/100*(N74-25))-Design!$C$27)/(IF(ISBLANK(Design!$B$40),Design!$B$38,Design!$B$40)/1000000)*E74/100/(IF(ISBLANK(Design!$B$31),Design!$B$30,Design!$B$31)*1000000))</f>
        <v>0.13253186741323777</v>
      </c>
      <c r="G74" s="165">
        <f>B74*Constants!$C$21/1000+IF(ISBLANK(Design!$B$31),Design!$B$30,Design!$B$31)*1000000*Constants!$D$25/1000000000*(B74-Constants!$C$24)</f>
        <v>2.8034999999999984E-2</v>
      </c>
      <c r="H74" s="165">
        <f>B74*C74*(B74/(Constants!$C$26*1000000000)*IF(ISBLANK(Design!$B$31),Design!$B$30,Design!$B$31)*1000000/2+B74/(Constants!$C$27*1000000000)*IF(ISBLANK(Design!$B$31),Design!$B$30,Design!$B$31)*1000000/2)</f>
        <v>0.33580771874999987</v>
      </c>
      <c r="I74" s="165">
        <f t="shared" ca="1" si="13"/>
        <v>2.0676409146226438</v>
      </c>
      <c r="J74" s="165">
        <f>Constants!$D$25/1000000000*Constants!$C$24*IF(ISBLANK(Design!$B$31),Design!$B$30,Design!$B$31)*1000000</f>
        <v>5.2499999999999998E-2</v>
      </c>
      <c r="K74" s="165">
        <f t="shared" ca="1" si="22"/>
        <v>2.4839836333726439</v>
      </c>
      <c r="L74" s="165">
        <f t="shared" ca="1" si="17"/>
        <v>8.6014891702661217E-2</v>
      </c>
      <c r="M74" s="166">
        <f ca="1">$A74+L74*Design!$B$18</f>
        <v>89.902848827051685</v>
      </c>
      <c r="N74" s="166">
        <f ca="1">K74*Design!$C$11+A74</f>
        <v>176.90739443478782</v>
      </c>
      <c r="O74" s="166">
        <f ca="1">Constants!$D$22+Constants!$D$22*Constants!$C$23/100*(N74-25)</f>
        <v>246.52591554783027</v>
      </c>
      <c r="P74" s="165">
        <f ca="1">IF(100*(Design!$C$27+D74+C74*IF(ISBLANK(Design!$B$41),Constants!$C$6,Design!$B$41)/1000*(1+Constants!$C$32/100*(N74-25)))/($B74+D74-C74*O74/1000)&gt;Design!$B$34,   (1-Constants!$D$20/1000000000*IF(ISBLANK(Design!$B$31),Design!$B$30/4,Design!$B$31/4)*1000000) * ($B74+D74-C74*O74/1000) - (D74+C74*(1+($A74-25)*Constants!$C$32/100)*IF(ISBLANK(Design!$B$41),Constants!$C$6/1000,Design!$B$41/1000)),  (1-Constants!$D$20/1000000000*IF(ISBLANK(Design!$B$31),Design!$B$30,Design!$B$31)*1000000) * ($B74+D74-C74*O74/1000) - (D74+C74*(1+($A74-25)*Constants!$C$32/100)*IF(ISBLANK(Design!$B$41),Constants!$C$6/1000,Design!$B$41/1000)))</f>
        <v>4.8875850539973715</v>
      </c>
      <c r="Q74" s="115">
        <f ca="1">IF(P74&gt;Design!$C$27,Design!$C$27,P74)</f>
        <v>4.8875850539973715</v>
      </c>
      <c r="R74" s="116">
        <f>2*Design!$D$6/3</f>
        <v>2</v>
      </c>
      <c r="S74" s="116">
        <f ca="1">FORECAST(R74, OFFSET(Design!$C$14:$C$16,MATCH(R74,Design!$B$14:$B$16,1)-1,0,2), OFFSET(Design!$B$14:$B$16,MATCH(R74,Design!$B$14:$B$16,1)-1,0,2))+(AB74-25)*Design!$B$17/1000</f>
        <v>0.39691182752593446</v>
      </c>
      <c r="T74" s="182">
        <f ca="1">IF(100*(Design!$C$27+S74+R74*IF(ISBLANK(Design!$B$41),Constants!$C$6,Design!$B$41)/1000*(1+Constants!$C$32/100*(AC74-25)))/($B74+S74-R74*AD74/1000)&gt;Design!$B$34,Design!$B$35,100*(Design!$C$27+S74+R74*IF(ISBLANK(Design!$B$41),Constants!$C$6,Design!$B$41)/1000*(1+Constants!$C$32/100*(AC74-25)))/($B74+S74-R74*AD74/1000))</f>
        <v>93.174999999999997</v>
      </c>
      <c r="U74" s="117">
        <f ca="1">IF(($B74-R74*IF(ISBLANK(Design!$B$41),Constants!$C$6,Design!$B$41)/1000*(1+Constants!$C$32/100*(AC74-25))-Design!$C$27)/(IF(ISBLANK(Design!$B$40),Design!$B$38,Design!$B$40)/1000000)*T74/100/(IF(ISBLANK(Design!$B$31),Design!$B$30,Design!$B$31)*1000000)&lt;0,0,($B74-R74*IF(ISBLANK(Design!$B$41),Constants!$C$6,Design!$B$41)/1000*(1+Constants!$C$32/100*(AC74-25))-Design!$C$27)/(IF(ISBLANK(Design!$B$40),Design!$B$38,Design!$B$40)/1000000)*T74/100/(IF(ISBLANK(Design!$B$31),Design!$B$30,Design!$B$31)*1000000))</f>
        <v>0.14468703632920471</v>
      </c>
      <c r="V74" s="183">
        <f>$B74*Constants!$C$21/1000+IF(ISBLANK(Design!$B$31),Design!$B$30,Design!$B$31)*1000000*Constants!$D$25/1000000000*($B74-Constants!$C$24)</f>
        <v>2.8034999999999984E-2</v>
      </c>
      <c r="W74" s="183">
        <f>$B74*R74*($B74/(Constants!$C$26*1000000000)*IF(ISBLANK(Design!$B$31),Design!$B$30,Design!$B$31)*1000000/2+$B74/(Constants!$C$27*1000000000)*IF(ISBLANK(Design!$B$31),Design!$B$30,Design!$B$31)*1000000/2)</f>
        <v>0.22387181249999993</v>
      </c>
      <c r="X74" s="183">
        <f t="shared" ca="1" si="14"/>
        <v>0.7628415389399531</v>
      </c>
      <c r="Y74" s="183">
        <f>Constants!$D$25/1000000000*Constants!$C$24*IF(ISBLANK(Design!$B$31),Design!$B$30,Design!$B$31)*1000000</f>
        <v>5.2499999999999998E-2</v>
      </c>
      <c r="Z74" s="183">
        <f t="shared" ca="1" si="23"/>
        <v>1.0672483514399531</v>
      </c>
      <c r="AA74" s="183">
        <f t="shared" ca="1" si="19"/>
        <v>5.4178464457290076E-2</v>
      </c>
      <c r="AB74" s="184">
        <f ca="1">$A74+AA74*Design!$B$18</f>
        <v>88.08817247406553</v>
      </c>
      <c r="AC74" s="184">
        <f ca="1">Z74*Design!$C$11+$A74</f>
        <v>124.48818900327826</v>
      </c>
      <c r="AD74" s="184">
        <f ca="1">Constants!$D$22+Constants!$D$22*Constants!$C$23/100*(AC74-25)</f>
        <v>204.59055120262263</v>
      </c>
      <c r="AE74" s="183">
        <f ca="1">IF(100*(Design!$C$27+S74+R74*IF(ISBLANK(Design!$B$41),Constants!$C$6,Design!$B$41)/1000*(1+Constants!$C$32/100*(AC74-25)))/($B74+S74-R74*AD74/1000)&gt;Design!$B$34,   (1-Constants!$D$20/1000000000*IF(ISBLANK(Design!$B$31),Design!$B$30/4,Design!$B$31/4)*1000000) * ($B74+S74-R74*AD74/1000) - (S74+R74*(1+($A74-25)*Constants!$C$32/100)*IF(ISBLANK(Design!$B$41),Constants!$C$6/1000,Design!$B$41/1000)),  (1-Constants!$D$20/1000000000*IF(ISBLANK(Design!$B$31),Design!$B$30,Design!$B$31)*1000000) * ($B74+S74-R74*AD74/1000) - (S74+R74*(1+($A74-25)*Constants!$C$32/100)*IF(ISBLANK(Design!$B$41),Constants!$C$6/1000,Design!$B$41/1000)))</f>
        <v>5.2526255256052652</v>
      </c>
      <c r="AF74" s="117">
        <f ca="1">IF(AE74&gt;Design!$C$27,Design!$C$27,AE74)</f>
        <v>4.9936842105263155</v>
      </c>
      <c r="AG74" s="118">
        <f>Design!$D$6/3</f>
        <v>1</v>
      </c>
      <c r="AH74" s="118">
        <f ca="1">FORECAST(AG74, OFFSET(Design!$C$14:$C$16,MATCH(AG74,Design!$B$14:$B$16,1)-1,0,2), OFFSET(Design!$B$14:$B$16,MATCH(AG74,Design!$B$14:$B$16,1)-1,0,2))+(AQ74-25)*Design!$B$17/1000</f>
        <v>0.32097355485046519</v>
      </c>
      <c r="AI74" s="194">
        <f ca="1">IF(100*(Design!$C$27+AH74+AG74*IF(ISBLANK(Design!$B$41),Constants!$C$6,Design!$B$41)/1000*(1+Constants!$C$32/100*(AR74-25)))/($B74+AH74-AG74*AS74/1000)&gt;Design!$B$34,Design!$B$35,100*(Design!$C$27+AH74+AG74*IF(ISBLANK(Design!$B$41),Constants!$C$6,Design!$B$41)/1000*(1+Constants!$C$32/100*(AR74-25)))/($B74+AH74-AG74*AS74/1000))</f>
        <v>93.174999999999997</v>
      </c>
      <c r="AJ74" s="119">
        <f ca="1">IF(($B74-AG74*IF(ISBLANK(Design!$B$41),Constants!$C$6,Design!$B$41)/1000*(1+Constants!$C$32/100*(AR74-25))-Design!$C$27)/(IF(ISBLANK(Design!$B$40),Design!$B$38,Design!$B$40)/1000000)*AI74/100/(IF(ISBLANK(Design!$B$31),Design!$B$30,Design!$B$31)*1000000)&lt;0,0,($B74-AG74*IF(ISBLANK(Design!$B$41),Constants!$C$6,Design!$B$41)/1000*(1+Constants!$C$32/100*(AR74-25))-Design!$C$27)/(IF(ISBLANK(Design!$B$40),Design!$B$38,Design!$B$40)/1000000)*AI74/100/(IF(ISBLANK(Design!$B$31),Design!$B$30,Design!$B$31)*1000000))</f>
        <v>0.15372163500588937</v>
      </c>
      <c r="AK74" s="195">
        <f>$B74*Constants!$C$21/1000+IF(ISBLANK(Design!$B$31),Design!$B$30,Design!$B$31)*1000000*Constants!$D$25/1000000000*($B74-Constants!$C$24)</f>
        <v>2.8034999999999984E-2</v>
      </c>
      <c r="AL74" s="195">
        <f>$B74*AG74*($B74/(Constants!$C$26*1000000000)*IF(ISBLANK(Design!$B$31),Design!$B$30,Design!$B$31)*1000000/2+$B74/(Constants!$C$27*1000000000)*IF(ISBLANK(Design!$B$31),Design!$B$30,Design!$B$31)*1000000/2)</f>
        <v>0.11193590624999997</v>
      </c>
      <c r="AM74" s="195">
        <f t="shared" ca="1" si="15"/>
        <v>0.17157011973060057</v>
      </c>
      <c r="AN74" s="195">
        <f>Constants!$D$25/1000000000*Constants!$C$24*IF(ISBLANK(Design!$B$31),Design!$B$30,Design!$B$31)*1000000</f>
        <v>5.2499999999999998E-2</v>
      </c>
      <c r="AO74" s="195">
        <f t="shared" ca="1" si="24"/>
        <v>0.36404102598060051</v>
      </c>
      <c r="AP74" s="195">
        <f t="shared" ca="1" si="21"/>
        <v>2.1906445118544261E-2</v>
      </c>
      <c r="AQ74" s="196">
        <f ca="1">$A74+AP74*Design!$B$18</f>
        <v>86.248667371757023</v>
      </c>
      <c r="AR74" s="196">
        <f ca="1">AO74*Design!$C$11+$A74</f>
        <v>98.469517961282222</v>
      </c>
      <c r="AS74" s="196">
        <f ca="1">Constants!$D$22+Constants!$D$22*Constants!$C$23/100*(AR74-25)</f>
        <v>183.77561436902579</v>
      </c>
      <c r="AT74" s="195">
        <f ca="1">IF(100*(Design!$C$27+AH74+AG74*IF(ISBLANK(Design!$B$41),Constants!$C$6,Design!$B$41)/1000*(1+Constants!$C$32/100*(AR74-25)))/($B74+AH74-AG74*AS74/1000)&gt;Design!$B$34,   (1-Constants!$D$20/1000000000*IF(ISBLANK(Design!$B$31),Design!$B$30/4,Design!$B$31/4)*1000000) * ($B74+AH74-AG74*AS74/1000) - (AH74+AG74*(1+($A74-25)*Constants!$C$32/100)*IF(ISBLANK(Design!$B$41),Constants!$C$6/1000,Design!$B$41/1000)),  (1-Constants!$D$20/1000000000*IF(ISBLANK(Design!$B$31),Design!$B$30,Design!$B$31)*1000000) * ($B74+AH74-AG74*AS74/1000) - (AH74+AG74*(1+($A74-25)*Constants!$C$32/100)*IF(ISBLANK(Design!$B$41),Constants!$C$6/1000,Design!$B$41/1000)))</f>
        <v>5.5234408761931144</v>
      </c>
      <c r="AU74" s="119">
        <f ca="1">IF(AT74&gt;Design!$C$27,Design!$C$27,AT74)</f>
        <v>4.9936842105263155</v>
      </c>
    </row>
    <row r="75" spans="1:47" ht="12.75" customHeight="1" x14ac:dyDescent="0.3">
      <c r="A75" s="112">
        <f>Design!$D$12</f>
        <v>85</v>
      </c>
      <c r="B75" s="113">
        <f t="shared" si="12"/>
        <v>5.9799999999999986</v>
      </c>
      <c r="C75" s="114">
        <f>Design!$D$6</f>
        <v>3</v>
      </c>
      <c r="D75" s="114">
        <f ca="1">FORECAST(C75, OFFSET(Design!$C$14:$C$16,MATCH(C75,Design!$B$14:$B$16,1)-1,0,2), OFFSET(Design!$B$14:$B$16,MATCH(C75,Design!$B$14:$B$16,1)-1,0,2))+(M75-25)*Design!$B$17/1000</f>
        <v>0.42009715117294832</v>
      </c>
      <c r="E75" s="173">
        <f ca="1">IF(100*(Design!$C$27+D75+C75*IF(ISBLANK(Design!$B$41),Constants!$C$6,Design!$B$41)/1000*(1+Constants!$C$32/100*(N75-25)))/($B75+D75-C75*O75/1000)&gt;Design!$B$34,Design!$B$35,100*(Design!$C$27+D75+C75*IF(ISBLANK(Design!$B$41),Constants!$C$6,Design!$B$41)/1000*(1+Constants!$C$32/100*(N75-25)))/($B75+D75-C75*O75/1000))</f>
        <v>93.174999999999997</v>
      </c>
      <c r="F75" s="115">
        <f ca="1">IF(($B75-C75*IF(ISBLANK(Design!$B$41),Constants!$C$6,Design!$B$41)/1000*(1+Constants!$C$32/100*(N75-25))-Design!$C$27)/(IF(ISBLANK(Design!$B$40),Design!$B$38,Design!$B$40)/1000000)*E75/100/(IF(ISBLANK(Design!$B$31),Design!$B$30,Design!$B$31)*1000000)&lt;0,0,($B75-C75*IF(ISBLANK(Design!$B$41),Constants!$C$6,Design!$B$41)/1000*(1+Constants!$C$32/100*(N75-25))-Design!$C$27)/(IF(ISBLANK(Design!$B$40),Design!$B$38,Design!$B$40)/1000000)*E75/100/(IF(ISBLANK(Design!$B$31),Design!$B$30,Design!$B$31)*1000000))</f>
        <v>0.1037154451633653</v>
      </c>
      <c r="G75" s="165">
        <f>B75*Constants!$C$21/1000+IF(ISBLANK(Design!$B$31),Design!$B$30,Design!$B$31)*1000000*Constants!$D$25/1000000000*(B75-Constants!$C$24)</f>
        <v>2.5239999999999985E-2</v>
      </c>
      <c r="H75" s="165">
        <f>B75*C75*(B75/(Constants!$C$26*1000000000)*IF(ISBLANK(Design!$B$31),Design!$B$30,Design!$B$31)*1000000/2+B75/(Constants!$C$27*1000000000)*IF(ISBLANK(Design!$B$31),Design!$B$30,Design!$B$31)*1000000/2)</f>
        <v>0.31290349999999983</v>
      </c>
      <c r="I75" s="165">
        <f t="shared" ca="1" si="13"/>
        <v>2.0589812526779898</v>
      </c>
      <c r="J75" s="165">
        <f>Constants!$D$25/1000000000*Constants!$C$24*IF(ISBLANK(Design!$B$31),Design!$B$30,Design!$B$31)*1000000</f>
        <v>5.2499999999999998E-2</v>
      </c>
      <c r="K75" s="165">
        <f t="shared" ca="1" si="22"/>
        <v>2.4496247526779897</v>
      </c>
      <c r="L75" s="165">
        <f t="shared" ca="1" si="17"/>
        <v>8.6014891702661217E-2</v>
      </c>
      <c r="M75" s="166">
        <f ca="1">$A75+L75*Design!$B$18</f>
        <v>89.902848827051685</v>
      </c>
      <c r="N75" s="166">
        <f ca="1">K75*Design!$C$11+A75</f>
        <v>175.63611584908563</v>
      </c>
      <c r="O75" s="166">
        <f ca="1">Constants!$D$22+Constants!$D$22*Constants!$C$23/100*(N75-25)</f>
        <v>245.50889267926851</v>
      </c>
      <c r="P75" s="165">
        <f ca="1">IF(100*(Design!$C$27+D75+C75*IF(ISBLANK(Design!$B$41),Constants!$C$6,Design!$B$41)/1000*(1+Constants!$C$32/100*(N75-25)))/($B75+D75-C75*O75/1000)&gt;Design!$B$34,   (1-Constants!$D$20/1000000000*IF(ISBLANK(Design!$B$31),Design!$B$30/4,Design!$B$31/4)*1000000) * ($B75+D75-C75*O75/1000) - (D75+C75*(1+($A75-25)*Constants!$C$32/100)*IF(ISBLANK(Design!$B$41),Constants!$C$6/1000,Design!$B$41/1000)),  (1-Constants!$D$20/1000000000*IF(ISBLANK(Design!$B$31),Design!$B$30,Design!$B$31)*1000000) * ($B75+D75-C75*O75/1000) - (D75+C75*(1+($A75-25)*Constants!$C$32/100)*IF(ISBLANK(Design!$B$41),Constants!$C$6/1000,Design!$B$41/1000)))</f>
        <v>4.6901016371707192</v>
      </c>
      <c r="Q75" s="115">
        <f ca="1">IF(P75&gt;Design!$C$27,Design!$C$27,P75)</f>
        <v>4.6901016371707192</v>
      </c>
      <c r="R75" s="116">
        <f>2*Design!$D$6/3</f>
        <v>2</v>
      </c>
      <c r="S75" s="116">
        <f ca="1">FORECAST(R75, OFFSET(Design!$C$14:$C$16,MATCH(R75,Design!$B$14:$B$16,1)-1,0,2), OFFSET(Design!$B$14:$B$16,MATCH(R75,Design!$B$14:$B$16,1)-1,0,2))+(AB75-25)*Design!$B$17/1000</f>
        <v>0.39691182752593446</v>
      </c>
      <c r="T75" s="182">
        <f ca="1">IF(100*(Design!$C$27+S75+R75*IF(ISBLANK(Design!$B$41),Constants!$C$6,Design!$B$41)/1000*(1+Constants!$C$32/100*(AC75-25)))/($B75+S75-R75*AD75/1000)&gt;Design!$B$34,Design!$B$35,100*(Design!$C$27+S75+R75*IF(ISBLANK(Design!$B$41),Constants!$C$6,Design!$B$41)/1000*(1+Constants!$C$32/100*(AC75-25)))/($B75+S75-R75*AD75/1000))</f>
        <v>93.174999999999997</v>
      </c>
      <c r="U75" s="117">
        <f ca="1">IF(($B75-R75*IF(ISBLANK(Design!$B$41),Constants!$C$6,Design!$B$41)/1000*(1+Constants!$C$32/100*(AC75-25))-Design!$C$27)/(IF(ISBLANK(Design!$B$40),Design!$B$38,Design!$B$40)/1000000)*T75/100/(IF(ISBLANK(Design!$B$31),Design!$B$30,Design!$B$31)*1000000)&lt;0,0,($B75-R75*IF(ISBLANK(Design!$B$41),Constants!$C$6,Design!$B$41)/1000*(1+Constants!$C$32/100*(AC75-25))-Design!$C$27)/(IF(ISBLANK(Design!$B$40),Design!$B$38,Design!$B$40)/1000000)*T75/100/(IF(ISBLANK(Design!$B$31),Design!$B$30,Design!$B$31)*1000000))</f>
        <v>0.11581589389008801</v>
      </c>
      <c r="V75" s="183">
        <f>$B75*Constants!$C$21/1000+IF(ISBLANK(Design!$B$31),Design!$B$30,Design!$B$31)*1000000*Constants!$D$25/1000000000*($B75-Constants!$C$24)</f>
        <v>2.5239999999999985E-2</v>
      </c>
      <c r="W75" s="183">
        <f>$B75*R75*($B75/(Constants!$C$26*1000000000)*IF(ISBLANK(Design!$B$31),Design!$B$30,Design!$B$31)*1000000/2+$B75/(Constants!$C$27*1000000000)*IF(ISBLANK(Design!$B$31),Design!$B$30,Design!$B$31)*1000000/2)</f>
        <v>0.20860233333333322</v>
      </c>
      <c r="X75" s="183">
        <f t="shared" ca="1" si="14"/>
        <v>0.76046656928969658</v>
      </c>
      <c r="Y75" s="183">
        <f>Constants!$D$25/1000000000*Constants!$C$24*IF(ISBLANK(Design!$B$31),Design!$B$30,Design!$B$31)*1000000</f>
        <v>5.2499999999999998E-2</v>
      </c>
      <c r="Z75" s="183">
        <f t="shared" ca="1" si="23"/>
        <v>1.0468089026230298</v>
      </c>
      <c r="AA75" s="183">
        <f t="shared" ca="1" si="19"/>
        <v>5.4178464457290076E-2</v>
      </c>
      <c r="AB75" s="184">
        <f ca="1">$A75+AA75*Design!$B$18</f>
        <v>88.08817247406553</v>
      </c>
      <c r="AC75" s="184">
        <f ca="1">Z75*Design!$C$11+$A75</f>
        <v>123.73192939705211</v>
      </c>
      <c r="AD75" s="184">
        <f ca="1">Constants!$D$22+Constants!$D$22*Constants!$C$23/100*(AC75-25)</f>
        <v>203.9855435176417</v>
      </c>
      <c r="AE75" s="183">
        <f ca="1">IF(100*(Design!$C$27+S75+R75*IF(ISBLANK(Design!$B$41),Constants!$C$6,Design!$B$41)/1000*(1+Constants!$C$32/100*(AC75-25)))/($B75+S75-R75*AD75/1000)&gt;Design!$B$34,   (1-Constants!$D$20/1000000000*IF(ISBLANK(Design!$B$31),Design!$B$30/4,Design!$B$31/4)*1000000) * ($B75+S75-R75*AD75/1000) - (S75+R75*(1+($A75-25)*Constants!$C$32/100)*IF(ISBLANK(Design!$B$41),Constants!$C$6/1000,Design!$B$41/1000)),  (1-Constants!$D$20/1000000000*IF(ISBLANK(Design!$B$31),Design!$B$30,Design!$B$31)*1000000) * ($B75+S75-R75*AD75/1000) - (S75+R75*(1+($A75-25)*Constants!$C$32/100)*IF(ISBLANK(Design!$B$41),Constants!$C$6/1000,Design!$B$41/1000)))</f>
        <v>5.0534267074262269</v>
      </c>
      <c r="AF75" s="117">
        <f ca="1">IF(AE75&gt;Design!$C$27,Design!$C$27,AE75)</f>
        <v>4.9936842105263155</v>
      </c>
      <c r="AG75" s="118">
        <f>Design!$D$6/3</f>
        <v>1</v>
      </c>
      <c r="AH75" s="118">
        <f ca="1">FORECAST(AG75, OFFSET(Design!$C$14:$C$16,MATCH(AG75,Design!$B$14:$B$16,1)-1,0,2), OFFSET(Design!$B$14:$B$16,MATCH(AG75,Design!$B$14:$B$16,1)-1,0,2))+(AQ75-25)*Design!$B$17/1000</f>
        <v>0.32097355485046519</v>
      </c>
      <c r="AI75" s="194">
        <f ca="1">IF(100*(Design!$C$27+AH75+AG75*IF(ISBLANK(Design!$B$41),Constants!$C$6,Design!$B$41)/1000*(1+Constants!$C$32/100*(AR75-25)))/($B75+AH75-AG75*AS75/1000)&gt;Design!$B$34,Design!$B$35,100*(Design!$C$27+AH75+AG75*IF(ISBLANK(Design!$B$41),Constants!$C$6,Design!$B$41)/1000*(1+Constants!$C$32/100*(AR75-25)))/($B75+AH75-AG75*AS75/1000))</f>
        <v>93.174999999999997</v>
      </c>
      <c r="AJ75" s="119">
        <f ca="1">IF(($B75-AG75*IF(ISBLANK(Design!$B$41),Constants!$C$6,Design!$B$41)/1000*(1+Constants!$C$32/100*(AR75-25))-Design!$C$27)/(IF(ISBLANK(Design!$B$40),Design!$B$38,Design!$B$40)/1000000)*AI75/100/(IF(ISBLANK(Design!$B$31),Design!$B$30,Design!$B$31)*1000000)&lt;0,0,($B75-AG75*IF(ISBLANK(Design!$B$41),Constants!$C$6,Design!$B$41)/1000*(1+Constants!$C$32/100*(AR75-25))-Design!$C$27)/(IF(ISBLANK(Design!$B$40),Design!$B$38,Design!$B$40)/1000000)*AI75/100/(IF(ISBLANK(Design!$B$31),Design!$B$30,Design!$B$31)*1000000))</f>
        <v>0.12482406858931093</v>
      </c>
      <c r="AK75" s="195">
        <f>$B75*Constants!$C$21/1000+IF(ISBLANK(Design!$B$31),Design!$B$30,Design!$B$31)*1000000*Constants!$D$25/1000000000*($B75-Constants!$C$24)</f>
        <v>2.5239999999999985E-2</v>
      </c>
      <c r="AL75" s="195">
        <f>$B75*AG75*($B75/(Constants!$C$26*1000000000)*IF(ISBLANK(Design!$B$31),Design!$B$30,Design!$B$31)*1000000/2+$B75/(Constants!$C$27*1000000000)*IF(ISBLANK(Design!$B$31),Design!$B$30,Design!$B$31)*1000000/2)</f>
        <v>0.10430116666666661</v>
      </c>
      <c r="AM75" s="195">
        <f t="shared" ca="1" si="15"/>
        <v>0.17115579562762223</v>
      </c>
      <c r="AN75" s="195">
        <f>Constants!$D$25/1000000000*Constants!$C$24*IF(ISBLANK(Design!$B$31),Design!$B$30,Design!$B$31)*1000000</f>
        <v>5.2499999999999998E-2</v>
      </c>
      <c r="AO75" s="195">
        <f t="shared" ca="1" si="24"/>
        <v>0.35319696229428882</v>
      </c>
      <c r="AP75" s="195">
        <f t="shared" ca="1" si="21"/>
        <v>2.1906445118544261E-2</v>
      </c>
      <c r="AQ75" s="196">
        <f ca="1">$A75+AP75*Design!$B$18</f>
        <v>86.248667371757023</v>
      </c>
      <c r="AR75" s="196">
        <f ca="1">AO75*Design!$C$11+$A75</f>
        <v>98.068287604888681</v>
      </c>
      <c r="AS75" s="196">
        <f ca="1">Constants!$D$22+Constants!$D$22*Constants!$C$23/100*(AR75-25)</f>
        <v>183.45463008391096</v>
      </c>
      <c r="AT75" s="195">
        <f ca="1">IF(100*(Design!$C$27+AH75+AG75*IF(ISBLANK(Design!$B$41),Constants!$C$6,Design!$B$41)/1000*(1+Constants!$C$32/100*(AR75-25)))/($B75+AH75-AG75*AS75/1000)&gt;Design!$B$34,   (1-Constants!$D$20/1000000000*IF(ISBLANK(Design!$B$31),Design!$B$30/4,Design!$B$31/4)*1000000) * ($B75+AH75-AG75*AS75/1000) - (AH75+AG75*(1+($A75-25)*Constants!$C$32/100)*IF(ISBLANK(Design!$B$41),Constants!$C$6/1000,Design!$B$41/1000)),  (1-Constants!$D$20/1000000000*IF(ISBLANK(Design!$B$31),Design!$B$30,Design!$B$31)*1000000) * ($B75+AH75-AG75*AS75/1000) - (AH75+AG75*(1+($A75-25)*Constants!$C$32/100)*IF(ISBLANK(Design!$B$41),Constants!$C$6/1000,Design!$B$41/1000)))</f>
        <v>5.3234137033007709</v>
      </c>
      <c r="AU75" s="119">
        <f ca="1">IF(AT75&gt;Design!$C$27,Design!$C$27,AT75)</f>
        <v>4.9936842105263155</v>
      </c>
    </row>
    <row r="76" spans="1:47" ht="12.75" customHeight="1" x14ac:dyDescent="0.3">
      <c r="A76" s="112">
        <f>Design!$D$12</f>
        <v>85</v>
      </c>
      <c r="B76" s="113">
        <f t="shared" si="12"/>
        <v>5.7649999999999988</v>
      </c>
      <c r="C76" s="114">
        <f>Design!$D$6</f>
        <v>3</v>
      </c>
      <c r="D76" s="114">
        <f ca="1">FORECAST(C76, OFFSET(Design!$C$14:$C$16,MATCH(C76,Design!$B$14:$B$16,1)-1,0,2), OFFSET(Design!$B$14:$B$16,MATCH(C76,Design!$B$14:$B$16,1)-1,0,2))+(M76-25)*Design!$B$17/1000</f>
        <v>0.42009715117294832</v>
      </c>
      <c r="E76" s="173">
        <f ca="1">IF(100*(Design!$C$27+D76+C76*IF(ISBLANK(Design!$B$41),Constants!$C$6,Design!$B$41)/1000*(1+Constants!$C$32/100*(N76-25)))/($B76+D76-C76*O76/1000)&gt;Design!$B$34,Design!$B$35,100*(Design!$C$27+D76+C76*IF(ISBLANK(Design!$B$41),Constants!$C$6,Design!$B$41)/1000*(1+Constants!$C$32/100*(N76-25)))/($B76+D76-C76*O76/1000))</f>
        <v>93.174999999999997</v>
      </c>
      <c r="F76" s="115">
        <f ca="1">IF(($B76-C76*IF(ISBLANK(Design!$B$41),Constants!$C$6,Design!$B$41)/1000*(1+Constants!$C$32/100*(N76-25))-Design!$C$27)/(IF(ISBLANK(Design!$B$40),Design!$B$38,Design!$B$40)/1000000)*E76/100/(IF(ISBLANK(Design!$B$31),Design!$B$30,Design!$B$31)*1000000)&lt;0,0,($B76-C76*IF(ISBLANK(Design!$B$41),Constants!$C$6,Design!$B$41)/1000*(1+Constants!$C$32/100*(N76-25))-Design!$C$27)/(IF(ISBLANK(Design!$B$40),Design!$B$38,Design!$B$40)/1000000)*E76/100/(IF(ISBLANK(Design!$B$31),Design!$B$30,Design!$B$31)*1000000))</f>
        <v>7.4896068437299942E-2</v>
      </c>
      <c r="G76" s="165">
        <f>B76*Constants!$C$21/1000+IF(ISBLANK(Design!$B$31),Design!$B$30,Design!$B$31)*1000000*Constants!$D$25/1000000000*(B76-Constants!$C$24)</f>
        <v>2.2444999999999986E-2</v>
      </c>
      <c r="H76" s="165">
        <f>B76*C76*(B76/(Constants!$C$26*1000000000)*IF(ISBLANK(Design!$B$31),Design!$B$30,Design!$B$31)*1000000/2+B76/(Constants!$C$27*1000000000)*IF(ISBLANK(Design!$B$31),Design!$B$30,Design!$B$31)*1000000/2)</f>
        <v>0.29080821874999985</v>
      </c>
      <c r="I76" s="165">
        <f t="shared" ca="1" si="13"/>
        <v>2.0506320557656528</v>
      </c>
      <c r="J76" s="165">
        <f>Constants!$D$25/1000000000*Constants!$C$24*IF(ISBLANK(Design!$B$31),Design!$B$30,Design!$B$31)*1000000</f>
        <v>5.2499999999999998E-2</v>
      </c>
      <c r="K76" s="165">
        <f t="shared" ca="1" si="22"/>
        <v>2.4163852745156529</v>
      </c>
      <c r="L76" s="165">
        <f t="shared" ca="1" si="17"/>
        <v>8.6014891702661217E-2</v>
      </c>
      <c r="M76" s="166">
        <f ca="1">$A76+L76*Design!$B$18</f>
        <v>89.902848827051685</v>
      </c>
      <c r="N76" s="166">
        <f ca="1">K76*Design!$C$11+A76</f>
        <v>174.40625515707916</v>
      </c>
      <c r="O76" s="166">
        <f ca="1">Constants!$D$22+Constants!$D$22*Constants!$C$23/100*(N76-25)</f>
        <v>244.52500412566332</v>
      </c>
      <c r="P76" s="165">
        <f ca="1">IF(100*(Design!$C$27+D76+C76*IF(ISBLANK(Design!$B$41),Constants!$C$6,Design!$B$41)/1000*(1+Constants!$C$32/100*(N76-25)))/($B76+D76-C76*O76/1000)&gt;Design!$B$34,   (1-Constants!$D$20/1000000000*IF(ISBLANK(Design!$B$31),Design!$B$30/4,Design!$B$31/4)*1000000) * ($B76+D76-C76*O76/1000) - (D76+C76*(1+($A76-25)*Constants!$C$32/100)*IF(ISBLANK(Design!$B$41),Constants!$C$6/1000,Design!$B$41/1000)),  (1-Constants!$D$20/1000000000*IF(ISBLANK(Design!$B$31),Design!$B$30,Design!$B$31)*1000000) * ($B76+D76-C76*O76/1000) - (D76+C76*(1+($A76-25)*Constants!$C$32/100)*IF(ISBLANK(Design!$B$41),Constants!$C$6/1000,Design!$B$41/1000)))</f>
        <v>4.4925256016501836</v>
      </c>
      <c r="Q76" s="115">
        <f ca="1">IF(P76&gt;Design!$C$27,Design!$C$27,P76)</f>
        <v>4.4925256016501836</v>
      </c>
      <c r="R76" s="116">
        <f>2*Design!$D$6/3</f>
        <v>2</v>
      </c>
      <c r="S76" s="116">
        <f ca="1">FORECAST(R76, OFFSET(Design!$C$14:$C$16,MATCH(R76,Design!$B$14:$B$16,1)-1,0,2), OFFSET(Design!$B$14:$B$16,MATCH(R76,Design!$B$14:$B$16,1)-1,0,2))+(AB76-25)*Design!$B$17/1000</f>
        <v>0.39691182752593446</v>
      </c>
      <c r="T76" s="182">
        <f ca="1">IF(100*(Design!$C$27+S76+R76*IF(ISBLANK(Design!$B$41),Constants!$C$6,Design!$B$41)/1000*(1+Constants!$C$32/100*(AC76-25)))/($B76+S76-R76*AD76/1000)&gt;Design!$B$34,Design!$B$35,100*(Design!$C$27+S76+R76*IF(ISBLANK(Design!$B$41),Constants!$C$6,Design!$B$41)/1000*(1+Constants!$C$32/100*(AC76-25)))/($B76+S76-R76*AD76/1000))</f>
        <v>93.174999999999997</v>
      </c>
      <c r="U76" s="117">
        <f ca="1">IF(($B76-R76*IF(ISBLANK(Design!$B$41),Constants!$C$6,Design!$B$41)/1000*(1+Constants!$C$32/100*(AC76-25))-Design!$C$27)/(IF(ISBLANK(Design!$B$40),Design!$B$38,Design!$B$40)/1000000)*T76/100/(IF(ISBLANK(Design!$B$31),Design!$B$30,Design!$B$31)*1000000)&lt;0,0,($B76-R76*IF(ISBLANK(Design!$B$41),Constants!$C$6,Design!$B$41)/1000*(1+Constants!$C$32/100*(AC76-25))-Design!$C$27)/(IF(ISBLANK(Design!$B$40),Design!$B$38,Design!$B$40)/1000000)*T76/100/(IF(ISBLANK(Design!$B$31),Design!$B$30,Design!$B$31)*1000000))</f>
        <v>8.6943631394115234E-2</v>
      </c>
      <c r="V76" s="183">
        <f>$B76*Constants!$C$21/1000+IF(ISBLANK(Design!$B$31),Design!$B$30,Design!$B$31)*1000000*Constants!$D$25/1000000000*($B76-Constants!$C$24)</f>
        <v>2.2444999999999986E-2</v>
      </c>
      <c r="W76" s="183">
        <f>$B76*R76*($B76/(Constants!$C$26*1000000000)*IF(ISBLANK(Design!$B$31),Design!$B$30,Design!$B$31)*1000000/2+$B76/(Constants!$C$27*1000000000)*IF(ISBLANK(Design!$B$31),Design!$B$30,Design!$B$31)*1000000/2)</f>
        <v>0.19387214583333326</v>
      </c>
      <c r="X76" s="183">
        <f t="shared" ca="1" si="14"/>
        <v>0.75818886470869595</v>
      </c>
      <c r="Y76" s="183">
        <f>Constants!$D$25/1000000000*Constants!$C$24*IF(ISBLANK(Design!$B$31),Design!$B$30,Design!$B$31)*1000000</f>
        <v>5.2499999999999998E-2</v>
      </c>
      <c r="Z76" s="183">
        <f t="shared" ca="1" si="23"/>
        <v>1.0270060105420293</v>
      </c>
      <c r="AA76" s="183">
        <f t="shared" ca="1" si="19"/>
        <v>5.4178464457290076E-2</v>
      </c>
      <c r="AB76" s="184">
        <f ca="1">$A76+AA76*Design!$B$18</f>
        <v>88.08817247406553</v>
      </c>
      <c r="AC76" s="184">
        <f ca="1">Z76*Design!$C$11+$A76</f>
        <v>122.99922239005508</v>
      </c>
      <c r="AD76" s="184">
        <f ca="1">Constants!$D$22+Constants!$D$22*Constants!$C$23/100*(AC76-25)</f>
        <v>203.39937791204409</v>
      </c>
      <c r="AE76" s="183">
        <f ca="1">IF(100*(Design!$C$27+S76+R76*IF(ISBLANK(Design!$B$41),Constants!$C$6,Design!$B$41)/1000*(1+Constants!$C$32/100*(AC76-25)))/($B76+S76-R76*AD76/1000)&gt;Design!$B$34,   (1-Constants!$D$20/1000000000*IF(ISBLANK(Design!$B$31),Design!$B$30/4,Design!$B$31/4)*1000000) * ($B76+S76-R76*AD76/1000) - (S76+R76*(1+($A76-25)*Constants!$C$32/100)*IF(ISBLANK(Design!$B$41),Constants!$C$6/1000,Design!$B$41/1000)),  (1-Constants!$D$20/1000000000*IF(ISBLANK(Design!$B$31),Design!$B$30,Design!$B$31)*1000000) * ($B76+S76-R76*AD76/1000) - (S76+R76*(1+($A76-25)*Constants!$C$32/100)*IF(ISBLANK(Design!$B$41),Constants!$C$6/1000,Design!$B$41/1000)))</f>
        <v>4.8541927770322593</v>
      </c>
      <c r="AF76" s="117">
        <f ca="1">IF(AE76&gt;Design!$C$27,Design!$C$27,AE76)</f>
        <v>4.8541927770322593</v>
      </c>
      <c r="AG76" s="118">
        <f>Design!$D$6/3</f>
        <v>1</v>
      </c>
      <c r="AH76" s="118">
        <f ca="1">FORECAST(AG76, OFFSET(Design!$C$14:$C$16,MATCH(AG76,Design!$B$14:$B$16,1)-1,0,2), OFFSET(Design!$B$14:$B$16,MATCH(AG76,Design!$B$14:$B$16,1)-1,0,2))+(AQ76-25)*Design!$B$17/1000</f>
        <v>0.32097355485046519</v>
      </c>
      <c r="AI76" s="194">
        <f ca="1">IF(100*(Design!$C$27+AH76+AG76*IF(ISBLANK(Design!$B$41),Constants!$C$6,Design!$B$41)/1000*(1+Constants!$C$32/100*(AR76-25)))/($B76+AH76-AG76*AS76/1000)&gt;Design!$B$34,Design!$B$35,100*(Design!$C$27+AH76+AG76*IF(ISBLANK(Design!$B$41),Constants!$C$6,Design!$B$41)/1000*(1+Constants!$C$32/100*(AR76-25)))/($B76+AH76-AG76*AS76/1000))</f>
        <v>93.174999999999997</v>
      </c>
      <c r="AJ76" s="119">
        <f ca="1">IF(($B76-AG76*IF(ISBLANK(Design!$B$41),Constants!$C$6,Design!$B$41)/1000*(1+Constants!$C$32/100*(AR76-25))-Design!$C$27)/(IF(ISBLANK(Design!$B$40),Design!$B$38,Design!$B$40)/1000000)*AI76/100/(IF(ISBLANK(Design!$B$31),Design!$B$30,Design!$B$31)*1000000)&lt;0,0,($B76-AG76*IF(ISBLANK(Design!$B$41),Constants!$C$6,Design!$B$41)/1000*(1+Constants!$C$32/100*(AR76-25))-Design!$C$27)/(IF(ISBLANK(Design!$B$40),Design!$B$38,Design!$B$40)/1000000)*AI76/100/(IF(ISBLANK(Design!$B$31),Design!$B$30,Design!$B$31)*1000000))</f>
        <v>9.592623636182443E-2</v>
      </c>
      <c r="AK76" s="195">
        <f>$B76*Constants!$C$21/1000+IF(ISBLANK(Design!$B$31),Design!$B$30,Design!$B$31)*1000000*Constants!$D$25/1000000000*($B76-Constants!$C$24)</f>
        <v>2.2444999999999986E-2</v>
      </c>
      <c r="AL76" s="195">
        <f>$B76*AG76*($B76/(Constants!$C$26*1000000000)*IF(ISBLANK(Design!$B$31),Design!$B$30,Design!$B$31)*1000000/2+$B76/(Constants!$C$27*1000000000)*IF(ISBLANK(Design!$B$31),Design!$B$30,Design!$B$31)*1000000/2)</f>
        <v>9.693607291666663E-2</v>
      </c>
      <c r="AM76" s="195">
        <f t="shared" ca="1" si="15"/>
        <v>0.17077395986064817</v>
      </c>
      <c r="AN76" s="195">
        <f>Constants!$D$25/1000000000*Constants!$C$24*IF(ISBLANK(Design!$B$31),Design!$B$30,Design!$B$31)*1000000</f>
        <v>5.2499999999999998E-2</v>
      </c>
      <c r="AO76" s="195">
        <f t="shared" ca="1" si="24"/>
        <v>0.34265503277731479</v>
      </c>
      <c r="AP76" s="195">
        <f t="shared" ca="1" si="21"/>
        <v>2.1906445118544261E-2</v>
      </c>
      <c r="AQ76" s="196">
        <f ca="1">$A76+AP76*Design!$B$18</f>
        <v>86.248667371757023</v>
      </c>
      <c r="AR76" s="196">
        <f ca="1">AO76*Design!$C$11+$A76</f>
        <v>97.678236212760652</v>
      </c>
      <c r="AS76" s="196">
        <f ca="1">Constants!$D$22+Constants!$D$22*Constants!$C$23/100*(AR76-25)</f>
        <v>183.14258897020852</v>
      </c>
      <c r="AT76" s="195">
        <f ca="1">IF(100*(Design!$C$27+AH76+AG76*IF(ISBLANK(Design!$B$41),Constants!$C$6,Design!$B$41)/1000*(1+Constants!$C$32/100*(AR76-25)))/($B76+AH76-AG76*AS76/1000)&gt;Design!$B$34,   (1-Constants!$D$20/1000000000*IF(ISBLANK(Design!$B$31),Design!$B$30/4,Design!$B$31/4)*1000000) * ($B76+AH76-AG76*AS76/1000) - (AH76+AG76*(1+($A76-25)*Constants!$C$32/100)*IF(ISBLANK(Design!$B$41),Constants!$C$6/1000,Design!$B$41/1000)),  (1-Constants!$D$20/1000000000*IF(ISBLANK(Design!$B$31),Design!$B$30,Design!$B$31)*1000000) * ($B76+AH76-AG76*AS76/1000) - (AH76+AG76*(1+($A76-25)*Constants!$C$32/100)*IF(ISBLANK(Design!$B$41),Constants!$C$6/1000,Design!$B$41/1000)))</f>
        <v>5.1233781976084627</v>
      </c>
      <c r="AU76" s="119">
        <f ca="1">IF(AT76&gt;Design!$C$27,Design!$C$27,AT76)</f>
        <v>4.9936842105263155</v>
      </c>
    </row>
    <row r="77" spans="1:47" ht="12.75" customHeight="1" x14ac:dyDescent="0.3">
      <c r="A77" s="112">
        <f>Design!$D$12</f>
        <v>85</v>
      </c>
      <c r="B77" s="113">
        <f t="shared" si="12"/>
        <v>5.5499999999999989</v>
      </c>
      <c r="C77" s="114">
        <f>Design!$D$6</f>
        <v>3</v>
      </c>
      <c r="D77" s="114">
        <f ca="1">FORECAST(C77, OFFSET(Design!$C$14:$C$16,MATCH(C77,Design!$B$14:$B$16,1)-1,0,2), OFFSET(Design!$B$14:$B$16,MATCH(C77,Design!$B$14:$B$16,1)-1,0,2))+(M77-25)*Design!$B$17/1000</f>
        <v>0.42009715117294832</v>
      </c>
      <c r="E77" s="173">
        <f ca="1">IF(100*(Design!$C$27+D77+C77*IF(ISBLANK(Design!$B$41),Constants!$C$6,Design!$B$41)/1000*(1+Constants!$C$32/100*(N77-25)))/($B77+D77-C77*O77/1000)&gt;Design!$B$34,Design!$B$35,100*(Design!$C$27+D77+C77*IF(ISBLANK(Design!$B$41),Constants!$C$6,Design!$B$41)/1000*(1+Constants!$C$32/100*(N77-25)))/($B77+D77-C77*O77/1000))</f>
        <v>93.174999999999997</v>
      </c>
      <c r="F77" s="115">
        <f ca="1">IF(($B77-C77*IF(ISBLANK(Design!$B$41),Constants!$C$6,Design!$B$41)/1000*(1+Constants!$C$32/100*(N77-25))-Design!$C$27)/(IF(ISBLANK(Design!$B$40),Design!$B$38,Design!$B$40)/1000000)*E77/100/(IF(ISBLANK(Design!$B$31),Design!$B$30,Design!$B$31)*1000000)&lt;0,0,($B77-C77*IF(ISBLANK(Design!$B$41),Constants!$C$6,Design!$B$41)/1000*(1+Constants!$C$32/100*(N77-25))-Design!$C$27)/(IF(ISBLANK(Design!$B$40),Design!$B$38,Design!$B$40)/1000000)*E77/100/(IF(ISBLANK(Design!$B$31),Design!$B$30,Design!$B$31)*1000000))</f>
        <v>4.6073738676526872E-2</v>
      </c>
      <c r="G77" s="165">
        <f>B77*Constants!$C$21/1000+IF(ISBLANK(Design!$B$31),Design!$B$30,Design!$B$31)*1000000*Constants!$D$25/1000000000*(B77-Constants!$C$24)</f>
        <v>1.9649999999999987E-2</v>
      </c>
      <c r="H77" s="165">
        <f>B77*C77*(B77/(Constants!$C$26*1000000000)*IF(ISBLANK(Design!$B$31),Design!$B$30,Design!$B$31)*1000000/2+B77/(Constants!$C$27*1000000000)*IF(ISBLANK(Design!$B$31),Design!$B$30,Design!$B$31)*1000000/2)</f>
        <v>0.26952187499999986</v>
      </c>
      <c r="I77" s="165">
        <f t="shared" ca="1" si="13"/>
        <v>2.0425927777305493</v>
      </c>
      <c r="J77" s="165">
        <f>Constants!$D$25/1000000000*Constants!$C$24*IF(ISBLANK(Design!$B$31),Design!$B$30,Design!$B$31)*1000000</f>
        <v>5.2499999999999998E-2</v>
      </c>
      <c r="K77" s="165">
        <f t="shared" ca="1" si="22"/>
        <v>2.3842646527305495</v>
      </c>
      <c r="L77" s="165">
        <f t="shared" ca="1" si="17"/>
        <v>8.6014891702661217E-2</v>
      </c>
      <c r="M77" s="166">
        <f ca="1">$A77+L77*Design!$B$18</f>
        <v>89.902848827051685</v>
      </c>
      <c r="N77" s="166">
        <f ca="1">K77*Design!$C$11+A77</f>
        <v>173.21779215103032</v>
      </c>
      <c r="O77" s="166">
        <f ca="1">Constants!$D$22+Constants!$D$22*Constants!$C$23/100*(N77-25)</f>
        <v>243.57423372082428</v>
      </c>
      <c r="P77" s="165">
        <f ca="1">IF(100*(Design!$C$27+D77+C77*IF(ISBLANK(Design!$B$41),Constants!$C$6,Design!$B$41)/1000*(1+Constants!$C$32/100*(N77-25)))/($B77+D77-C77*O77/1000)&gt;Design!$B$34,   (1-Constants!$D$20/1000000000*IF(ISBLANK(Design!$B$31),Design!$B$30/4,Design!$B$31/4)*1000000) * ($B77+D77-C77*O77/1000) - (D77+C77*(1+($A77-25)*Constants!$C$32/100)*IF(ISBLANK(Design!$B$41),Constants!$C$6/1000,Design!$B$41/1000)),  (1-Constants!$D$20/1000000000*IF(ISBLANK(Design!$B$31),Design!$B$30,Design!$B$31)*1000000) * ($B77+D77-C77*O77/1000) - (D77+C77*(1+($A77-25)*Constants!$C$32/100)*IF(ISBLANK(Design!$B$41),Constants!$C$6/1000,Design!$B$41/1000)))</f>
        <v>4.2948569926243101</v>
      </c>
      <c r="Q77" s="115">
        <f ca="1">IF(P77&gt;Design!$C$27,Design!$C$27,P77)</f>
        <v>4.2948569926243101</v>
      </c>
      <c r="R77" s="116">
        <f>2*Design!$D$6/3</f>
        <v>2</v>
      </c>
      <c r="S77" s="116">
        <f ca="1">FORECAST(R77, OFFSET(Design!$C$14:$C$16,MATCH(R77,Design!$B$14:$B$16,1)-1,0,2), OFFSET(Design!$B$14:$B$16,MATCH(R77,Design!$B$14:$B$16,1)-1,0,2))+(AB77-25)*Design!$B$17/1000</f>
        <v>0.39691182752593446</v>
      </c>
      <c r="T77" s="182">
        <f ca="1">IF(100*(Design!$C$27+S77+R77*IF(ISBLANK(Design!$B$41),Constants!$C$6,Design!$B$41)/1000*(1+Constants!$C$32/100*(AC77-25)))/($B77+S77-R77*AD77/1000)&gt;Design!$B$34,Design!$B$35,100*(Design!$C$27+S77+R77*IF(ISBLANK(Design!$B$41),Constants!$C$6,Design!$B$41)/1000*(1+Constants!$C$32/100*(AC77-25)))/($B77+S77-R77*AD77/1000))</f>
        <v>93.174999999999997</v>
      </c>
      <c r="U77" s="117">
        <f ca="1">IF(($B77-R77*IF(ISBLANK(Design!$B$41),Constants!$C$6,Design!$B$41)/1000*(1+Constants!$C$32/100*(AC77-25))-Design!$C$27)/(IF(ISBLANK(Design!$B$40),Design!$B$38,Design!$B$40)/1000000)*T77/100/(IF(ISBLANK(Design!$B$31),Design!$B$30,Design!$B$31)*1000000)&lt;0,0,($B77-R77*IF(ISBLANK(Design!$B$41),Constants!$C$6,Design!$B$41)/1000*(1+Constants!$C$32/100*(AC77-25))-Design!$C$27)/(IF(ISBLANK(Design!$B$40),Design!$B$38,Design!$B$40)/1000000)*T77/100/(IF(ISBLANK(Design!$B$31),Design!$B$30,Design!$B$31)*1000000))</f>
        <v>5.8070249336188651E-2</v>
      </c>
      <c r="V77" s="183">
        <f>$B77*Constants!$C$21/1000+IF(ISBLANK(Design!$B$31),Design!$B$30,Design!$B$31)*1000000*Constants!$D$25/1000000000*($B77-Constants!$C$24)</f>
        <v>1.9649999999999987E-2</v>
      </c>
      <c r="W77" s="183">
        <f>$B77*R77*($B77/(Constants!$C$26*1000000000)*IF(ISBLANK(Design!$B$31),Design!$B$30,Design!$B$31)*1000000/2+$B77/(Constants!$C$27*1000000000)*IF(ISBLANK(Design!$B$31),Design!$B$30,Design!$B$31)*1000000/2)</f>
        <v>0.1796812499999999</v>
      </c>
      <c r="X77" s="183">
        <f t="shared" ca="1" si="14"/>
        <v>0.75600814393136773</v>
      </c>
      <c r="Y77" s="183">
        <f>Constants!$D$25/1000000000*Constants!$C$24*IF(ISBLANK(Design!$B$31),Design!$B$30,Design!$B$31)*1000000</f>
        <v>5.2499999999999998E-2</v>
      </c>
      <c r="Z77" s="183">
        <f t="shared" ca="1" si="23"/>
        <v>1.0078393939313677</v>
      </c>
      <c r="AA77" s="183">
        <f t="shared" ca="1" si="19"/>
        <v>5.4178464457290076E-2</v>
      </c>
      <c r="AB77" s="184">
        <f ca="1">$A77+AA77*Design!$B$18</f>
        <v>88.08817247406553</v>
      </c>
      <c r="AC77" s="184">
        <f ca="1">Z77*Design!$C$11+$A77</f>
        <v>122.29005757546059</v>
      </c>
      <c r="AD77" s="184">
        <f ca="1">Constants!$D$22+Constants!$D$22*Constants!$C$23/100*(AC77-25)</f>
        <v>202.8320460603685</v>
      </c>
      <c r="AE77" s="183">
        <f ca="1">IF(100*(Design!$C$27+S77+R77*IF(ISBLANK(Design!$B$41),Constants!$C$6,Design!$B$41)/1000*(1+Constants!$C$32/100*(AC77-25)))/($B77+S77-R77*AD77/1000)&gt;Design!$B$34,   (1-Constants!$D$20/1000000000*IF(ISBLANK(Design!$B$31),Design!$B$30/4,Design!$B$31/4)*1000000) * ($B77+S77-R77*AD77/1000) - (S77+R77*(1+($A77-25)*Constants!$C$32/100)*IF(ISBLANK(Design!$B$41),Constants!$C$6/1000,Design!$B$41/1000)),  (1-Constants!$D$20/1000000000*IF(ISBLANK(Design!$B$31),Design!$B$30,Design!$B$31)*1000000) * ($B77+S77-R77*AD77/1000) - (S77+R77*(1+($A77-25)*Constants!$C$32/100)*IF(ISBLANK(Design!$B$41),Constants!$C$6/1000,Design!$B$41/1000)))</f>
        <v>4.6549237499378568</v>
      </c>
      <c r="AF77" s="117">
        <f ca="1">IF(AE77&gt;Design!$C$27,Design!$C$27,AE77)</f>
        <v>4.6549237499378568</v>
      </c>
      <c r="AG77" s="118">
        <f>Design!$D$6/3</f>
        <v>1</v>
      </c>
      <c r="AH77" s="118">
        <f ca="1">FORECAST(AG77, OFFSET(Design!$C$14:$C$16,MATCH(AG77,Design!$B$14:$B$16,1)-1,0,2), OFFSET(Design!$B$14:$B$16,MATCH(AG77,Design!$B$14:$B$16,1)-1,0,2))+(AQ77-25)*Design!$B$17/1000</f>
        <v>0.32097355485046519</v>
      </c>
      <c r="AI77" s="194">
        <f ca="1">IF(100*(Design!$C$27+AH77+AG77*IF(ISBLANK(Design!$B$41),Constants!$C$6,Design!$B$41)/1000*(1+Constants!$C$32/100*(AR77-25)))/($B77+AH77-AG77*AS77/1000)&gt;Design!$B$34,Design!$B$35,100*(Design!$C$27+AH77+AG77*IF(ISBLANK(Design!$B$41),Constants!$C$6,Design!$B$41)/1000*(1+Constants!$C$32/100*(AR77-25)))/($B77+AH77-AG77*AS77/1000))</f>
        <v>93.174999999999997</v>
      </c>
      <c r="AJ77" s="119">
        <f ca="1">IF(($B77-AG77*IF(ISBLANK(Design!$B$41),Constants!$C$6,Design!$B$41)/1000*(1+Constants!$C$32/100*(AR77-25))-Design!$C$27)/(IF(ISBLANK(Design!$B$40),Design!$B$38,Design!$B$40)/1000000)*AI77/100/(IF(ISBLANK(Design!$B$31),Design!$B$30,Design!$B$31)*1000000)&lt;0,0,($B77-AG77*IF(ISBLANK(Design!$B$41),Constants!$C$6,Design!$B$41)/1000*(1+Constants!$C$32/100*(AR77-25))-Design!$C$27)/(IF(ISBLANK(Design!$B$40),Design!$B$38,Design!$B$40)/1000000)*AI77/100/(IF(ISBLANK(Design!$B$31),Design!$B$30,Design!$B$31)*1000000))</f>
        <v>6.7028138444689425E-2</v>
      </c>
      <c r="AK77" s="195">
        <f>$B77*Constants!$C$21/1000+IF(ISBLANK(Design!$B$31),Design!$B$30,Design!$B$31)*1000000*Constants!$D$25/1000000000*($B77-Constants!$C$24)</f>
        <v>1.9649999999999987E-2</v>
      </c>
      <c r="AL77" s="195">
        <f>$B77*AG77*($B77/(Constants!$C$26*1000000000)*IF(ISBLANK(Design!$B$31),Design!$B$30,Design!$B$31)*1000000/2+$B77/(Constants!$C$27*1000000000)*IF(ISBLANK(Design!$B$31),Design!$B$30,Design!$B$31)*1000000/2)</f>
        <v>8.9840624999999952E-2</v>
      </c>
      <c r="AM77" s="195">
        <f t="shared" ca="1" si="15"/>
        <v>0.17042447460019433</v>
      </c>
      <c r="AN77" s="195">
        <f>Constants!$D$25/1000000000*Constants!$C$24*IF(ISBLANK(Design!$B$31),Design!$B$30,Design!$B$31)*1000000</f>
        <v>5.2499999999999998E-2</v>
      </c>
      <c r="AO77" s="195">
        <f t="shared" ca="1" si="24"/>
        <v>0.33241509960019427</v>
      </c>
      <c r="AP77" s="195">
        <f t="shared" ca="1" si="21"/>
        <v>2.1906445118544261E-2</v>
      </c>
      <c r="AQ77" s="196">
        <f ca="1">$A77+AP77*Design!$B$18</f>
        <v>86.248667371757023</v>
      </c>
      <c r="AR77" s="196">
        <f ca="1">AO77*Design!$C$11+$A77</f>
        <v>97.299358685207181</v>
      </c>
      <c r="AS77" s="196">
        <f ca="1">Constants!$D$22+Constants!$D$22*Constants!$C$23/100*(AR77-25)</f>
        <v>182.83948694816576</v>
      </c>
      <c r="AT77" s="195">
        <f ca="1">IF(100*(Design!$C$27+AH77+AG77*IF(ISBLANK(Design!$B$41),Constants!$C$6,Design!$B$41)/1000*(1+Constants!$C$32/100*(AR77-25)))/($B77+AH77-AG77*AS77/1000)&gt;Design!$B$34,   (1-Constants!$D$20/1000000000*IF(ISBLANK(Design!$B$31),Design!$B$30/4,Design!$B$31/4)*1000000) * ($B77+AH77-AG77*AS77/1000) - (AH77+AG77*(1+($A77-25)*Constants!$C$32/100)*IF(ISBLANK(Design!$B$41),Constants!$C$6/1000,Design!$B$41/1000)),  (1-Constants!$D$20/1000000000*IF(ISBLANK(Design!$B$31),Design!$B$30,Design!$B$31)*1000000) * ($B77+AH77-AG77*AS77/1000) - (AH77+AG77*(1+($A77-25)*Constants!$C$32/100)*IF(ISBLANK(Design!$B$41),Constants!$C$6/1000,Design!$B$41/1000)))</f>
        <v>4.923334362917501</v>
      </c>
      <c r="AU77" s="119">
        <f ca="1">IF(AT77&gt;Design!$C$27,Design!$C$27,AT77)</f>
        <v>4.923334362917501</v>
      </c>
    </row>
    <row r="78" spans="1:47" ht="12.75" customHeight="1" x14ac:dyDescent="0.3">
      <c r="A78" s="112">
        <f>Design!$D$12</f>
        <v>85</v>
      </c>
      <c r="B78" s="113">
        <f t="shared" si="12"/>
        <v>5.3349999999999991</v>
      </c>
      <c r="C78" s="114">
        <f>Design!$D$6</f>
        <v>3</v>
      </c>
      <c r="D78" s="114">
        <f ca="1">FORECAST(C78, OFFSET(Design!$C$14:$C$16,MATCH(C78,Design!$B$14:$B$16,1)-1,0,2), OFFSET(Design!$B$14:$B$16,MATCH(C78,Design!$B$14:$B$16,1)-1,0,2))+(M78-25)*Design!$B$17/1000</f>
        <v>0.42009715117294832</v>
      </c>
      <c r="E78" s="173">
        <f ca="1">IF(100*(Design!$C$27+D78+C78*IF(ISBLANK(Design!$B$41),Constants!$C$6,Design!$B$41)/1000*(1+Constants!$C$32/100*(N78-25)))/($B78+D78-C78*O78/1000)&gt;Design!$B$34,Design!$B$35,100*(Design!$C$27+D78+C78*IF(ISBLANK(Design!$B$41),Constants!$C$6,Design!$B$41)/1000*(1+Constants!$C$32/100*(N78-25)))/($B78+D78-C78*O78/1000))</f>
        <v>93.174999999999997</v>
      </c>
      <c r="F78" s="115">
        <f ca="1">IF(($B78-C78*IF(ISBLANK(Design!$B$41),Constants!$C$6,Design!$B$41)/1000*(1+Constants!$C$32/100*(N78-25))-Design!$C$27)/(IF(ISBLANK(Design!$B$40),Design!$B$38,Design!$B$40)/1000000)*E78/100/(IF(ISBLANK(Design!$B$31),Design!$B$30,Design!$B$31)*1000000)&lt;0,0,($B78-C78*IF(ISBLANK(Design!$B$41),Constants!$C$6,Design!$B$41)/1000*(1+Constants!$C$32/100*(N78-25))-Design!$C$27)/(IF(ISBLANK(Design!$B$40),Design!$B$38,Design!$B$40)/1000000)*E78/100/(IF(ISBLANK(Design!$B$31),Design!$B$30,Design!$B$31)*1000000))</f>
        <v>1.724845723304955E-2</v>
      </c>
      <c r="G78" s="165">
        <f>B78*Constants!$C$21/1000+IF(ISBLANK(Design!$B$31),Design!$B$30,Design!$B$31)*1000000*Constants!$D$25/1000000000*(B78-Constants!$C$24)</f>
        <v>1.6854999999999988E-2</v>
      </c>
      <c r="H78" s="165">
        <f>B78*C78*(B78/(Constants!$C$26*1000000000)*IF(ISBLANK(Design!$B$31),Design!$B$30,Design!$B$31)*1000000/2+B78/(Constants!$C$27*1000000000)*IF(ISBLANK(Design!$B$31),Design!$B$30,Design!$B$31)*1000000/2)</f>
        <v>0.24904446874999989</v>
      </c>
      <c r="I78" s="165">
        <f t="shared" ca="1" si="13"/>
        <v>2.0348629063208015</v>
      </c>
      <c r="J78" s="165">
        <f>Constants!$D$25/1000000000*Constants!$C$24*IF(ISBLANK(Design!$B$31),Design!$B$30,Design!$B$31)*1000000</f>
        <v>5.2499999999999998E-2</v>
      </c>
      <c r="K78" s="165">
        <f t="shared" ca="1" si="22"/>
        <v>2.3532623750708015</v>
      </c>
      <c r="L78" s="165">
        <f t="shared" ca="1" si="17"/>
        <v>8.6014891702661217E-2</v>
      </c>
      <c r="M78" s="166">
        <f ca="1">$A78+L78*Design!$B$18</f>
        <v>89.902848827051685</v>
      </c>
      <c r="N78" s="166">
        <f ca="1">K78*Design!$C$11+A78</f>
        <v>172.07070787761967</v>
      </c>
      <c r="O78" s="166">
        <f ca="1">Constants!$D$22+Constants!$D$22*Constants!$C$23/100*(N78-25)</f>
        <v>242.65656630209574</v>
      </c>
      <c r="P78" s="165">
        <f ca="1">IF(100*(Design!$C$27+D78+C78*IF(ISBLANK(Design!$B$41),Constants!$C$6,Design!$B$41)/1000*(1+Constants!$C$32/100*(N78-25)))/($B78+D78-C78*O78/1000)&gt;Design!$B$34,   (1-Constants!$D$20/1000000000*IF(ISBLANK(Design!$B$31),Design!$B$30/4,Design!$B$31/4)*1000000) * ($B78+D78-C78*O78/1000) - (D78+C78*(1+($A78-25)*Constants!$C$32/100)*IF(ISBLANK(Design!$B$41),Constants!$C$6/1000,Design!$B$41/1000)),  (1-Constants!$D$20/1000000000*IF(ISBLANK(Design!$B$31),Design!$B$30,Design!$B$31)*1000000) * ($B78+D78-C78*O78/1000) - (D78+C78*(1+($A78-25)*Constants!$C$32/100)*IF(ISBLANK(Design!$B$41),Constants!$C$6/1000,Design!$B$41/1000)))</f>
        <v>4.097095852476512</v>
      </c>
      <c r="Q78" s="115">
        <f ca="1">IF(P78&gt;Design!$C$27,Design!$C$27,P78)</f>
        <v>4.097095852476512</v>
      </c>
      <c r="R78" s="116">
        <f>2*Design!$D$6/3</f>
        <v>2</v>
      </c>
      <c r="S78" s="116">
        <f ca="1">FORECAST(R78, OFFSET(Design!$C$14:$C$16,MATCH(R78,Design!$B$14:$B$16,1)-1,0,2), OFFSET(Design!$B$14:$B$16,MATCH(R78,Design!$B$14:$B$16,1)-1,0,2))+(AB78-25)*Design!$B$17/1000</f>
        <v>0.39691182752593446</v>
      </c>
      <c r="T78" s="182">
        <f ca="1">IF(100*(Design!$C$27+S78+R78*IF(ISBLANK(Design!$B$41),Constants!$C$6,Design!$B$41)/1000*(1+Constants!$C$32/100*(AC78-25)))/($B78+S78-R78*AD78/1000)&gt;Design!$B$34,Design!$B$35,100*(Design!$C$27+S78+R78*IF(ISBLANK(Design!$B$41),Constants!$C$6,Design!$B$41)/1000*(1+Constants!$C$32/100*(AC78-25)))/($B78+S78-R78*AD78/1000))</f>
        <v>93.174999999999997</v>
      </c>
      <c r="U78" s="117">
        <f ca="1">IF(($B78-R78*IF(ISBLANK(Design!$B$41),Constants!$C$6,Design!$B$41)/1000*(1+Constants!$C$32/100*(AC78-25))-Design!$C$27)/(IF(ISBLANK(Design!$B$40),Design!$B$38,Design!$B$40)/1000000)*T78/100/(IF(ISBLANK(Design!$B$31),Design!$B$30,Design!$B$31)*1000000)&lt;0,0,($B78-R78*IF(ISBLANK(Design!$B$41),Constants!$C$6,Design!$B$41)/1000*(1+Constants!$C$32/100*(AC78-25))-Design!$C$27)/(IF(ISBLANK(Design!$B$40),Design!$B$38,Design!$B$40)/1000000)*T78/100/(IF(ISBLANK(Design!$B$31),Design!$B$30,Design!$B$31)*1000000))</f>
        <v>2.9195748182328111E-2</v>
      </c>
      <c r="V78" s="183">
        <f>$B78*Constants!$C$21/1000+IF(ISBLANK(Design!$B$31),Design!$B$30,Design!$B$31)*1000000*Constants!$D$25/1000000000*($B78-Constants!$C$24)</f>
        <v>1.6854999999999988E-2</v>
      </c>
      <c r="W78" s="183">
        <f>$B78*R78*($B78/(Constants!$C$26*1000000000)*IF(ISBLANK(Design!$B$31),Design!$B$30,Design!$B$31)*1000000/2+$B78/(Constants!$C$27*1000000000)*IF(ISBLANK(Design!$B$31),Design!$B$30,Design!$B$31)*1000000/2)</f>
        <v>0.16602964583333327</v>
      </c>
      <c r="X78" s="183">
        <f t="shared" ca="1" si="14"/>
        <v>0.75392414210682546</v>
      </c>
      <c r="Y78" s="183">
        <f>Constants!$D$25/1000000000*Constants!$C$24*IF(ISBLANK(Design!$B$31),Design!$B$30,Design!$B$31)*1000000</f>
        <v>5.2499999999999998E-2</v>
      </c>
      <c r="Z78" s="183">
        <f t="shared" ca="1" si="23"/>
        <v>0.98930878794015875</v>
      </c>
      <c r="AA78" s="183">
        <f t="shared" ca="1" si="19"/>
        <v>5.4178464457290076E-2</v>
      </c>
      <c r="AB78" s="184">
        <f ca="1">$A78+AA78*Design!$B$18</f>
        <v>88.08817247406553</v>
      </c>
      <c r="AC78" s="184">
        <f ca="1">Z78*Design!$C$11+$A78</f>
        <v>121.60442515378588</v>
      </c>
      <c r="AD78" s="184">
        <f ca="1">Constants!$D$22+Constants!$D$22*Constants!$C$23/100*(AC78-25)</f>
        <v>202.28354012302873</v>
      </c>
      <c r="AE78" s="183">
        <f ca="1">IF(100*(Design!$C$27+S78+R78*IF(ISBLANK(Design!$B$41),Constants!$C$6,Design!$B$41)/1000*(1+Constants!$C$32/100*(AC78-25)))/($B78+S78-R78*AD78/1000)&gt;Design!$B$34,   (1-Constants!$D$20/1000000000*IF(ISBLANK(Design!$B$31),Design!$B$30/4,Design!$B$31/4)*1000000) * ($B78+S78-R78*AD78/1000) - (S78+R78*(1+($A78-25)*Constants!$C$32/100)*IF(ISBLANK(Design!$B$41),Constants!$C$6/1000,Design!$B$41/1000)),  (1-Constants!$D$20/1000000000*IF(ISBLANK(Design!$B$31),Design!$B$30,Design!$B$31)*1000000) * ($B78+S78-R78*AD78/1000) - (S78+R78*(1+($A78-25)*Constants!$C$32/100)*IF(ISBLANK(Design!$B$41),Constants!$C$6/1000,Design!$B$41/1000)))</f>
        <v>4.4556196407520892</v>
      </c>
      <c r="AF78" s="117">
        <f ca="1">IF(AE78&gt;Design!$C$27,Design!$C$27,AE78)</f>
        <v>4.4556196407520892</v>
      </c>
      <c r="AG78" s="118">
        <f>Design!$D$6/3</f>
        <v>1</v>
      </c>
      <c r="AH78" s="118">
        <f ca="1">FORECAST(AG78, OFFSET(Design!$C$14:$C$16,MATCH(AG78,Design!$B$14:$B$16,1)-1,0,2), OFFSET(Design!$B$14:$B$16,MATCH(AG78,Design!$B$14:$B$16,1)-1,0,2))+(AQ78-25)*Design!$B$17/1000</f>
        <v>0.32097355485046519</v>
      </c>
      <c r="AI78" s="194">
        <f ca="1">IF(100*(Design!$C$27+AH78+AG78*IF(ISBLANK(Design!$B$41),Constants!$C$6,Design!$B$41)/1000*(1+Constants!$C$32/100*(AR78-25)))/($B78+AH78-AG78*AS78/1000)&gt;Design!$B$34,Design!$B$35,100*(Design!$C$27+AH78+AG78*IF(ISBLANK(Design!$B$41),Constants!$C$6,Design!$B$41)/1000*(1+Constants!$C$32/100*(AR78-25)))/($B78+AH78-AG78*AS78/1000))</f>
        <v>93.174999999999997</v>
      </c>
      <c r="AJ78" s="119">
        <f ca="1">IF(($B78-AG78*IF(ISBLANK(Design!$B$41),Constants!$C$6,Design!$B$41)/1000*(1+Constants!$C$32/100*(AR78-25))-Design!$C$27)/(IF(ISBLANK(Design!$B$40),Design!$B$38,Design!$B$40)/1000000)*AI78/100/(IF(ISBLANK(Design!$B$31),Design!$B$30,Design!$B$31)*1000000)&lt;0,0,($B78-AG78*IF(ISBLANK(Design!$B$41),Constants!$C$6,Design!$B$41)/1000*(1+Constants!$C$32/100*(AR78-25))-Design!$C$27)/(IF(ISBLANK(Design!$B$40),Design!$B$38,Design!$B$40)/1000000)*AI78/100/(IF(ISBLANK(Design!$B$31),Design!$B$30,Design!$B$31)*1000000))</f>
        <v>3.8129774952870503E-2</v>
      </c>
      <c r="AK78" s="195">
        <f>$B78*Constants!$C$21/1000+IF(ISBLANK(Design!$B$31),Design!$B$30,Design!$B$31)*1000000*Constants!$D$25/1000000000*($B78-Constants!$C$24)</f>
        <v>1.6854999999999988E-2</v>
      </c>
      <c r="AL78" s="195">
        <f>$B78*AG78*($B78/(Constants!$C$26*1000000000)*IF(ISBLANK(Design!$B$31),Design!$B$30,Design!$B$31)*1000000/2+$B78/(Constants!$C$27*1000000000)*IF(ISBLANK(Design!$B$31),Design!$B$30,Design!$B$31)*1000000/2)</f>
        <v>8.3014822916666633E-2</v>
      </c>
      <c r="AM78" s="195">
        <f t="shared" ca="1" si="15"/>
        <v>0.17010720917162345</v>
      </c>
      <c r="AN78" s="195">
        <f>Constants!$D$25/1000000000*Constants!$C$24*IF(ISBLANK(Design!$B$31),Design!$B$30,Design!$B$31)*1000000</f>
        <v>5.2499999999999998E-2</v>
      </c>
      <c r="AO78" s="195">
        <f t="shared" ca="1" si="24"/>
        <v>0.32247703208829004</v>
      </c>
      <c r="AP78" s="195">
        <f t="shared" ca="1" si="21"/>
        <v>2.1906445118544261E-2</v>
      </c>
      <c r="AQ78" s="196">
        <f ca="1">$A78+AP78*Design!$B$18</f>
        <v>86.248667371757023</v>
      </c>
      <c r="AR78" s="196">
        <f ca="1">AO78*Design!$C$11+$A78</f>
        <v>96.931650187266726</v>
      </c>
      <c r="AS78" s="196">
        <f ca="1">Constants!$D$22+Constants!$D$22*Constants!$C$23/100*(AR78-25)</f>
        <v>182.54532014981339</v>
      </c>
      <c r="AT78" s="195">
        <f ca="1">IF(100*(Design!$C$27+AH78+AG78*IF(ISBLANK(Design!$B$41),Constants!$C$6,Design!$B$41)/1000*(1+Constants!$C$32/100*(AR78-25)))/($B78+AH78-AG78*AS78/1000)&gt;Design!$B$34,   (1-Constants!$D$20/1000000000*IF(ISBLANK(Design!$B$31),Design!$B$30/4,Design!$B$31/4)*1000000) * ($B78+AH78-AG78*AS78/1000) - (AH78+AG78*(1+($A78-25)*Constants!$C$32/100)*IF(ISBLANK(Design!$B$41),Constants!$C$6/1000,Design!$B$41/1000)),  (1-Constants!$D$20/1000000000*IF(ISBLANK(Design!$B$31),Design!$B$30,Design!$B$31)*1000000) * ($B78+AH78-AG78*AS78/1000) - (AH78+AG78*(1+($A78-25)*Constants!$C$32/100)*IF(ISBLANK(Design!$B$41),Constants!$C$6/1000,Design!$B$41/1000)))</f>
        <v>4.7232822028318662</v>
      </c>
      <c r="AU78" s="119">
        <f ca="1">IF(AT78&gt;Design!$C$27,Design!$C$27,AT78)</f>
        <v>4.7232822028318662</v>
      </c>
    </row>
    <row r="79" spans="1:47" ht="12.75" customHeight="1" x14ac:dyDescent="0.3">
      <c r="A79" s="112">
        <f>Design!$D$12</f>
        <v>85</v>
      </c>
      <c r="B79" s="113">
        <f t="shared" si="12"/>
        <v>5.1199999999999992</v>
      </c>
      <c r="C79" s="114">
        <f>Design!$D$6</f>
        <v>3</v>
      </c>
      <c r="D79" s="114">
        <f ca="1">FORECAST(C79, OFFSET(Design!$C$14:$C$16,MATCH(C79,Design!$B$14:$B$16,1)-1,0,2), OFFSET(Design!$B$14:$B$16,MATCH(C79,Design!$B$14:$B$16,1)-1,0,2))+(M79-25)*Design!$B$17/1000</f>
        <v>0.42009715117294832</v>
      </c>
      <c r="E79" s="173">
        <f ca="1">IF(100*(Design!$C$27+D79+C79*IF(ISBLANK(Design!$B$41),Constants!$C$6,Design!$B$41)/1000*(1+Constants!$C$32/100*(N79-25)))/($B79+D79-C79*O79/1000)&gt;Design!$B$34,Design!$B$35,100*(Design!$C$27+D79+C79*IF(ISBLANK(Design!$B$41),Constants!$C$6,Design!$B$41)/1000*(1+Constants!$C$32/100*(N79-25)))/($B79+D79-C79*O79/1000))</f>
        <v>93.174999999999997</v>
      </c>
      <c r="F79" s="115">
        <f ca="1">IF(($B79-C79*IF(ISBLANK(Design!$B$41),Constants!$C$6,Design!$B$41)/1000*(1+Constants!$C$32/100*(N79-25))-Design!$C$27)/(IF(ISBLANK(Design!$B$40),Design!$B$38,Design!$B$40)/1000000)*E79/100/(IF(ISBLANK(Design!$B$31),Design!$B$30,Design!$B$31)*1000000)&lt;0,0,($B79-C79*IF(ISBLANK(Design!$B$41),Constants!$C$6,Design!$B$41)/1000*(1+Constants!$C$32/100*(N79-25))-Design!$C$27)/(IF(ISBLANK(Design!$B$40),Design!$B$38,Design!$B$40)/1000000)*E79/100/(IF(ISBLANK(Design!$B$31),Design!$B$30,Design!$B$31)*1000000))</f>
        <v>0</v>
      </c>
      <c r="G79" s="165">
        <f>B79*Constants!$C$21/1000+IF(ISBLANK(Design!$B$31),Design!$B$30,Design!$B$31)*1000000*Constants!$D$25/1000000000*(B79-Constants!$C$24)</f>
        <v>1.4059999999999989E-2</v>
      </c>
      <c r="H79" s="165">
        <f>B79*C79*(B79/(Constants!$C$26*1000000000)*IF(ISBLANK(Design!$B$31),Design!$B$30,Design!$B$31)*1000000/2+B79/(Constants!$C$27*1000000000)*IF(ISBLANK(Design!$B$31),Design!$B$30,Design!$B$31)*1000000/2)</f>
        <v>0.22937599999999994</v>
      </c>
      <c r="I79" s="165">
        <f t="shared" ca="1" si="13"/>
        <v>2.0274386148150967</v>
      </c>
      <c r="J79" s="165">
        <f>Constants!$D$25/1000000000*Constants!$C$24*IF(ISBLANK(Design!$B$31),Design!$B$30,Design!$B$31)*1000000</f>
        <v>5.2499999999999998E-2</v>
      </c>
      <c r="K79" s="165">
        <f t="shared" ca="1" si="22"/>
        <v>2.3233746148150969</v>
      </c>
      <c r="L79" s="165">
        <f t="shared" ca="1" si="17"/>
        <v>8.6014891702661217E-2</v>
      </c>
      <c r="M79" s="166">
        <f ca="1">$A79+L79*Design!$B$18</f>
        <v>89.902848827051685</v>
      </c>
      <c r="N79" s="166">
        <f ca="1">K79*Design!$C$11+A79</f>
        <v>170.96486074815857</v>
      </c>
      <c r="O79" s="166">
        <f ca="1">Constants!$D$22+Constants!$D$22*Constants!$C$23/100*(N79-25)</f>
        <v>241.77188859852686</v>
      </c>
      <c r="P79" s="165">
        <f ca="1">IF(100*(Design!$C$27+D79+C79*IF(ISBLANK(Design!$B$41),Constants!$C$6,Design!$B$41)/1000*(1+Constants!$C$32/100*(N79-25)))/($B79+D79-C79*O79/1000)&gt;Design!$B$34,   (1-Constants!$D$20/1000000000*IF(ISBLANK(Design!$B$31),Design!$B$30/4,Design!$B$31/4)*1000000) * ($B79+D79-C79*O79/1000) - (D79+C79*(1+($A79-25)*Constants!$C$32/100)*IF(ISBLANK(Design!$B$41),Constants!$C$6/1000,Design!$B$41/1000)),  (1-Constants!$D$20/1000000000*IF(ISBLANK(Design!$B$31),Design!$B$30,Design!$B$31)*1000000) * ($B79+D79-C79*O79/1000) - (D79+C79*(1+($A79-25)*Constants!$C$32/100)*IF(ISBLANK(Design!$B$41),Constants!$C$6/1000,Design!$B$41/1000)))</f>
        <v>3.8992424978274132</v>
      </c>
      <c r="Q79" s="115">
        <f ca="1">IF(P79&gt;Design!$C$27,Design!$C$27,P79)</f>
        <v>3.8992424978274132</v>
      </c>
      <c r="R79" s="116">
        <f>2*Design!$D$6/3</f>
        <v>2</v>
      </c>
      <c r="S79" s="116">
        <f ca="1">FORECAST(R79, OFFSET(Design!$C$14:$C$16,MATCH(R79,Design!$B$14:$B$16,1)-1,0,2), OFFSET(Design!$B$14:$B$16,MATCH(R79,Design!$B$14:$B$16,1)-1,0,2))+(AB79-25)*Design!$B$17/1000</f>
        <v>0.39691182752593446</v>
      </c>
      <c r="T79" s="182">
        <f ca="1">IF(100*(Design!$C$27+S79+R79*IF(ISBLANK(Design!$B$41),Constants!$C$6,Design!$B$41)/1000*(1+Constants!$C$32/100*(AC79-25)))/($B79+S79-R79*AD79/1000)&gt;Design!$B$34,Design!$B$35,100*(Design!$C$27+S79+R79*IF(ISBLANK(Design!$B$41),Constants!$C$6,Design!$B$41)/1000*(1+Constants!$C$32/100*(AC79-25)))/($B79+S79-R79*AD79/1000))</f>
        <v>93.174999999999997</v>
      </c>
      <c r="U79" s="117">
        <f ca="1">IF(($B79-R79*IF(ISBLANK(Design!$B$41),Constants!$C$6,Design!$B$41)/1000*(1+Constants!$C$32/100*(AC79-25))-Design!$C$27)/(IF(ISBLANK(Design!$B$40),Design!$B$38,Design!$B$40)/1000000)*T79/100/(IF(ISBLANK(Design!$B$31),Design!$B$30,Design!$B$31)*1000000)&lt;0,0,($B79-R79*IF(ISBLANK(Design!$B$41),Constants!$C$6,Design!$B$41)/1000*(1+Constants!$C$32/100*(AC79-25))-Design!$C$27)/(IF(ISBLANK(Design!$B$40),Design!$B$38,Design!$B$40)/1000000)*T79/100/(IF(ISBLANK(Design!$B$31),Design!$B$30,Design!$B$31)*1000000))</f>
        <v>3.2012836968650475E-4</v>
      </c>
      <c r="V79" s="183">
        <f>$B79*Constants!$C$21/1000+IF(ISBLANK(Design!$B$31),Design!$B$30,Design!$B$31)*1000000*Constants!$D$25/1000000000*($B79-Constants!$C$24)</f>
        <v>1.4059999999999989E-2</v>
      </c>
      <c r="W79" s="183">
        <f>$B79*R79*($B79/(Constants!$C$26*1000000000)*IF(ISBLANK(Design!$B$31),Design!$B$30,Design!$B$31)*1000000/2+$B79/(Constants!$C$27*1000000000)*IF(ISBLANK(Design!$B$31),Design!$B$30,Design!$B$31)*1000000/2)</f>
        <v>0.15291733333333329</v>
      </c>
      <c r="X79" s="183">
        <f t="shared" ca="1" si="14"/>
        <v>0.75193661078994334</v>
      </c>
      <c r="Y79" s="183">
        <f>Constants!$D$25/1000000000*Constants!$C$24*IF(ISBLANK(Design!$B$31),Design!$B$30,Design!$B$31)*1000000</f>
        <v>5.2499999999999998E-2</v>
      </c>
      <c r="Z79" s="183">
        <f t="shared" ca="1" si="23"/>
        <v>0.97141394412327664</v>
      </c>
      <c r="AA79" s="183">
        <f t="shared" ca="1" si="19"/>
        <v>5.4178464457290076E-2</v>
      </c>
      <c r="AB79" s="184">
        <f ca="1">$A79+AA79*Design!$B$18</f>
        <v>88.08817247406553</v>
      </c>
      <c r="AC79" s="184">
        <f ca="1">Z79*Design!$C$11+$A79</f>
        <v>120.94231593256123</v>
      </c>
      <c r="AD79" s="184">
        <f ca="1">Constants!$D$22+Constants!$D$22*Constants!$C$23/100*(AC79-25)</f>
        <v>201.75385274604901</v>
      </c>
      <c r="AE79" s="183">
        <f ca="1">IF(100*(Design!$C$27+S79+R79*IF(ISBLANK(Design!$B$41),Constants!$C$6,Design!$B$41)/1000*(1+Constants!$C$32/100*(AC79-25)))/($B79+S79-R79*AD79/1000)&gt;Design!$B$34,   (1-Constants!$D$20/1000000000*IF(ISBLANK(Design!$B$31),Design!$B$30/4,Design!$B$31/4)*1000000) * ($B79+S79-R79*AD79/1000) - (S79+R79*(1+($A79-25)*Constants!$C$32/100)*IF(ISBLANK(Design!$B$41),Constants!$C$6/1000,Design!$B$41/1000)),  (1-Constants!$D$20/1000000000*IF(ISBLANK(Design!$B$31),Design!$B$30,Design!$B$31)*1000000) * ($B79+S79-R79*AD79/1000) - (S79+R79*(1+($A79-25)*Constants!$C$32/100)*IF(ISBLANK(Design!$B$41),Constants!$C$6/1000,Design!$B$41/1000)))</f>
        <v>4.2562804631790909</v>
      </c>
      <c r="AF79" s="117">
        <f ca="1">IF(AE79&gt;Design!$C$27,Design!$C$27,AE79)</f>
        <v>4.2562804631790909</v>
      </c>
      <c r="AG79" s="118">
        <f>Design!$D$6/3</f>
        <v>1</v>
      </c>
      <c r="AH79" s="118">
        <f ca="1">FORECAST(AG79, OFFSET(Design!$C$14:$C$16,MATCH(AG79,Design!$B$14:$B$16,1)-1,0,2), OFFSET(Design!$B$14:$B$16,MATCH(AG79,Design!$B$14:$B$16,1)-1,0,2))+(AQ79-25)*Design!$B$17/1000</f>
        <v>0.32097355485046519</v>
      </c>
      <c r="AI79" s="194">
        <f ca="1">IF(100*(Design!$C$27+AH79+AG79*IF(ISBLANK(Design!$B$41),Constants!$C$6,Design!$B$41)/1000*(1+Constants!$C$32/100*(AR79-25)))/($B79+AH79-AG79*AS79/1000)&gt;Design!$B$34,Design!$B$35,100*(Design!$C$27+AH79+AG79*IF(ISBLANK(Design!$B$41),Constants!$C$6,Design!$B$41)/1000*(1+Constants!$C$32/100*(AR79-25)))/($B79+AH79-AG79*AS79/1000))</f>
        <v>93.174999999999997</v>
      </c>
      <c r="AJ79" s="119">
        <f ca="1">IF(($B79-AG79*IF(ISBLANK(Design!$B$41),Constants!$C$6,Design!$B$41)/1000*(1+Constants!$C$32/100*(AR79-25))-Design!$C$27)/(IF(ISBLANK(Design!$B$40),Design!$B$38,Design!$B$40)/1000000)*AI79/100/(IF(ISBLANK(Design!$B$31),Design!$B$30,Design!$B$31)*1000000)&lt;0,0,($B79-AG79*IF(ISBLANK(Design!$B$41),Constants!$C$6,Design!$B$41)/1000*(1+Constants!$C$32/100*(AR79-25))-Design!$C$27)/(IF(ISBLANK(Design!$B$40),Design!$B$38,Design!$B$40)/1000000)*AI79/100/(IF(ISBLANK(Design!$B$31),Design!$B$30,Design!$B$31)*1000000))</f>
        <v>9.2311459950420692E-3</v>
      </c>
      <c r="AK79" s="195">
        <f>$B79*Constants!$C$21/1000+IF(ISBLANK(Design!$B$31),Design!$B$30,Design!$B$31)*1000000*Constants!$D$25/1000000000*($B79-Constants!$C$24)</f>
        <v>1.4059999999999989E-2</v>
      </c>
      <c r="AL79" s="195">
        <f>$B79*AG79*($B79/(Constants!$C$26*1000000000)*IF(ISBLANK(Design!$B$31),Design!$B$30,Design!$B$31)*1000000/2+$B79/(Constants!$C$27*1000000000)*IF(ISBLANK(Design!$B$31),Design!$B$30,Design!$B$31)*1000000/2)</f>
        <v>7.6458666666666647E-2</v>
      </c>
      <c r="AM79" s="195">
        <f t="shared" ca="1" si="15"/>
        <v>0.16982204004994736</v>
      </c>
      <c r="AN79" s="195">
        <f>Constants!$D$25/1000000000*Constants!$C$24*IF(ISBLANK(Design!$B$31),Design!$B$30,Design!$B$31)*1000000</f>
        <v>5.2499999999999998E-2</v>
      </c>
      <c r="AO79" s="195">
        <f t="shared" ca="1" si="24"/>
        <v>0.31284070671661401</v>
      </c>
      <c r="AP79" s="195">
        <f t="shared" ca="1" si="21"/>
        <v>2.1906445118544261E-2</v>
      </c>
      <c r="AQ79" s="196">
        <f ca="1">$A79+AP79*Design!$B$18</f>
        <v>86.248667371757023</v>
      </c>
      <c r="AR79" s="196">
        <f ca="1">AO79*Design!$C$11+$A79</f>
        <v>96.57510614851472</v>
      </c>
      <c r="AS79" s="196">
        <f ca="1">Constants!$D$22+Constants!$D$22*Constants!$C$23/100*(AR79-25)</f>
        <v>182.26008491881177</v>
      </c>
      <c r="AT79" s="195">
        <f ca="1">IF(100*(Design!$C$27+AH79+AG79*IF(ISBLANK(Design!$B$41),Constants!$C$6,Design!$B$41)/1000*(1+Constants!$C$32/100*(AR79-25)))/($B79+AH79-AG79*AS79/1000)&gt;Design!$B$34,   (1-Constants!$D$20/1000000000*IF(ISBLANK(Design!$B$31),Design!$B$30/4,Design!$B$31/4)*1000000) * ($B79+AH79-AG79*AS79/1000) - (AH79+AG79*(1+($A79-25)*Constants!$C$32/100)*IF(ISBLANK(Design!$B$41),Constants!$C$6/1000,Design!$B$41/1000)),  (1-Constants!$D$20/1000000000*IF(ISBLANK(Design!$B$31),Design!$B$30,Design!$B$31)*1000000) * ($B79+AH79-AG79*AS79/1000) - (AH79+AG79*(1+($A79-25)*Constants!$C$32/100)*IF(ISBLANK(Design!$B$41),Constants!$C$6/1000,Design!$B$41/1000)))</f>
        <v>4.523221720758352</v>
      </c>
      <c r="AU79" s="119">
        <f ca="1">IF(AT79&gt;Design!$C$27,Design!$C$27,AT79)</f>
        <v>4.523221720758352</v>
      </c>
    </row>
    <row r="80" spans="1:47" ht="12.75" customHeight="1" x14ac:dyDescent="0.3">
      <c r="A80" s="112">
        <f>Design!$D$12</f>
        <v>85</v>
      </c>
      <c r="B80" s="113">
        <f t="shared" si="12"/>
        <v>4.9049999999999994</v>
      </c>
      <c r="C80" s="114">
        <f>Design!$D$6</f>
        <v>3</v>
      </c>
      <c r="D80" s="114">
        <f ca="1">FORECAST(C80, OFFSET(Design!$C$14:$C$16,MATCH(C80,Design!$B$14:$B$16,1)-1,0,2), OFFSET(Design!$B$14:$B$16,MATCH(C80,Design!$B$14:$B$16,1)-1,0,2))+(M80-25)*Design!$B$17/1000</f>
        <v>0.42009715117294832</v>
      </c>
      <c r="E80" s="173">
        <f ca="1">IF(100*(Design!$C$27+D80+C80*IF(ISBLANK(Design!$B$41),Constants!$C$6,Design!$B$41)/1000*(1+Constants!$C$32/100*(N80-25)))/($B80+D80-C80*O80/1000)&gt;Design!$B$34,Design!$B$35,100*(Design!$C$27+D80+C80*IF(ISBLANK(Design!$B$41),Constants!$C$6,Design!$B$41)/1000*(1+Constants!$C$32/100*(N80-25)))/($B80+D80-C80*O80/1000))</f>
        <v>93.174999999999997</v>
      </c>
      <c r="F80" s="115">
        <f ca="1">IF(($B80-C80*IF(ISBLANK(Design!$B$41),Constants!$C$6,Design!$B$41)/1000*(1+Constants!$C$32/100*(N80-25))-Design!$C$27)/(IF(ISBLANK(Design!$B$40),Design!$B$38,Design!$B$40)/1000000)*E80/100/(IF(ISBLANK(Design!$B$31),Design!$B$30,Design!$B$31)*1000000)&lt;0,0,($B80-C80*IF(ISBLANK(Design!$B$41),Constants!$C$6,Design!$B$41)/1000*(1+Constants!$C$32/100*(N80-25))-Design!$C$27)/(IF(ISBLANK(Design!$B$40),Design!$B$38,Design!$B$40)/1000000)*E80/100/(IF(ISBLANK(Design!$B$31),Design!$B$30,Design!$B$31)*1000000))</f>
        <v>0</v>
      </c>
      <c r="G80" s="165">
        <f>B80*Constants!$C$21/1000+IF(ISBLANK(Design!$B$31),Design!$B$30,Design!$B$31)*1000000*Constants!$D$25/1000000000*(B80-Constants!$C$24)</f>
        <v>1.1264999999999992E-2</v>
      </c>
      <c r="H80" s="165">
        <f>B80*C80*(B80/(Constants!$C$26*1000000000)*IF(ISBLANK(Design!$B$31),Design!$B$30,Design!$B$31)*1000000/2+B80/(Constants!$C$27*1000000000)*IF(ISBLANK(Design!$B$31),Design!$B$30,Design!$B$31)*1000000/2)</f>
        <v>0.21051646874999994</v>
      </c>
      <c r="I80" s="165">
        <f t="shared" ca="1" si="13"/>
        <v>2.0202888690128988</v>
      </c>
      <c r="J80" s="165">
        <f>Constants!$D$25/1000000000*Constants!$C$24*IF(ISBLANK(Design!$B$31),Design!$B$30,Design!$B$31)*1000000</f>
        <v>5.2499999999999998E-2</v>
      </c>
      <c r="K80" s="165">
        <f t="shared" ca="1" si="22"/>
        <v>2.2945703377628988</v>
      </c>
      <c r="L80" s="165">
        <f t="shared" ca="1" si="17"/>
        <v>8.6014891702661217E-2</v>
      </c>
      <c r="M80" s="166">
        <f ca="1">$A80+L80*Design!$B$18</f>
        <v>89.902848827051685</v>
      </c>
      <c r="N80" s="166">
        <f ca="1">K80*Design!$C$11+A80</f>
        <v>169.89910249722726</v>
      </c>
      <c r="O80" s="166">
        <f ca="1">Constants!$D$22+Constants!$D$22*Constants!$C$23/100*(N80-25)</f>
        <v>240.91928199778181</v>
      </c>
      <c r="P80" s="165">
        <f ca="1">IF(100*(Design!$C$27+D80+C80*IF(ISBLANK(Design!$B$41),Constants!$C$6,Design!$B$41)/1000*(1+Constants!$C$32/100*(N80-25)))/($B80+D80-C80*O80/1000)&gt;Design!$B$34,   (1-Constants!$D$20/1000000000*IF(ISBLANK(Design!$B$31),Design!$B$30/4,Design!$B$31/4)*1000000) * ($B80+D80-C80*O80/1000) - (D80+C80*(1+($A80-25)*Constants!$C$32/100)*IF(ISBLANK(Design!$B$41),Constants!$C$6/1000,Design!$B$41/1000)),  (1-Constants!$D$20/1000000000*IF(ISBLANK(Design!$B$31),Design!$B$30,Design!$B$31)*1000000) * ($B80+D80-C80*O80/1000) - (D80+C80*(1+($A80-25)*Constants!$C$32/100)*IF(ISBLANK(Design!$B$41),Constants!$C$6/1000,Design!$B$41/1000)))</f>
        <v>3.7012994964281454</v>
      </c>
      <c r="Q80" s="115">
        <f ca="1">IF(P80&gt;Design!$C$27,Design!$C$27,P80)</f>
        <v>3.7012994964281454</v>
      </c>
      <c r="R80" s="116">
        <f>2*Design!$D$6/3</f>
        <v>2</v>
      </c>
      <c r="S80" s="116">
        <f ca="1">FORECAST(R80, OFFSET(Design!$C$14:$C$16,MATCH(R80,Design!$B$14:$B$16,1)-1,0,2), OFFSET(Design!$B$14:$B$16,MATCH(R80,Design!$B$14:$B$16,1)-1,0,2))+(AB80-25)*Design!$B$17/1000</f>
        <v>0.39691182752593446</v>
      </c>
      <c r="T80" s="182">
        <f ca="1">IF(100*(Design!$C$27+S80+R80*IF(ISBLANK(Design!$B$41),Constants!$C$6,Design!$B$41)/1000*(1+Constants!$C$32/100*(AC80-25)))/($B80+S80-R80*AD80/1000)&gt;Design!$B$34,Design!$B$35,100*(Design!$C$27+S80+R80*IF(ISBLANK(Design!$B$41),Constants!$C$6,Design!$B$41)/1000*(1+Constants!$C$32/100*(AC80-25)))/($B80+S80-R80*AD80/1000))</f>
        <v>93.174999999999997</v>
      </c>
      <c r="U80" s="117">
        <f ca="1">IF(($B80-R80*IF(ISBLANK(Design!$B$41),Constants!$C$6,Design!$B$41)/1000*(1+Constants!$C$32/100*(AC80-25))-Design!$C$27)/(IF(ISBLANK(Design!$B$40),Design!$B$38,Design!$B$40)/1000000)*T80/100/(IF(ISBLANK(Design!$B$31),Design!$B$30,Design!$B$31)*1000000)&lt;0,0,($B80-R80*IF(ISBLANK(Design!$B$41),Constants!$C$6,Design!$B$41)/1000*(1+Constants!$C$32/100*(AC80-25))-Design!$C$27)/(IF(ISBLANK(Design!$B$40),Design!$B$38,Design!$B$40)/1000000)*T80/100/(IF(ISBLANK(Design!$B$31),Design!$B$30,Design!$B$31)*1000000))</f>
        <v>0</v>
      </c>
      <c r="V80" s="183">
        <f>$B80*Constants!$C$21/1000+IF(ISBLANK(Design!$B$31),Design!$B$30,Design!$B$31)*1000000*Constants!$D$25/1000000000*($B80-Constants!$C$24)</f>
        <v>1.1264999999999992E-2</v>
      </c>
      <c r="W80" s="183">
        <f>$B80*R80*($B80/(Constants!$C$26*1000000000)*IF(ISBLANK(Design!$B$31),Design!$B$30,Design!$B$31)*1000000/2+$B80/(Constants!$C$27*1000000000)*IF(ISBLANK(Design!$B$31),Design!$B$30,Design!$B$31)*1000000/2)</f>
        <v>0.14034431249999996</v>
      </c>
      <c r="X80" s="183">
        <f t="shared" ca="1" si="14"/>
        <v>0.75003099546213647</v>
      </c>
      <c r="Y80" s="183">
        <f>Constants!$D$25/1000000000*Constants!$C$24*IF(ISBLANK(Design!$B$31),Design!$B$30,Design!$B$31)*1000000</f>
        <v>5.2499999999999998E-2</v>
      </c>
      <c r="Z80" s="183">
        <f t="shared" ca="1" si="23"/>
        <v>0.95414030796213645</v>
      </c>
      <c r="AA80" s="183">
        <f t="shared" ca="1" si="19"/>
        <v>5.4178464457290076E-2</v>
      </c>
      <c r="AB80" s="184">
        <f ca="1">$A80+AA80*Design!$B$18</f>
        <v>88.08817247406553</v>
      </c>
      <c r="AC80" s="184">
        <f ca="1">Z80*Design!$C$11+$A80</f>
        <v>120.30319139459905</v>
      </c>
      <c r="AD80" s="184">
        <f ca="1">Constants!$D$22+Constants!$D$22*Constants!$C$23/100*(AC80-25)</f>
        <v>201.24255311567924</v>
      </c>
      <c r="AE80" s="183">
        <f ca="1">IF(100*(Design!$C$27+S80+R80*IF(ISBLANK(Design!$B$41),Constants!$C$6,Design!$B$41)/1000*(1+Constants!$C$32/100*(AC80-25)))/($B80+S80-R80*AD80/1000)&gt;Design!$B$34,   (1-Constants!$D$20/1000000000*IF(ISBLANK(Design!$B$31),Design!$B$30/4,Design!$B$31/4)*1000000) * ($B80+S80-R80*AD80/1000) - (S80+R80*(1+($A80-25)*Constants!$C$32/100)*IF(ISBLANK(Design!$B$41),Constants!$C$6/1000,Design!$B$41/1000)),  (1-Constants!$D$20/1000000000*IF(ISBLANK(Design!$B$31),Design!$B$30,Design!$B$31)*1000000) * ($B80+S80-R80*AD80/1000) - (S80+R80*(1+($A80-25)*Constants!$C$32/100)*IF(ISBLANK(Design!$B$41),Constants!$C$6/1000,Design!$B$41/1000)))</f>
        <v>4.0569070200402857</v>
      </c>
      <c r="AF80" s="117">
        <f ca="1">IF(AE80&gt;Design!$C$27,Design!$C$27,AE80)</f>
        <v>4.0569070200402857</v>
      </c>
      <c r="AG80" s="118">
        <f>Design!$D$6/3</f>
        <v>1</v>
      </c>
      <c r="AH80" s="118">
        <f ca="1">FORECAST(AG80, OFFSET(Design!$C$14:$C$16,MATCH(AG80,Design!$B$14:$B$16,1)-1,0,2), OFFSET(Design!$B$14:$B$16,MATCH(AG80,Design!$B$14:$B$16,1)-1,0,2))+(AQ80-25)*Design!$B$17/1000</f>
        <v>0.32097355485046519</v>
      </c>
      <c r="AI80" s="194">
        <f ca="1">IF(100*(Design!$C$27+AH80+AG80*IF(ISBLANK(Design!$B$41),Constants!$C$6,Design!$B$41)/1000*(1+Constants!$C$32/100*(AR80-25)))/($B80+AH80-AG80*AS80/1000)&gt;Design!$B$34,Design!$B$35,100*(Design!$C$27+AH80+AG80*IF(ISBLANK(Design!$B$41),Constants!$C$6,Design!$B$41)/1000*(1+Constants!$C$32/100*(AR80-25)))/($B80+AH80-AG80*AS80/1000))</f>
        <v>93.174999999999997</v>
      </c>
      <c r="AJ80" s="119">
        <f ca="1">IF(($B80-AG80*IF(ISBLANK(Design!$B$41),Constants!$C$6,Design!$B$41)/1000*(1+Constants!$C$32/100*(AR80-25))-Design!$C$27)/(IF(ISBLANK(Design!$B$40),Design!$B$38,Design!$B$40)/1000000)*AI80/100/(IF(ISBLANK(Design!$B$31),Design!$B$30,Design!$B$31)*1000000)&lt;0,0,($B80-AG80*IF(ISBLANK(Design!$B$41),Constants!$C$6,Design!$B$41)/1000*(1+Constants!$C$32/100*(AR80-25))-Design!$C$27)/(IF(ISBLANK(Design!$B$40),Design!$B$38,Design!$B$40)/1000000)*AI80/100/(IF(ISBLANK(Design!$B$31),Design!$B$30,Design!$B$31)*1000000))</f>
        <v>0</v>
      </c>
      <c r="AK80" s="195">
        <f>$B80*Constants!$C$21/1000+IF(ISBLANK(Design!$B$31),Design!$B$30,Design!$B$31)*1000000*Constants!$D$25/1000000000*($B80-Constants!$C$24)</f>
        <v>1.1264999999999992E-2</v>
      </c>
      <c r="AL80" s="195">
        <f>$B80*AG80*($B80/(Constants!$C$26*1000000000)*IF(ISBLANK(Design!$B$31),Design!$B$30,Design!$B$31)*1000000/2+$B80/(Constants!$C$27*1000000000)*IF(ISBLANK(Design!$B$31),Design!$B$30,Design!$B$31)*1000000/2)</f>
        <v>7.0172156249999978E-2</v>
      </c>
      <c r="AM80" s="195">
        <f t="shared" ca="1" si="15"/>
        <v>0.16956322995135617</v>
      </c>
      <c r="AN80" s="195">
        <f>Constants!$D$25/1000000000*Constants!$C$24*IF(ISBLANK(Design!$B$31),Design!$B$30,Design!$B$31)*1000000</f>
        <v>5.2499999999999998E-2</v>
      </c>
      <c r="AO80" s="195">
        <f t="shared" ca="1" si="24"/>
        <v>0.30350038620135611</v>
      </c>
      <c r="AP80" s="195">
        <f t="shared" ca="1" si="21"/>
        <v>2.1906445118544261E-2</v>
      </c>
      <c r="AQ80" s="196">
        <f ca="1">$A80+AP80*Design!$B$18</f>
        <v>86.248667371757023</v>
      </c>
      <c r="AR80" s="196">
        <f ca="1">AO80*Design!$C$11+$A80</f>
        <v>96.229514289450179</v>
      </c>
      <c r="AS80" s="196">
        <f ca="1">Constants!$D$22+Constants!$D$22*Constants!$C$23/100*(AR80-25)</f>
        <v>181.98361143156015</v>
      </c>
      <c r="AT80" s="195">
        <f ca="1">IF(100*(Design!$C$27+AH80+AG80*IF(ISBLANK(Design!$B$41),Constants!$C$6,Design!$B$41)/1000*(1+Constants!$C$32/100*(AR80-25)))/($B80+AH80-AG80*AS80/1000)&gt;Design!$B$34,   (1-Constants!$D$20/1000000000*IF(ISBLANK(Design!$B$31),Design!$B$30/4,Design!$B$31/4)*1000000) * ($B80+AH80-AG80*AS80/1000) - (AH80+AG80*(1+($A80-25)*Constants!$C$32/100)*IF(ISBLANK(Design!$B$41),Constants!$C$6/1000,Design!$B$41/1000)),  (1-Constants!$D$20/1000000000*IF(ISBLANK(Design!$B$31),Design!$B$30,Design!$B$31)*1000000) * ($B80+AH80-AG80*AS80/1000) - (AH80+AG80*(1+($A80-25)*Constants!$C$32/100)*IF(ISBLANK(Design!$B$41),Constants!$C$6/1000,Design!$B$41/1000)))</f>
        <v>4.323153074930099</v>
      </c>
      <c r="AU80" s="119">
        <f ca="1">IF(AT80&gt;Design!$C$27,Design!$C$27,AT80)</f>
        <v>4.323153074930099</v>
      </c>
    </row>
    <row r="81" spans="1:47" ht="12.75" customHeight="1" x14ac:dyDescent="0.3">
      <c r="A81" s="112">
        <f>Design!$D$12</f>
        <v>85</v>
      </c>
      <c r="B81" s="113">
        <f t="shared" si="12"/>
        <v>4.6899999999999995</v>
      </c>
      <c r="C81" s="114">
        <f>Design!$D$6</f>
        <v>3</v>
      </c>
      <c r="D81" s="114">
        <f ca="1">FORECAST(C81, OFFSET(Design!$C$14:$C$16,MATCH(C81,Design!$B$14:$B$16,1)-1,0,2), OFFSET(Design!$B$14:$B$16,MATCH(C81,Design!$B$14:$B$16,1)-1,0,2))+(M81-25)*Design!$B$17/1000</f>
        <v>0.42009715117294832</v>
      </c>
      <c r="E81" s="173">
        <f ca="1">IF(100*(Design!$C$27+D81+C81*IF(ISBLANK(Design!$B$41),Constants!$C$6,Design!$B$41)/1000*(1+Constants!$C$32/100*(N81-25)))/($B81+D81-C81*O81/1000)&gt;Design!$B$34,Design!$B$35,100*(Design!$C$27+D81+C81*IF(ISBLANK(Design!$B$41),Constants!$C$6,Design!$B$41)/1000*(1+Constants!$C$32/100*(N81-25)))/($B81+D81-C81*O81/1000))</f>
        <v>93.174999999999997</v>
      </c>
      <c r="F81" s="115">
        <f ca="1">IF(($B81-C81*IF(ISBLANK(Design!$B$41),Constants!$C$6,Design!$B$41)/1000*(1+Constants!$C$32/100*(N81-25))-Design!$C$27)/(IF(ISBLANK(Design!$B$40),Design!$B$38,Design!$B$40)/1000000)*E81/100/(IF(ISBLANK(Design!$B$31),Design!$B$30,Design!$B$31)*1000000)&lt;0,0,($B81-C81*IF(ISBLANK(Design!$B$41),Constants!$C$6,Design!$B$41)/1000*(1+Constants!$C$32/100*(N81-25))-Design!$C$27)/(IF(ISBLANK(Design!$B$40),Design!$B$38,Design!$B$40)/1000000)*E81/100/(IF(ISBLANK(Design!$B$31),Design!$B$30,Design!$B$31)*1000000))</f>
        <v>0</v>
      </c>
      <c r="G81" s="165">
        <f>B81*Constants!$C$21/1000+IF(ISBLANK(Design!$B$31),Design!$B$30,Design!$B$31)*1000000*Constants!$D$25/1000000000*(B81-Constants!$C$24)</f>
        <v>8.4699999999999914E-3</v>
      </c>
      <c r="H81" s="165">
        <f>B81*C81*(B81/(Constants!$C$26*1000000000)*IF(ISBLANK(Design!$B$31),Design!$B$30,Design!$B$31)*1000000/2+B81/(Constants!$C$27*1000000000)*IF(ISBLANK(Design!$B$31),Design!$B$30,Design!$B$31)*1000000/2)</f>
        <v>0.19246587499999998</v>
      </c>
      <c r="I81" s="165">
        <f t="shared" ca="1" si="13"/>
        <v>2.0134062126908701</v>
      </c>
      <c r="J81" s="165">
        <f>Constants!$D$25/1000000000*Constants!$C$24*IF(ISBLANK(Design!$B$31),Design!$B$30,Design!$B$31)*1000000</f>
        <v>5.2499999999999998E-2</v>
      </c>
      <c r="K81" s="165">
        <f t="shared" ca="1" si="22"/>
        <v>2.2668420876908701</v>
      </c>
      <c r="L81" s="165">
        <f t="shared" ca="1" si="17"/>
        <v>8.6014891702661217E-2</v>
      </c>
      <c r="M81" s="166">
        <f ca="1">$A81+L81*Design!$B$18</f>
        <v>89.902848827051685</v>
      </c>
      <c r="N81" s="166">
        <f ca="1">K81*Design!$C$11+A81</f>
        <v>168.87315724456221</v>
      </c>
      <c r="O81" s="166">
        <f ca="1">Constants!$D$22+Constants!$D$22*Constants!$C$23/100*(N81-25)</f>
        <v>240.09852579564978</v>
      </c>
      <c r="P81" s="165">
        <f ca="1">IF(100*(Design!$C$27+D81+C81*IF(ISBLANK(Design!$B$41),Constants!$C$6,Design!$B$41)/1000*(1+Constants!$C$32/100*(N81-25)))/($B81+D81-C81*O81/1000)&gt;Design!$B$34,   (1-Constants!$D$20/1000000000*IF(ISBLANK(Design!$B$31),Design!$B$30/4,Design!$B$31/4)*1000000) * ($B81+D81-C81*O81/1000) - (D81+C81*(1+($A81-25)*Constants!$C$32/100)*IF(ISBLANK(Design!$B$41),Constants!$C$6/1000,Design!$B$41/1000)),  (1-Constants!$D$20/1000000000*IF(ISBLANK(Design!$B$31),Design!$B$30,Design!$B$31)*1000000) * ($B81+D81-C81*O81/1000) - (D81+C81*(1+($A81-25)*Constants!$C$32/100)*IF(ISBLANK(Design!$B$41),Constants!$C$6/1000,Design!$B$41/1000)))</f>
        <v>3.5032674652021552</v>
      </c>
      <c r="Q81" s="115">
        <f ca="1">IF(P81&gt;Design!$C$27,Design!$C$27,P81)</f>
        <v>3.5032674652021552</v>
      </c>
      <c r="R81" s="116">
        <f>2*Design!$D$6/3</f>
        <v>2</v>
      </c>
      <c r="S81" s="116">
        <f ca="1">FORECAST(R81, OFFSET(Design!$C$14:$C$16,MATCH(R81,Design!$B$14:$B$16,1)-1,0,2), OFFSET(Design!$B$14:$B$16,MATCH(R81,Design!$B$14:$B$16,1)-1,0,2))+(AB81-25)*Design!$B$17/1000</f>
        <v>0.39691182752593446</v>
      </c>
      <c r="T81" s="182">
        <f ca="1">IF(100*(Design!$C$27+S81+R81*IF(ISBLANK(Design!$B$41),Constants!$C$6,Design!$B$41)/1000*(1+Constants!$C$32/100*(AC81-25)))/($B81+S81-R81*AD81/1000)&gt;Design!$B$34,Design!$B$35,100*(Design!$C$27+S81+R81*IF(ISBLANK(Design!$B$41),Constants!$C$6,Design!$B$41)/1000*(1+Constants!$C$32/100*(AC81-25)))/($B81+S81-R81*AD81/1000))</f>
        <v>93.174999999999997</v>
      </c>
      <c r="U81" s="117">
        <f ca="1">IF(($B81-R81*IF(ISBLANK(Design!$B$41),Constants!$C$6,Design!$B$41)/1000*(1+Constants!$C$32/100*(AC81-25))-Design!$C$27)/(IF(ISBLANK(Design!$B$40),Design!$B$38,Design!$B$40)/1000000)*T81/100/(IF(ISBLANK(Design!$B$31),Design!$B$30,Design!$B$31)*1000000)&lt;0,0,($B81-R81*IF(ISBLANK(Design!$B$41),Constants!$C$6,Design!$B$41)/1000*(1+Constants!$C$32/100*(AC81-25))-Design!$C$27)/(IF(ISBLANK(Design!$B$40),Design!$B$38,Design!$B$40)/1000000)*T81/100/(IF(ISBLANK(Design!$B$31),Design!$B$30,Design!$B$31)*1000000))</f>
        <v>0</v>
      </c>
      <c r="V81" s="183">
        <f>$B81*Constants!$C$21/1000+IF(ISBLANK(Design!$B$31),Design!$B$30,Design!$B$31)*1000000*Constants!$D$25/1000000000*($B81-Constants!$C$24)</f>
        <v>8.4699999999999914E-3</v>
      </c>
      <c r="W81" s="183">
        <f>$B81*R81*($B81/(Constants!$C$26*1000000000)*IF(ISBLANK(Design!$B$31),Design!$B$30,Design!$B$31)*1000000/2+$B81/(Constants!$C$27*1000000000)*IF(ISBLANK(Design!$B$31),Design!$B$30,Design!$B$31)*1000000/2)</f>
        <v>0.12831058333333331</v>
      </c>
      <c r="X81" s="183">
        <f t="shared" ca="1" si="14"/>
        <v>0.74819225336645079</v>
      </c>
      <c r="Y81" s="183">
        <f>Constants!$D$25/1000000000*Constants!$C$24*IF(ISBLANK(Design!$B$31),Design!$B$30,Design!$B$31)*1000000</f>
        <v>5.2499999999999998E-2</v>
      </c>
      <c r="Z81" s="183">
        <f t="shared" ca="1" si="23"/>
        <v>0.9374728366997841</v>
      </c>
      <c r="AA81" s="183">
        <f t="shared" ca="1" si="19"/>
        <v>5.4178464457290076E-2</v>
      </c>
      <c r="AB81" s="184">
        <f ca="1">$A81+AA81*Design!$B$18</f>
        <v>88.08817247406553</v>
      </c>
      <c r="AC81" s="184">
        <f ca="1">Z81*Design!$C$11+$A81</f>
        <v>119.68649495789201</v>
      </c>
      <c r="AD81" s="184">
        <f ca="1">Constants!$D$22+Constants!$D$22*Constants!$C$23/100*(AC81-25)</f>
        <v>200.74919596631361</v>
      </c>
      <c r="AE81" s="183">
        <f ca="1">IF(100*(Design!$C$27+S81+R81*IF(ISBLANK(Design!$B$41),Constants!$C$6,Design!$B$41)/1000*(1+Constants!$C$32/100*(AC81-25)))/($B81+S81-R81*AD81/1000)&gt;Design!$B$34,   (1-Constants!$D$20/1000000000*IF(ISBLANK(Design!$B$31),Design!$B$30/4,Design!$B$31/4)*1000000) * ($B81+S81-R81*AD81/1000) - (S81+R81*(1+($A81-25)*Constants!$C$32/100)*IF(ISBLANK(Design!$B$41),Constants!$C$6/1000,Design!$B$41/1000)),  (1-Constants!$D$20/1000000000*IF(ISBLANK(Design!$B$31),Design!$B$30,Design!$B$31)*1000000) * ($B81+S81-R81*AD81/1000) - (S81+R81*(1+($A81-25)*Constants!$C$32/100)*IF(ISBLANK(Design!$B$41),Constants!$C$6/1000,Design!$B$41/1000)))</f>
        <v>3.8575001410881291</v>
      </c>
      <c r="AF81" s="117">
        <f ca="1">IF(AE81&gt;Design!$C$27,Design!$C$27,AE81)</f>
        <v>3.8575001410881291</v>
      </c>
      <c r="AG81" s="118">
        <f>Design!$D$6/3</f>
        <v>1</v>
      </c>
      <c r="AH81" s="118">
        <f ca="1">FORECAST(AG81, OFFSET(Design!$C$14:$C$16,MATCH(AG81,Design!$B$14:$B$16,1)-1,0,2), OFFSET(Design!$B$14:$B$16,MATCH(AG81,Design!$B$14:$B$16,1)-1,0,2))+(AQ81-25)*Design!$B$17/1000</f>
        <v>0.32097355485046519</v>
      </c>
      <c r="AI81" s="194">
        <f ca="1">IF(100*(Design!$C$27+AH81+AG81*IF(ISBLANK(Design!$B$41),Constants!$C$6,Design!$B$41)/1000*(1+Constants!$C$32/100*(AR81-25)))/($B81+AH81-AG81*AS81/1000)&gt;Design!$B$34,Design!$B$35,100*(Design!$C$27+AH81+AG81*IF(ISBLANK(Design!$B$41),Constants!$C$6,Design!$B$41)/1000*(1+Constants!$C$32/100*(AR81-25)))/($B81+AH81-AG81*AS81/1000))</f>
        <v>93.174999999999997</v>
      </c>
      <c r="AJ81" s="119">
        <f ca="1">IF(($B81-AG81*IF(ISBLANK(Design!$B$41),Constants!$C$6,Design!$B$41)/1000*(1+Constants!$C$32/100*(AR81-25))-Design!$C$27)/(IF(ISBLANK(Design!$B$40),Design!$B$38,Design!$B$40)/1000000)*AI81/100/(IF(ISBLANK(Design!$B$31),Design!$B$30,Design!$B$31)*1000000)&lt;0,0,($B81-AG81*IF(ISBLANK(Design!$B$41),Constants!$C$6,Design!$B$41)/1000*(1+Constants!$C$32/100*(AR81-25))-Design!$C$27)/(IF(ISBLANK(Design!$B$40),Design!$B$38,Design!$B$40)/1000000)*AI81/100/(IF(ISBLANK(Design!$B$31),Design!$B$30,Design!$B$31)*1000000))</f>
        <v>0</v>
      </c>
      <c r="AK81" s="195">
        <f>$B81*Constants!$C$21/1000+IF(ISBLANK(Design!$B$31),Design!$B$30,Design!$B$31)*1000000*Constants!$D$25/1000000000*($B81-Constants!$C$24)</f>
        <v>8.4699999999999914E-3</v>
      </c>
      <c r="AL81" s="195">
        <f>$B81*AG81*($B81/(Constants!$C$26*1000000000)*IF(ISBLANK(Design!$B$31),Design!$B$30,Design!$B$31)*1000000/2+$B81/(Constants!$C$27*1000000000)*IF(ISBLANK(Design!$B$31),Design!$B$30,Design!$B$31)*1000000/2)</f>
        <v>6.4155291666666656E-2</v>
      </c>
      <c r="AM81" s="195">
        <f t="shared" ca="1" si="15"/>
        <v>0.16931330768232533</v>
      </c>
      <c r="AN81" s="195">
        <f>Constants!$D$25/1000000000*Constants!$C$24*IF(ISBLANK(Design!$B$31),Design!$B$30,Design!$B$31)*1000000</f>
        <v>5.2499999999999998E-2</v>
      </c>
      <c r="AO81" s="195">
        <f t="shared" ca="1" si="24"/>
        <v>0.29443859934899197</v>
      </c>
      <c r="AP81" s="195">
        <f t="shared" ca="1" si="21"/>
        <v>2.1906445118544261E-2</v>
      </c>
      <c r="AQ81" s="196">
        <f ca="1">$A81+AP81*Design!$B$18</f>
        <v>86.248667371757023</v>
      </c>
      <c r="AR81" s="196">
        <f ca="1">AO81*Design!$C$11+$A81</f>
        <v>95.894228175912701</v>
      </c>
      <c r="AS81" s="196">
        <f ca="1">Constants!$D$22+Constants!$D$22*Constants!$C$23/100*(AR81-25)</f>
        <v>181.71538254073016</v>
      </c>
      <c r="AT81" s="195">
        <f ca="1">IF(100*(Design!$C$27+AH81+AG81*IF(ISBLANK(Design!$B$41),Constants!$C$6,Design!$B$41)/1000*(1+Constants!$C$32/100*(AR81-25)))/($B81+AH81-AG81*AS81/1000)&gt;Design!$B$34,   (1-Constants!$D$20/1000000000*IF(ISBLANK(Design!$B$31),Design!$B$30/4,Design!$B$31/4)*1000000) * ($B81+AH81-AG81*AS81/1000) - (AH81+AG81*(1+($A81-25)*Constants!$C$32/100)*IF(ISBLANK(Design!$B$41),Constants!$C$6/1000,Design!$B$41/1000)),  (1-Constants!$D$20/1000000000*IF(ISBLANK(Design!$B$31),Design!$B$30,Design!$B$31)*1000000) * ($B81+AH81-AG81*AS81/1000) - (AH81+AG81*(1+($A81-25)*Constants!$C$32/100)*IF(ISBLANK(Design!$B$41),Constants!$C$6/1000,Design!$B$41/1000)))</f>
        <v>4.1230767471991294</v>
      </c>
      <c r="AU81" s="119">
        <f ca="1">IF(AT81&gt;Design!$C$27,Design!$C$27,AT81)</f>
        <v>4.1230767471991294</v>
      </c>
    </row>
    <row r="82" spans="1:47" ht="12.75" customHeight="1" x14ac:dyDescent="0.3">
      <c r="A82" s="112">
        <f>Design!$D$12</f>
        <v>85</v>
      </c>
      <c r="B82" s="113">
        <f t="shared" si="12"/>
        <v>4.4749999999999996</v>
      </c>
      <c r="C82" s="114">
        <f>Design!$D$6</f>
        <v>3</v>
      </c>
      <c r="D82" s="114">
        <f ca="1">FORECAST(C82, OFFSET(Design!$C$14:$C$16,MATCH(C82,Design!$B$14:$B$16,1)-1,0,2), OFFSET(Design!$B$14:$B$16,MATCH(C82,Design!$B$14:$B$16,1)-1,0,2))+(M82-25)*Design!$B$17/1000</f>
        <v>0.42009715117294832</v>
      </c>
      <c r="E82" s="173">
        <f ca="1">IF(100*(Design!$C$27+D82+C82*IF(ISBLANK(Design!$B$41),Constants!$C$6,Design!$B$41)/1000*(1+Constants!$C$32/100*(N82-25)))/($B82+D82-C82*O82/1000)&gt;Design!$B$34,Design!$B$35,100*(Design!$C$27+D82+C82*IF(ISBLANK(Design!$B$41),Constants!$C$6,Design!$B$41)/1000*(1+Constants!$C$32/100*(N82-25)))/($B82+D82-C82*O82/1000))</f>
        <v>93.174999999999997</v>
      </c>
      <c r="F82" s="115">
        <f ca="1">IF(($B82-C82*IF(ISBLANK(Design!$B$41),Constants!$C$6,Design!$B$41)/1000*(1+Constants!$C$32/100*(N82-25))-Design!$C$27)/(IF(ISBLANK(Design!$B$40),Design!$B$38,Design!$B$40)/1000000)*E82/100/(IF(ISBLANK(Design!$B$31),Design!$B$30,Design!$B$31)*1000000)&lt;0,0,($B82-C82*IF(ISBLANK(Design!$B$41),Constants!$C$6,Design!$B$41)/1000*(1+Constants!$C$32/100*(N82-25))-Design!$C$27)/(IF(ISBLANK(Design!$B$40),Design!$B$38,Design!$B$40)/1000000)*E82/100/(IF(ISBLANK(Design!$B$31),Design!$B$30,Design!$B$31)*1000000))</f>
        <v>0</v>
      </c>
      <c r="G82" s="165">
        <f>B82*Constants!$C$21/1000+IF(ISBLANK(Design!$B$31),Design!$B$30,Design!$B$31)*1000000*Constants!$D$25/1000000000*(B82-Constants!$C$24)</f>
        <v>5.6749999999999952E-3</v>
      </c>
      <c r="H82" s="165">
        <f>B82*C82*(B82/(Constants!$C$26*1000000000)*IF(ISBLANK(Design!$B$31),Design!$B$30,Design!$B$31)*1000000/2+B82/(Constants!$C$27*1000000000)*IF(ISBLANK(Design!$B$31),Design!$B$30,Design!$B$31)*1000000/2)</f>
        <v>0.17522421874999997</v>
      </c>
      <c r="I82" s="165">
        <f t="shared" ca="1" si="13"/>
        <v>2.0067906458490103</v>
      </c>
      <c r="J82" s="165">
        <f>Constants!$D$25/1000000000*Constants!$C$24*IF(ISBLANK(Design!$B$31),Design!$B$30,Design!$B$31)*1000000</f>
        <v>5.2499999999999998E-2</v>
      </c>
      <c r="K82" s="165">
        <f t="shared" ca="1" si="22"/>
        <v>2.2401898645990106</v>
      </c>
      <c r="L82" s="165">
        <f t="shared" ca="1" si="17"/>
        <v>8.6014891702661217E-2</v>
      </c>
      <c r="M82" s="166">
        <f ca="1">$A82+L82*Design!$B$18</f>
        <v>89.902848827051685</v>
      </c>
      <c r="N82" s="166">
        <f ca="1">K82*Design!$C$11+A82</f>
        <v>167.88702499016341</v>
      </c>
      <c r="O82" s="166">
        <f ca="1">Constants!$D$22+Constants!$D$22*Constants!$C$23/100*(N82-25)</f>
        <v>239.30961999213073</v>
      </c>
      <c r="P82" s="165">
        <f ca="1">IF(100*(Design!$C$27+D82+C82*IF(ISBLANK(Design!$B$41),Constants!$C$6,Design!$B$41)/1000*(1+Constants!$C$32/100*(N82-25)))/($B82+D82-C82*O82/1000)&gt;Design!$B$34,   (1-Constants!$D$20/1000000000*IF(ISBLANK(Design!$B$31),Design!$B$30/4,Design!$B$31/4)*1000000) * ($B82+D82-C82*O82/1000) - (D82+C82*(1+($A82-25)*Constants!$C$32/100)*IF(ISBLANK(Design!$B$41),Constants!$C$6/1000,Design!$B$41/1000)),  (1-Constants!$D$20/1000000000*IF(ISBLANK(Design!$B$31),Design!$B$30,Design!$B$31)*1000000) * ($B82+D82-C82*O82/1000) - (D82+C82*(1+($A82-25)*Constants!$C$32/100)*IF(ISBLANK(Design!$B$41),Constants!$C$6/1000,Design!$B$41/1000)))</f>
        <v>3.3051464041494425</v>
      </c>
      <c r="Q82" s="115">
        <f ca="1">IF(P82&gt;Design!$C$27,Design!$C$27,P82)</f>
        <v>3.3051464041494425</v>
      </c>
      <c r="R82" s="116">
        <f>2*Design!$D$6/3</f>
        <v>2</v>
      </c>
      <c r="S82" s="116">
        <f ca="1">FORECAST(R82, OFFSET(Design!$C$14:$C$16,MATCH(R82,Design!$B$14:$B$16,1)-1,0,2), OFFSET(Design!$B$14:$B$16,MATCH(R82,Design!$B$14:$B$16,1)-1,0,2))+(AB82-25)*Design!$B$17/1000</f>
        <v>0.39691182752593446</v>
      </c>
      <c r="T82" s="182">
        <f ca="1">IF(100*(Design!$C$27+S82+R82*IF(ISBLANK(Design!$B$41),Constants!$C$6,Design!$B$41)/1000*(1+Constants!$C$32/100*(AC82-25)))/($B82+S82-R82*AD82/1000)&gt;Design!$B$34,Design!$B$35,100*(Design!$C$27+S82+R82*IF(ISBLANK(Design!$B$41),Constants!$C$6,Design!$B$41)/1000*(1+Constants!$C$32/100*(AC82-25)))/($B82+S82-R82*AD82/1000))</f>
        <v>93.174999999999997</v>
      </c>
      <c r="U82" s="117">
        <f ca="1">IF(($B82-R82*IF(ISBLANK(Design!$B$41),Constants!$C$6,Design!$B$41)/1000*(1+Constants!$C$32/100*(AC82-25))-Design!$C$27)/(IF(ISBLANK(Design!$B$40),Design!$B$38,Design!$B$40)/1000000)*T82/100/(IF(ISBLANK(Design!$B$31),Design!$B$30,Design!$B$31)*1000000)&lt;0,0,($B82-R82*IF(ISBLANK(Design!$B$41),Constants!$C$6,Design!$B$41)/1000*(1+Constants!$C$32/100*(AC82-25))-Design!$C$27)/(IF(ISBLANK(Design!$B$40),Design!$B$38,Design!$B$40)/1000000)*T82/100/(IF(ISBLANK(Design!$B$31),Design!$B$30,Design!$B$31)*1000000))</f>
        <v>0</v>
      </c>
      <c r="V82" s="183">
        <f>$B82*Constants!$C$21/1000+IF(ISBLANK(Design!$B$31),Design!$B$30,Design!$B$31)*1000000*Constants!$D$25/1000000000*($B82-Constants!$C$24)</f>
        <v>5.6749999999999952E-3</v>
      </c>
      <c r="W82" s="183">
        <f>$B82*R82*($B82/(Constants!$C$26*1000000000)*IF(ISBLANK(Design!$B$31),Design!$B$30,Design!$B$31)*1000000/2+$B82/(Constants!$C$27*1000000000)*IF(ISBLANK(Design!$B$31),Design!$B$30,Design!$B$31)*1000000/2)</f>
        <v>0.11681614583333332</v>
      </c>
      <c r="X82" s="183">
        <f t="shared" ca="1" si="14"/>
        <v>0.74642038269839772</v>
      </c>
      <c r="Y82" s="183">
        <f>Constants!$D$25/1000000000*Constants!$C$24*IF(ISBLANK(Design!$B$31),Design!$B$30,Design!$B$31)*1000000</f>
        <v>5.2499999999999998E-2</v>
      </c>
      <c r="Z82" s="183">
        <f t="shared" ca="1" si="23"/>
        <v>0.92141152853173103</v>
      </c>
      <c r="AA82" s="183">
        <f t="shared" ca="1" si="19"/>
        <v>5.4178464457290076E-2</v>
      </c>
      <c r="AB82" s="184">
        <f ca="1">$A82+AA82*Design!$B$18</f>
        <v>88.08817247406553</v>
      </c>
      <c r="AC82" s="184">
        <f ca="1">Z82*Design!$C$11+$A82</f>
        <v>119.09222655567405</v>
      </c>
      <c r="AD82" s="184">
        <f ca="1">Constants!$D$22+Constants!$D$22*Constants!$C$23/100*(AC82-25)</f>
        <v>200.27378124453924</v>
      </c>
      <c r="AE82" s="183">
        <f ca="1">IF(100*(Design!$C$27+S82+R82*IF(ISBLANK(Design!$B$41),Constants!$C$6,Design!$B$41)/1000*(1+Constants!$C$32/100*(AC82-25)))/($B82+S82-R82*AD82/1000)&gt;Design!$B$34,   (1-Constants!$D$20/1000000000*IF(ISBLANK(Design!$B$31),Design!$B$30/4,Design!$B$31/4)*1000000) * ($B82+S82-R82*AD82/1000) - (S82+R82*(1+($A82-25)*Constants!$C$32/100)*IF(ISBLANK(Design!$B$41),Constants!$C$6/1000,Design!$B$41/1000)),  (1-Constants!$D$20/1000000000*IF(ISBLANK(Design!$B$31),Design!$B$30,Design!$B$31)*1000000) * ($B82+S82-R82*AD82/1000) - (S82+R82*(1+($A82-25)*Constants!$C$32/100)*IF(ISBLANK(Design!$B$41),Constants!$C$6/1000,Design!$B$41/1000)))</f>
        <v>3.6580598264221549</v>
      </c>
      <c r="AF82" s="117">
        <f ca="1">IF(AE82&gt;Design!$C$27,Design!$C$27,AE82)</f>
        <v>3.6580598264221549</v>
      </c>
      <c r="AG82" s="118">
        <f>Design!$D$6/3</f>
        <v>1</v>
      </c>
      <c r="AH82" s="118">
        <f ca="1">FORECAST(AG82, OFFSET(Design!$C$14:$C$16,MATCH(AG82,Design!$B$14:$B$16,1)-1,0,2), OFFSET(Design!$B$14:$B$16,MATCH(AG82,Design!$B$14:$B$16,1)-1,0,2))+(AQ82-25)*Design!$B$17/1000</f>
        <v>0.32097355485046519</v>
      </c>
      <c r="AI82" s="194">
        <f ca="1">IF(100*(Design!$C$27+AH82+AG82*IF(ISBLANK(Design!$B$41),Constants!$C$6,Design!$B$41)/1000*(1+Constants!$C$32/100*(AR82-25)))/($B82+AH82-AG82*AS82/1000)&gt;Design!$B$34,Design!$B$35,100*(Design!$C$27+AH82+AG82*IF(ISBLANK(Design!$B$41),Constants!$C$6,Design!$B$41)/1000*(1+Constants!$C$32/100*(AR82-25)))/($B82+AH82-AG82*AS82/1000))</f>
        <v>93.174999999999997</v>
      </c>
      <c r="AJ82" s="119">
        <f ca="1">IF(($B82-AG82*IF(ISBLANK(Design!$B$41),Constants!$C$6,Design!$B$41)/1000*(1+Constants!$C$32/100*(AR82-25))-Design!$C$27)/(IF(ISBLANK(Design!$B$40),Design!$B$38,Design!$B$40)/1000000)*AI82/100/(IF(ISBLANK(Design!$B$31),Design!$B$30,Design!$B$31)*1000000)&lt;0,0,($B82-AG82*IF(ISBLANK(Design!$B$41),Constants!$C$6,Design!$B$41)/1000*(1+Constants!$C$32/100*(AR82-25))-Design!$C$27)/(IF(ISBLANK(Design!$B$40),Design!$B$38,Design!$B$40)/1000000)*AI82/100/(IF(ISBLANK(Design!$B$31),Design!$B$30,Design!$B$31)*1000000))</f>
        <v>0</v>
      </c>
      <c r="AK82" s="195">
        <f>$B82*Constants!$C$21/1000+IF(ISBLANK(Design!$B$31),Design!$B$30,Design!$B$31)*1000000*Constants!$D$25/1000000000*($B82-Constants!$C$24)</f>
        <v>5.6749999999999952E-3</v>
      </c>
      <c r="AL82" s="195">
        <f>$B82*AG82*($B82/(Constants!$C$26*1000000000)*IF(ISBLANK(Design!$B$31),Design!$B$30,Design!$B$31)*1000000/2+$B82/(Constants!$C$27*1000000000)*IF(ISBLANK(Design!$B$31),Design!$B$30,Design!$B$31)*1000000/2)</f>
        <v>5.8408072916666658E-2</v>
      </c>
      <c r="AM82" s="195">
        <f t="shared" ca="1" si="15"/>
        <v>0.1690710331134905</v>
      </c>
      <c r="AN82" s="195">
        <f>Constants!$D$25/1000000000*Constants!$C$24*IF(ISBLANK(Design!$B$31),Design!$B$30,Design!$B$31)*1000000</f>
        <v>5.2499999999999998E-2</v>
      </c>
      <c r="AO82" s="195">
        <f t="shared" ca="1" si="24"/>
        <v>0.28565410603015717</v>
      </c>
      <c r="AP82" s="195">
        <f t="shared" ca="1" si="21"/>
        <v>2.1906445118544261E-2</v>
      </c>
      <c r="AQ82" s="196">
        <f ca="1">$A82+AP82*Design!$B$18</f>
        <v>86.248667371757023</v>
      </c>
      <c r="AR82" s="196">
        <f ca="1">AO82*Design!$C$11+$A82</f>
        <v>95.569201923115813</v>
      </c>
      <c r="AS82" s="196">
        <f ca="1">Constants!$D$22+Constants!$D$22*Constants!$C$23/100*(AR82-25)</f>
        <v>181.45536153849264</v>
      </c>
      <c r="AT82" s="195">
        <f ca="1">IF(100*(Design!$C$27+AH82+AG82*IF(ISBLANK(Design!$B$41),Constants!$C$6,Design!$B$41)/1000*(1+Constants!$C$32/100*(AR82-25)))/($B82+AH82-AG82*AS82/1000)&gt;Design!$B$34,   (1-Constants!$D$20/1000000000*IF(ISBLANK(Design!$B$31),Design!$B$30/4,Design!$B$31/4)*1000000) * ($B82+AH82-AG82*AS82/1000) - (AH82+AG82*(1+($A82-25)*Constants!$C$32/100)*IF(ISBLANK(Design!$B$41),Constants!$C$6/1000,Design!$B$41/1000)),  (1-Constants!$D$20/1000000000*IF(ISBLANK(Design!$B$31),Design!$B$30,Design!$B$31)*1000000) * ($B82+AH82-AG82*AS82/1000) - (AH82+AG82*(1+($A82-25)*Constants!$C$32/100)*IF(ISBLANK(Design!$B$41),Constants!$C$6/1000,Design!$B$41/1000)))</f>
        <v>3.9229927717679649</v>
      </c>
      <c r="AU82" s="119">
        <f ca="1">IF(AT82&gt;Design!$C$27,Design!$C$27,AT82)</f>
        <v>3.9229927717679649</v>
      </c>
    </row>
    <row r="83" spans="1:47" ht="12.75" customHeight="1" x14ac:dyDescent="0.3">
      <c r="A83" s="112">
        <f>Design!$D$12</f>
        <v>85</v>
      </c>
      <c r="B83" s="113">
        <f t="shared" si="12"/>
        <v>4.26</v>
      </c>
      <c r="C83" s="114">
        <f>Design!$D$6</f>
        <v>3</v>
      </c>
      <c r="D83" s="114">
        <f ca="1">FORECAST(C83, OFFSET(Design!$C$14:$C$16,MATCH(C83,Design!$B$14:$B$16,1)-1,0,2), OFFSET(Design!$B$14:$B$16,MATCH(C83,Design!$B$14:$B$16,1)-1,0,2))+(M83-25)*Design!$B$17/1000</f>
        <v>0.42009715117294832</v>
      </c>
      <c r="E83" s="173">
        <f ca="1">IF(100*(Design!$C$27+D83+C83*IF(ISBLANK(Design!$B$41),Constants!$C$6,Design!$B$41)/1000*(1+Constants!$C$32/100*(N83-25)))/($B83+D83-C83*O83/1000)&gt;Design!$B$34,Design!$B$35,100*(Design!$C$27+D83+C83*IF(ISBLANK(Design!$B$41),Constants!$C$6,Design!$B$41)/1000*(1+Constants!$C$32/100*(N83-25)))/($B83+D83-C83*O83/1000))</f>
        <v>93.174999999999997</v>
      </c>
      <c r="F83" s="115">
        <f ca="1">IF(($B83-C83*IF(ISBLANK(Design!$B$41),Constants!$C$6,Design!$B$41)/1000*(1+Constants!$C$32/100*(N83-25))-Design!$C$27)/(IF(ISBLANK(Design!$B$40),Design!$B$38,Design!$B$40)/1000000)*E83/100/(IF(ISBLANK(Design!$B$31),Design!$B$30,Design!$B$31)*1000000)&lt;0,0,($B83-C83*IF(ISBLANK(Design!$B$41),Constants!$C$6,Design!$B$41)/1000*(1+Constants!$C$32/100*(N83-25))-Design!$C$27)/(IF(ISBLANK(Design!$B$40),Design!$B$38,Design!$B$40)/1000000)*E83/100/(IF(ISBLANK(Design!$B$31),Design!$B$30,Design!$B$31)*1000000))</f>
        <v>0</v>
      </c>
      <c r="G83" s="165">
        <f>B83*Constants!$C$21/1000+IF(ISBLANK(Design!$B$31),Design!$B$30,Design!$B$31)*1000000*Constants!$D$25/1000000000*(B83-Constants!$C$24)</f>
        <v>2.8799999999999954E-3</v>
      </c>
      <c r="H83" s="165">
        <f>B83*C83*(B83/(Constants!$C$26*1000000000)*IF(ISBLANK(Design!$B$31),Design!$B$30,Design!$B$31)*1000000/2+B83/(Constants!$C$27*1000000000)*IF(ISBLANK(Design!$B$31),Design!$B$30,Design!$B$31)*1000000/2)</f>
        <v>0.1587915</v>
      </c>
      <c r="I83" s="165">
        <f t="shared" ca="1" si="13"/>
        <v>2.0004421684873193</v>
      </c>
      <c r="J83" s="165">
        <f>Constants!$D$25/1000000000*Constants!$C$24*IF(ISBLANK(Design!$B$31),Design!$B$30,Design!$B$31)*1000000</f>
        <v>5.2499999999999998E-2</v>
      </c>
      <c r="K83" s="165">
        <f ca="1">SUM(G83:J83)</f>
        <v>2.2146136684873197</v>
      </c>
      <c r="L83" s="165">
        <f t="shared" ca="1" si="17"/>
        <v>8.6014891702661217E-2</v>
      </c>
      <c r="M83" s="166">
        <f ca="1">$A83+L83*Design!$B$18</f>
        <v>89.902848827051685</v>
      </c>
      <c r="N83" s="166">
        <f ca="1">K83*Design!$C$11+A83</f>
        <v>166.94070573403081</v>
      </c>
      <c r="O83" s="166">
        <f ca="1">Constants!$D$22+Constants!$D$22*Constants!$C$23/100*(N83-25)</f>
        <v>238.55256458722465</v>
      </c>
      <c r="P83" s="165">
        <f ca="1">IF(100*(Design!$C$27+D83+C83*IF(ISBLANK(Design!$B$41),Constants!$C$6,Design!$B$41)/1000*(1+Constants!$C$32/100*(N83-25)))/($B83+D83-C83*O83/1000)&gt;Design!$B$34,   (1-Constants!$D$20/1000000000*IF(ISBLANK(Design!$B$31),Design!$B$30/4,Design!$B$31/4)*1000000) * ($B83+D83-C83*O83/1000) - (D83+C83*(1+($A83-25)*Constants!$C$32/100)*IF(ISBLANK(Design!$B$41),Constants!$C$6/1000,Design!$B$41/1000)),  (1-Constants!$D$20/1000000000*IF(ISBLANK(Design!$B$31),Design!$B$30,Design!$B$31)*1000000) * ($B83+D83-C83*O83/1000) - (D83+C83*(1+($A83-25)*Constants!$C$32/100)*IF(ISBLANK(Design!$B$41),Constants!$C$6/1000,Design!$B$41/1000)))</f>
        <v>3.1069363132700056</v>
      </c>
      <c r="Q83" s="115">
        <f ca="1">IF(P83&gt;Design!$C$27,Design!$C$27,P83)</f>
        <v>3.1069363132700056</v>
      </c>
      <c r="R83" s="116">
        <f>2*Design!$D$6/3</f>
        <v>2</v>
      </c>
      <c r="S83" s="116">
        <f ca="1">FORECAST(R83, OFFSET(Design!$C$14:$C$16,MATCH(R83,Design!$B$14:$B$16,1)-1,0,2), OFFSET(Design!$B$14:$B$16,MATCH(R83,Design!$B$14:$B$16,1)-1,0,2))+(AB83-25)*Design!$B$17/1000</f>
        <v>0.39691182752593446</v>
      </c>
      <c r="T83" s="182">
        <f ca="1">IF(100*(Design!$C$27+S83+R83*IF(ISBLANK(Design!$B$41),Constants!$C$6,Design!$B$41)/1000*(1+Constants!$C$32/100*(AC83-25)))/($B83+S83-R83*AD83/1000)&gt;Design!$B$34,Design!$B$35,100*(Design!$C$27+S83+R83*IF(ISBLANK(Design!$B$41),Constants!$C$6,Design!$B$41)/1000*(1+Constants!$C$32/100*(AC83-25)))/($B83+S83-R83*AD83/1000))</f>
        <v>93.174999999999997</v>
      </c>
      <c r="U83" s="117">
        <f ca="1">IF(($B83-R83*IF(ISBLANK(Design!$B$41),Constants!$C$6,Design!$B$41)/1000*(1+Constants!$C$32/100*(AC83-25))-Design!$C$27)/(IF(ISBLANK(Design!$B$40),Design!$B$38,Design!$B$40)/1000000)*T83/100/(IF(ISBLANK(Design!$B$31),Design!$B$30,Design!$B$31)*1000000)&lt;0,0,($B83-R83*IF(ISBLANK(Design!$B$41),Constants!$C$6,Design!$B$41)/1000*(1+Constants!$C$32/100*(AC83-25))-Design!$C$27)/(IF(ISBLANK(Design!$B$40),Design!$B$38,Design!$B$40)/1000000)*T83/100/(IF(ISBLANK(Design!$B$31),Design!$B$30,Design!$B$31)*1000000))</f>
        <v>0</v>
      </c>
      <c r="V83" s="183">
        <f>$B83*Constants!$C$21/1000+IF(ISBLANK(Design!$B$31),Design!$B$30,Design!$B$31)*1000000*Constants!$D$25/1000000000*($B83-Constants!$C$24)</f>
        <v>2.8799999999999954E-3</v>
      </c>
      <c r="W83" s="183">
        <f>$B83*R83*($B83/(Constants!$C$26*1000000000)*IF(ISBLANK(Design!$B$31),Design!$B$30,Design!$B$31)*1000000/2+$B83/(Constants!$C$27*1000000000)*IF(ISBLANK(Design!$B$31),Design!$B$30,Design!$B$31)*1000000/2)</f>
        <v>0.105861</v>
      </c>
      <c r="X83" s="183">
        <f t="shared" ca="1" si="14"/>
        <v>0.74471538345797728</v>
      </c>
      <c r="Y83" s="183">
        <f>Constants!$D$25/1000000000*Constants!$C$24*IF(ISBLANK(Design!$B$31),Design!$B$30,Design!$B$31)*1000000</f>
        <v>5.2499999999999998E-2</v>
      </c>
      <c r="Z83" s="183">
        <f t="shared" ca="1" si="23"/>
        <v>0.90595638345797724</v>
      </c>
      <c r="AA83" s="183">
        <f t="shared" ca="1" si="19"/>
        <v>5.4178464457290076E-2</v>
      </c>
      <c r="AB83" s="184">
        <f ca="1">$A83+AA83*Design!$B$18</f>
        <v>88.08817247406553</v>
      </c>
      <c r="AC83" s="184">
        <f ca="1">Z83*Design!$C$11+$A83</f>
        <v>118.52038618794515</v>
      </c>
      <c r="AD83" s="184">
        <f ca="1">Constants!$D$22+Constants!$D$22*Constants!$C$23/100*(AC83-25)</f>
        <v>199.81630895035613</v>
      </c>
      <c r="AE83" s="183">
        <f ca="1">IF(100*(Design!$C$27+S83+R83*IF(ISBLANK(Design!$B$41),Constants!$C$6,Design!$B$41)/1000*(1+Constants!$C$32/100*(AC83-25)))/($B83+S83-R83*AD83/1000)&gt;Design!$B$34,   (1-Constants!$D$20/1000000000*IF(ISBLANK(Design!$B$31),Design!$B$30/4,Design!$B$31/4)*1000000) * ($B83+S83-R83*AD83/1000) - (S83+R83*(1+($A83-25)*Constants!$C$32/100)*IF(ISBLANK(Design!$B$41),Constants!$C$6/1000,Design!$B$41/1000)),  (1-Constants!$D$20/1000000000*IF(ISBLANK(Design!$B$31),Design!$B$30,Design!$B$31)*1000000) * ($B83+S83-R83*AD83/1000) - (S83+R83*(1+($A83-25)*Constants!$C$32/100)*IF(ISBLANK(Design!$B$41),Constants!$C$6/1000,Design!$B$41/1000)))</f>
        <v>3.4585860760423657</v>
      </c>
      <c r="AF83" s="117">
        <f ca="1">IF(AE83&gt;Design!$C$27,Design!$C$27,AE83)</f>
        <v>3.4585860760423657</v>
      </c>
      <c r="AG83" s="118">
        <f>Design!$D$6/3</f>
        <v>1</v>
      </c>
      <c r="AH83" s="118">
        <f ca="1">FORECAST(AG83, OFFSET(Design!$C$14:$C$16,MATCH(AG83,Design!$B$14:$B$16,1)-1,0,2), OFFSET(Design!$B$14:$B$16,MATCH(AG83,Design!$B$14:$B$16,1)-1,0,2))+(AQ83-25)*Design!$B$17/1000</f>
        <v>0.32097355485046519</v>
      </c>
      <c r="AI83" s="194">
        <f ca="1">IF(100*(Design!$C$27+AH83+AG83*IF(ISBLANK(Design!$B$41),Constants!$C$6,Design!$B$41)/1000*(1+Constants!$C$32/100*(AR83-25)))/($B83+AH83-AG83*AS83/1000)&gt;Design!$B$34,Design!$B$35,100*(Design!$C$27+AH83+AG83*IF(ISBLANK(Design!$B$41),Constants!$C$6,Design!$B$41)/1000*(1+Constants!$C$32/100*(AR83-25)))/($B83+AH83-AG83*AS83/1000))</f>
        <v>93.174999999999997</v>
      </c>
      <c r="AJ83" s="119">
        <f ca="1">IF(($B83-AG83*IF(ISBLANK(Design!$B$41),Constants!$C$6,Design!$B$41)/1000*(1+Constants!$C$32/100*(AR83-25))-Design!$C$27)/(IF(ISBLANK(Design!$B$40),Design!$B$38,Design!$B$40)/1000000)*AI83/100/(IF(ISBLANK(Design!$B$31),Design!$B$30,Design!$B$31)*1000000)&lt;0,0,($B83-AG83*IF(ISBLANK(Design!$B$41),Constants!$C$6,Design!$B$41)/1000*(1+Constants!$C$32/100*(AR83-25))-Design!$C$27)/(IF(ISBLANK(Design!$B$40),Design!$B$38,Design!$B$40)/1000000)*AI83/100/(IF(ISBLANK(Design!$B$31),Design!$B$30,Design!$B$31)*1000000))</f>
        <v>0</v>
      </c>
      <c r="AK83" s="195">
        <f>$B83*Constants!$C$21/1000+IF(ISBLANK(Design!$B$31),Design!$B$30,Design!$B$31)*1000000*Constants!$D$25/1000000000*($B83-Constants!$C$24)</f>
        <v>2.8799999999999954E-3</v>
      </c>
      <c r="AL83" s="195">
        <f>$B83*AG83*($B83/(Constants!$C$26*1000000000)*IF(ISBLANK(Design!$B$31),Design!$B$30,Design!$B$31)*1000000/2+$B83/(Constants!$C$27*1000000000)*IF(ISBLANK(Design!$B$31),Design!$B$30,Design!$B$31)*1000000/2)</f>
        <v>5.2930499999999998E-2</v>
      </c>
      <c r="AM83" s="195">
        <f t="shared" ca="1" si="15"/>
        <v>0.16883640624485177</v>
      </c>
      <c r="AN83" s="195">
        <f>Constants!$D$25/1000000000*Constants!$C$24*IF(ISBLANK(Design!$B$31),Design!$B$30,Design!$B$31)*1000000</f>
        <v>5.2499999999999998E-2</v>
      </c>
      <c r="AO83" s="195">
        <f t="shared" ca="1" si="24"/>
        <v>0.27714690624485178</v>
      </c>
      <c r="AP83" s="195">
        <f t="shared" ca="1" si="21"/>
        <v>2.1906445118544261E-2</v>
      </c>
      <c r="AQ83" s="196">
        <f ca="1">$A83+AP83*Design!$B$18</f>
        <v>86.248667371757023</v>
      </c>
      <c r="AR83" s="196">
        <f ca="1">AO83*Design!$C$11+$A83</f>
        <v>95.254435531059514</v>
      </c>
      <c r="AS83" s="196">
        <f ca="1">Constants!$D$22+Constants!$D$22*Constants!$C$23/100*(AR83-25)</f>
        <v>181.20354842484761</v>
      </c>
      <c r="AT83" s="195">
        <f ca="1">IF(100*(Design!$C$27+AH83+AG83*IF(ISBLANK(Design!$B$41),Constants!$C$6,Design!$B$41)/1000*(1+Constants!$C$32/100*(AR83-25)))/($B83+AH83-AG83*AS83/1000)&gt;Design!$B$34,   (1-Constants!$D$20/1000000000*IF(ISBLANK(Design!$B$31),Design!$B$30/4,Design!$B$31/4)*1000000) * ($B83+AH83-AG83*AS83/1000) - (AH83+AG83*(1+($A83-25)*Constants!$C$32/100)*IF(ISBLANK(Design!$B$41),Constants!$C$6/1000,Design!$B$41/1000)),  (1-Constants!$D$20/1000000000*IF(ISBLANK(Design!$B$31),Design!$B$30,Design!$B$31)*1000000) * ($B83+AH83-AG83*AS83/1000) - (AH83+AG83*(1+($A83-25)*Constants!$C$32/100)*IF(ISBLANK(Design!$B$41),Constants!$C$6/1000,Design!$B$41/1000)))</f>
        <v>3.7229011486366037</v>
      </c>
      <c r="AU83" s="119">
        <f ca="1">IF(AT83&gt;Design!$C$27,Design!$C$27,AT83)</f>
        <v>3.7229011486366037</v>
      </c>
    </row>
    <row r="84" spans="1:47" ht="12.75" customHeight="1" x14ac:dyDescent="0.3">
      <c r="A84" s="112">
        <f>Design!$D$12</f>
        <v>85</v>
      </c>
      <c r="B84" s="113">
        <f t="shared" si="12"/>
        <v>4.0449999999999999</v>
      </c>
      <c r="C84" s="114">
        <f>Design!$D$6</f>
        <v>3</v>
      </c>
      <c r="D84" s="114">
        <f ca="1">FORECAST(C84, OFFSET(Design!$C$14:$C$16,MATCH(C84,Design!$B$14:$B$16,1)-1,0,2), OFFSET(Design!$B$14:$B$16,MATCH(C84,Design!$B$14:$B$16,1)-1,0,2))+(M84-25)*Design!$B$17/1000</f>
        <v>0.42009715117294832</v>
      </c>
      <c r="E84" s="173">
        <f ca="1">IF(100*(Design!$C$27+D84+C84*IF(ISBLANK(Design!$B$41),Constants!$C$6,Design!$B$41)/1000*(1+Constants!$C$32/100*(N84-25)))/($B84+D84-C84*O84/1000)&gt;Design!$B$34,Design!$B$35,100*(Design!$C$27+D84+C84*IF(ISBLANK(Design!$B$41),Constants!$C$6,Design!$B$41)/1000*(1+Constants!$C$32/100*(N84-25)))/($B84+D84-C84*O84/1000))</f>
        <v>93.174999999999997</v>
      </c>
      <c r="F84" s="115">
        <f ca="1">IF(($B84-C84*IF(ISBLANK(Design!$B$41),Constants!$C$6,Design!$B$41)/1000*(1+Constants!$C$32/100*(N84-25))-Design!$C$27)/(IF(ISBLANK(Design!$B$40),Design!$B$38,Design!$B$40)/1000000)*E84/100/(IF(ISBLANK(Design!$B$31),Design!$B$30,Design!$B$31)*1000000)&lt;0,0,($B84-C84*IF(ISBLANK(Design!$B$41),Constants!$C$6,Design!$B$41)/1000*(1+Constants!$C$32/100*(N84-25))-Design!$C$27)/(IF(ISBLANK(Design!$B$40),Design!$B$38,Design!$B$40)/1000000)*E84/100/(IF(ISBLANK(Design!$B$31),Design!$B$30,Design!$B$31)*1000000))</f>
        <v>0</v>
      </c>
      <c r="G84" s="165">
        <f>B84*Constants!$C$21/1000+IF(ISBLANK(Design!$B$31),Design!$B$30,Design!$B$31)*1000000*Constants!$D$25/1000000000*(B84-Constants!$C$24)</f>
        <v>8.4999999999998271E-5</v>
      </c>
      <c r="H84" s="165">
        <f>B84*C84*(B84/(Constants!$C$26*1000000000)*IF(ISBLANK(Design!$B$31),Design!$B$30,Design!$B$31)*1000000/2+B84/(Constants!$C$27*1000000000)*IF(ISBLANK(Design!$B$31),Design!$B$30,Design!$B$31)*1000000/2)</f>
        <v>0.14316771875000001</v>
      </c>
      <c r="I84" s="165">
        <f t="shared" ca="1" si="13"/>
        <v>1.9943607806057972</v>
      </c>
      <c r="J84" s="165">
        <f>Constants!$D$25/1000000000*Constants!$C$24*IF(ISBLANK(Design!$B$31),Design!$B$30,Design!$B$31)*1000000</f>
        <v>5.2499999999999998E-2</v>
      </c>
      <c r="K84" s="165">
        <f t="shared" ca="1" si="22"/>
        <v>2.1901134993557974</v>
      </c>
      <c r="L84" s="165">
        <f t="shared" ca="1" si="17"/>
        <v>8.6014891702661217E-2</v>
      </c>
      <c r="M84" s="166">
        <f ca="1">$A84+L84*Design!$B$18</f>
        <v>89.902848827051685</v>
      </c>
      <c r="N84" s="166">
        <f ca="1">K84*Design!$C$11+A84</f>
        <v>166.0341994761645</v>
      </c>
      <c r="O84" s="166">
        <f ca="1">Constants!$D$22+Constants!$D$22*Constants!$C$23/100*(N84-25)</f>
        <v>237.82735958093161</v>
      </c>
      <c r="P84" s="165">
        <f ca="1">IF(100*(Design!$C$27+D84+C84*IF(ISBLANK(Design!$B$41),Constants!$C$6,Design!$B$41)/1000*(1+Constants!$C$32/100*(N84-25)))/($B84+D84-C84*O84/1000)&gt;Design!$B$34,   (1-Constants!$D$20/1000000000*IF(ISBLANK(Design!$B$31),Design!$B$30/4,Design!$B$31/4)*1000000) * ($B84+D84-C84*O84/1000) - (D84+C84*(1+($A84-25)*Constants!$C$32/100)*IF(ISBLANK(Design!$B$41),Constants!$C$6/1000,Design!$B$41/1000)),  (1-Constants!$D$20/1000000000*IF(ISBLANK(Design!$B$31),Design!$B$30,Design!$B$31)*1000000) * ($B84+D84-C84*O84/1000) - (D84+C84*(1+($A84-25)*Constants!$C$32/100)*IF(ISBLANK(Design!$B$41),Constants!$C$6/1000,Design!$B$41/1000)))</f>
        <v>2.9086371925638463</v>
      </c>
      <c r="Q84" s="115">
        <f ca="1">IF(P84&gt;Design!$C$27,Design!$C$27,P84)</f>
        <v>2.9086371925638463</v>
      </c>
      <c r="R84" s="116">
        <f>2*Design!$D$6/3</f>
        <v>2</v>
      </c>
      <c r="S84" s="116">
        <f ca="1">FORECAST(R84, OFFSET(Design!$C$14:$C$16,MATCH(R84,Design!$B$14:$B$16,1)-1,0,2), OFFSET(Design!$B$14:$B$16,MATCH(R84,Design!$B$14:$B$16,1)-1,0,2))+(AB84-25)*Design!$B$17/1000</f>
        <v>0.39691182752593446</v>
      </c>
      <c r="T84" s="182">
        <f ca="1">IF(100*(Design!$C$27+S84+R84*IF(ISBLANK(Design!$B$41),Constants!$C$6,Design!$B$41)/1000*(1+Constants!$C$32/100*(AC84-25)))/($B84+S84-R84*AD84/1000)&gt;Design!$B$34,Design!$B$35,100*(Design!$C$27+S84+R84*IF(ISBLANK(Design!$B$41),Constants!$C$6,Design!$B$41)/1000*(1+Constants!$C$32/100*(AC84-25)))/($B84+S84-R84*AD84/1000))</f>
        <v>93.174999999999997</v>
      </c>
      <c r="U84" s="117">
        <f ca="1">IF(($B84-R84*IF(ISBLANK(Design!$B$41),Constants!$C$6,Design!$B$41)/1000*(1+Constants!$C$32/100*(AC84-25))-Design!$C$27)/(IF(ISBLANK(Design!$B$40),Design!$B$38,Design!$B$40)/1000000)*T84/100/(IF(ISBLANK(Design!$B$31),Design!$B$30,Design!$B$31)*1000000)&lt;0,0,($B84-R84*IF(ISBLANK(Design!$B$41),Constants!$C$6,Design!$B$41)/1000*(1+Constants!$C$32/100*(AC84-25))-Design!$C$27)/(IF(ISBLANK(Design!$B$40),Design!$B$38,Design!$B$40)/1000000)*T84/100/(IF(ISBLANK(Design!$B$31),Design!$B$30,Design!$B$31)*1000000))</f>
        <v>0</v>
      </c>
      <c r="V84" s="183">
        <f>$B84*Constants!$C$21/1000+IF(ISBLANK(Design!$B$31),Design!$B$30,Design!$B$31)*1000000*Constants!$D$25/1000000000*($B84-Constants!$C$24)</f>
        <v>8.4999999999998271E-5</v>
      </c>
      <c r="W84" s="183">
        <f>$B84*R84*($B84/(Constants!$C$26*1000000000)*IF(ISBLANK(Design!$B$31),Design!$B$30,Design!$B$31)*1000000/2+$B84/(Constants!$C$27*1000000000)*IF(ISBLANK(Design!$B$31),Design!$B$30,Design!$B$31)*1000000/2)</f>
        <v>9.5445145833333328E-2</v>
      </c>
      <c r="X84" s="183">
        <f t="shared" ca="1" si="14"/>
        <v>0.74307725564518945</v>
      </c>
      <c r="Y84" s="183">
        <f>Constants!$D$25/1000000000*Constants!$C$24*IF(ISBLANK(Design!$B$31),Design!$B$30,Design!$B$31)*1000000</f>
        <v>5.2499999999999998E-2</v>
      </c>
      <c r="Z84" s="183">
        <f t="shared" ca="1" si="23"/>
        <v>0.89110740147852274</v>
      </c>
      <c r="AA84" s="183">
        <f t="shared" ca="1" si="19"/>
        <v>5.4178464457290076E-2</v>
      </c>
      <c r="AB84" s="184">
        <f ca="1">$A84+AA84*Design!$B$18</f>
        <v>88.08817247406553</v>
      </c>
      <c r="AC84" s="184">
        <f ca="1">Z84*Design!$C$11+$A84</f>
        <v>117.97097385470533</v>
      </c>
      <c r="AD84" s="184">
        <f ca="1">Constants!$D$22+Constants!$D$22*Constants!$C$23/100*(AC84-25)</f>
        <v>199.37677908376429</v>
      </c>
      <c r="AE84" s="183">
        <f ca="1">IF(100*(Design!$C$27+S84+R84*IF(ISBLANK(Design!$B$41),Constants!$C$6,Design!$B$41)/1000*(1+Constants!$C$32/100*(AC84-25)))/($B84+S84-R84*AD84/1000)&gt;Design!$B$34,   (1-Constants!$D$20/1000000000*IF(ISBLANK(Design!$B$31),Design!$B$30/4,Design!$B$31/4)*1000000) * ($B84+S84-R84*AD84/1000) - (S84+R84*(1+($A84-25)*Constants!$C$32/100)*IF(ISBLANK(Design!$B$41),Constants!$C$6/1000,Design!$B$41/1000)),  (1-Constants!$D$20/1000000000*IF(ISBLANK(Design!$B$31),Design!$B$30,Design!$B$31)*1000000) * ($B84+S84-R84*AD84/1000) - (S84+R84*(1+($A84-25)*Constants!$C$32/100)*IF(ISBLANK(Design!$B$41),Constants!$C$6/1000,Design!$B$41/1000)))</f>
        <v>3.2590788899487602</v>
      </c>
      <c r="AF84" s="117">
        <f ca="1">IF(AE84&gt;Design!$C$27,Design!$C$27,AE84)</f>
        <v>3.2590788899487602</v>
      </c>
      <c r="AG84" s="118">
        <f>Design!$D$6/3</f>
        <v>1</v>
      </c>
      <c r="AH84" s="118">
        <f ca="1">FORECAST(AG84, OFFSET(Design!$C$14:$C$16,MATCH(AG84,Design!$B$14:$B$16,1)-1,0,2), OFFSET(Design!$B$14:$B$16,MATCH(AG84,Design!$B$14:$B$16,1)-1,0,2))+(AQ84-25)*Design!$B$17/1000</f>
        <v>0.32097355485046519</v>
      </c>
      <c r="AI84" s="194">
        <f ca="1">IF(100*(Design!$C$27+AH84+AG84*IF(ISBLANK(Design!$B$41),Constants!$C$6,Design!$B$41)/1000*(1+Constants!$C$32/100*(AR84-25)))/($B84+AH84-AG84*AS84/1000)&gt;Design!$B$34,Design!$B$35,100*(Design!$C$27+AH84+AG84*IF(ISBLANK(Design!$B$41),Constants!$C$6,Design!$B$41)/1000*(1+Constants!$C$32/100*(AR84-25)))/($B84+AH84-AG84*AS84/1000))</f>
        <v>93.174999999999997</v>
      </c>
      <c r="AJ84" s="119">
        <f ca="1">IF(($B84-AG84*IF(ISBLANK(Design!$B$41),Constants!$C$6,Design!$B$41)/1000*(1+Constants!$C$32/100*(AR84-25))-Design!$C$27)/(IF(ISBLANK(Design!$B$40),Design!$B$38,Design!$B$40)/1000000)*AI84/100/(IF(ISBLANK(Design!$B$31),Design!$B$30,Design!$B$31)*1000000)&lt;0,0,($B84-AG84*IF(ISBLANK(Design!$B$41),Constants!$C$6,Design!$B$41)/1000*(1+Constants!$C$32/100*(AR84-25))-Design!$C$27)/(IF(ISBLANK(Design!$B$40),Design!$B$38,Design!$B$40)/1000000)*AI84/100/(IF(ISBLANK(Design!$B$31),Design!$B$30,Design!$B$31)*1000000))</f>
        <v>0</v>
      </c>
      <c r="AK84" s="195">
        <f>$B84*Constants!$C$21/1000+IF(ISBLANK(Design!$B$31),Design!$B$30,Design!$B$31)*1000000*Constants!$D$25/1000000000*($B84-Constants!$C$24)</f>
        <v>8.4999999999998271E-5</v>
      </c>
      <c r="AL84" s="195">
        <f>$B84*AG84*($B84/(Constants!$C$26*1000000000)*IF(ISBLANK(Design!$B$31),Design!$B$30,Design!$B$31)*1000000/2+$B84/(Constants!$C$27*1000000000)*IF(ISBLANK(Design!$B$31),Design!$B$30,Design!$B$31)*1000000/2)</f>
        <v>4.7722572916666664E-2</v>
      </c>
      <c r="AM84" s="195">
        <f t="shared" ca="1" si="15"/>
        <v>0.16860942707640902</v>
      </c>
      <c r="AN84" s="195">
        <f>Constants!$D$25/1000000000*Constants!$C$24*IF(ISBLANK(Design!$B$31),Design!$B$30,Design!$B$31)*1000000</f>
        <v>5.2499999999999998E-2</v>
      </c>
      <c r="AO84" s="195">
        <f t="shared" ca="1" si="24"/>
        <v>0.26891699999307567</v>
      </c>
      <c r="AP84" s="195">
        <f t="shared" ca="1" si="21"/>
        <v>2.1906445118544261E-2</v>
      </c>
      <c r="AQ84" s="196">
        <f ca="1">$A84+AP84*Design!$B$18</f>
        <v>86.248667371757023</v>
      </c>
      <c r="AR84" s="196">
        <f ca="1">AO84*Design!$C$11+$A84</f>
        <v>94.949928999743804</v>
      </c>
      <c r="AS84" s="196">
        <f ca="1">Constants!$D$22+Constants!$D$22*Constants!$C$23/100*(AR84-25)</f>
        <v>180.95994319979505</v>
      </c>
      <c r="AT84" s="195">
        <f ca="1">IF(100*(Design!$C$27+AH84+AG84*IF(ISBLANK(Design!$B$41),Constants!$C$6,Design!$B$41)/1000*(1+Constants!$C$32/100*(AR84-25)))/($B84+AH84-AG84*AS84/1000)&gt;Design!$B$34,   (1-Constants!$D$20/1000000000*IF(ISBLANK(Design!$B$31),Design!$B$30/4,Design!$B$31/4)*1000000) * ($B84+AH84-AG84*AS84/1000) - (AH84+AG84*(1+($A84-25)*Constants!$C$32/100)*IF(ISBLANK(Design!$B$41),Constants!$C$6/1000,Design!$B$41/1000)),  (1-Constants!$D$20/1000000000*IF(ISBLANK(Design!$B$31),Design!$B$30,Design!$B$31)*1000000) * ($B84+AH84-AG84*AS84/1000) - (AH84+AG84*(1+($A84-25)*Constants!$C$32/100)*IF(ISBLANK(Design!$B$41),Constants!$C$6/1000,Design!$B$41/1000)))</f>
        <v>3.5228018778050463</v>
      </c>
      <c r="AU84" s="119">
        <f ca="1">IF(AT84&gt;Design!$C$27,Design!$C$27,AT84)</f>
        <v>3.5228018778050463</v>
      </c>
    </row>
    <row r="85" spans="1:47" ht="12.75" customHeight="1" x14ac:dyDescent="0.3">
      <c r="A85" s="112">
        <f>Design!$D$12</f>
        <v>85</v>
      </c>
      <c r="B85" s="113">
        <f t="shared" si="12"/>
        <v>3.8299999999999996</v>
      </c>
      <c r="C85" s="114">
        <f>Design!$D$6</f>
        <v>3</v>
      </c>
      <c r="D85" s="114">
        <f ca="1">FORECAST(C85, OFFSET(Design!$C$14:$C$16,MATCH(C85,Design!$B$14:$B$16,1)-1,0,2), OFFSET(Design!$B$14:$B$16,MATCH(C85,Design!$B$14:$B$16,1)-1,0,2))+(M85-25)*Design!$B$17/1000</f>
        <v>0.42009715117294832</v>
      </c>
      <c r="E85" s="173">
        <f ca="1">IF(100*(Design!$C$27+D85+C85*IF(ISBLANK(Design!$B$41),Constants!$C$6,Design!$B$41)/1000*(1+Constants!$C$32/100*(N85-25)))/($B85+D85-C85*O85/1000)&gt;Design!$B$34,Design!$B$35,100*(Design!$C$27+D85+C85*IF(ISBLANK(Design!$B$41),Constants!$C$6,Design!$B$41)/1000*(1+Constants!$C$32/100*(N85-25)))/($B85+D85-C85*O85/1000))</f>
        <v>93.174999999999997</v>
      </c>
      <c r="F85" s="115">
        <f ca="1">IF(($B85-C85*IF(ISBLANK(Design!$B$41),Constants!$C$6,Design!$B$41)/1000*(1+Constants!$C$32/100*(N85-25))-Design!$C$27)/(IF(ISBLANK(Design!$B$40),Design!$B$38,Design!$B$40)/1000000)*E85/100/(IF(ISBLANK(Design!$B$31),Design!$B$30,Design!$B$31)*1000000)&lt;0,0,($B85-C85*IF(ISBLANK(Design!$B$41),Constants!$C$6,Design!$B$41)/1000*(1+Constants!$C$32/100*(N85-25))-Design!$C$27)/(IF(ISBLANK(Design!$B$40),Design!$B$38,Design!$B$40)/1000000)*E85/100/(IF(ISBLANK(Design!$B$31),Design!$B$30,Design!$B$31)*1000000))</f>
        <v>0</v>
      </c>
      <c r="G85" s="165">
        <f>B85*Constants!$C$21/1000+IF(ISBLANK(Design!$B$31),Design!$B$30,Design!$B$31)*1000000*Constants!$D$25/1000000000*(B85-Constants!$C$24)</f>
        <v>-2.7100000000000058E-3</v>
      </c>
      <c r="H85" s="165">
        <f>B85*C85*(B85/(Constants!$C$26*1000000000)*IF(ISBLANK(Design!$B$31),Design!$B$30,Design!$B$31)*1000000/2+B85/(Constants!$C$27*1000000000)*IF(ISBLANK(Design!$B$31),Design!$B$30,Design!$B$31)*1000000/2)</f>
        <v>0.12835287499999998</v>
      </c>
      <c r="I85" s="165">
        <f t="shared" ca="1" si="13"/>
        <v>1.9885464822044441</v>
      </c>
      <c r="J85" s="165">
        <f>Constants!$D$25/1000000000*Constants!$C$24*IF(ISBLANK(Design!$B$31),Design!$B$30,Design!$B$31)*1000000</f>
        <v>5.2499999999999998E-2</v>
      </c>
      <c r="K85" s="165">
        <f t="shared" ca="1" si="22"/>
        <v>2.1666893572044441</v>
      </c>
      <c r="L85" s="165">
        <f t="shared" ca="1" si="17"/>
        <v>8.6014891702661217E-2</v>
      </c>
      <c r="M85" s="166">
        <f ca="1">$A85+L85*Design!$B$18</f>
        <v>89.902848827051685</v>
      </c>
      <c r="N85" s="166">
        <f ca="1">K85*Design!$C$11+A85</f>
        <v>165.16750621656445</v>
      </c>
      <c r="O85" s="166">
        <f ca="1">Constants!$D$22+Constants!$D$22*Constants!$C$23/100*(N85-25)</f>
        <v>237.13400497325156</v>
      </c>
      <c r="P85" s="165">
        <f ca="1">IF(100*(Design!$C$27+D85+C85*IF(ISBLANK(Design!$B$41),Constants!$C$6,Design!$B$41)/1000*(1+Constants!$C$32/100*(N85-25)))/($B85+D85-C85*O85/1000)&gt;Design!$B$34,   (1-Constants!$D$20/1000000000*IF(ISBLANK(Design!$B$31),Design!$B$30/4,Design!$B$31/4)*1000000) * ($B85+D85-C85*O85/1000) - (D85+C85*(1+($A85-25)*Constants!$C$32/100)*IF(ISBLANK(Design!$B$41),Constants!$C$6/1000,Design!$B$41/1000)),  (1-Constants!$D$20/1000000000*IF(ISBLANK(Design!$B$31),Design!$B$30,Design!$B$31)*1000000) * ($B85+D85-C85*O85/1000) - (D85+C85*(1+($A85-25)*Constants!$C$32/100)*IF(ISBLANK(Design!$B$41),Constants!$C$6/1000,Design!$B$41/1000)))</f>
        <v>2.7102490420309646</v>
      </c>
      <c r="Q85" s="115">
        <f ca="1">IF(P85&gt;Design!$C$27,Design!$C$27,P85)</f>
        <v>2.7102490420309646</v>
      </c>
      <c r="R85" s="116">
        <f>2*Design!$D$6/3</f>
        <v>2</v>
      </c>
      <c r="S85" s="116">
        <f ca="1">FORECAST(R85, OFFSET(Design!$C$14:$C$16,MATCH(R85,Design!$B$14:$B$16,1)-1,0,2), OFFSET(Design!$B$14:$B$16,MATCH(R85,Design!$B$14:$B$16,1)-1,0,2))+(AB85-25)*Design!$B$17/1000</f>
        <v>0.39691182752593446</v>
      </c>
      <c r="T85" s="182">
        <f ca="1">IF(100*(Design!$C$27+S85+R85*IF(ISBLANK(Design!$B$41),Constants!$C$6,Design!$B$41)/1000*(1+Constants!$C$32/100*(AC85-25)))/($B85+S85-R85*AD85/1000)&gt;Design!$B$34,Design!$B$35,100*(Design!$C$27+S85+R85*IF(ISBLANK(Design!$B$41),Constants!$C$6,Design!$B$41)/1000*(1+Constants!$C$32/100*(AC85-25)))/($B85+S85-R85*AD85/1000))</f>
        <v>93.174999999999997</v>
      </c>
      <c r="U85" s="117">
        <f ca="1">IF(($B85-R85*IF(ISBLANK(Design!$B$41),Constants!$C$6,Design!$B$41)/1000*(1+Constants!$C$32/100*(AC85-25))-Design!$C$27)/(IF(ISBLANK(Design!$B$40),Design!$B$38,Design!$B$40)/1000000)*T85/100/(IF(ISBLANK(Design!$B$31),Design!$B$30,Design!$B$31)*1000000)&lt;0,0,($B85-R85*IF(ISBLANK(Design!$B$41),Constants!$C$6,Design!$B$41)/1000*(1+Constants!$C$32/100*(AC85-25))-Design!$C$27)/(IF(ISBLANK(Design!$B$40),Design!$B$38,Design!$B$40)/1000000)*T85/100/(IF(ISBLANK(Design!$B$31),Design!$B$30,Design!$B$31)*1000000))</f>
        <v>0</v>
      </c>
      <c r="V85" s="183">
        <f>$B85*Constants!$C$21/1000+IF(ISBLANK(Design!$B$31),Design!$B$30,Design!$B$31)*1000000*Constants!$D$25/1000000000*($B85-Constants!$C$24)</f>
        <v>-2.7100000000000058E-3</v>
      </c>
      <c r="W85" s="183">
        <f>$B85*R85*($B85/(Constants!$C$26*1000000000)*IF(ISBLANK(Design!$B$31),Design!$B$30,Design!$B$31)*1000000/2+$B85/(Constants!$C$27*1000000000)*IF(ISBLANK(Design!$B$31),Design!$B$30,Design!$B$31)*1000000/2)</f>
        <v>8.5568583333333323E-2</v>
      </c>
      <c r="X85" s="183">
        <f t="shared" ca="1" si="14"/>
        <v>0.74150599926003424</v>
      </c>
      <c r="Y85" s="183">
        <f>Constants!$D$25/1000000000*Constants!$C$24*IF(ISBLANK(Design!$B$31),Design!$B$30,Design!$B$31)*1000000</f>
        <v>5.2499999999999998E-2</v>
      </c>
      <c r="Z85" s="183">
        <f t="shared" ca="1" si="23"/>
        <v>0.87686458259336753</v>
      </c>
      <c r="AA85" s="183">
        <f t="shared" ca="1" si="19"/>
        <v>5.4178464457290076E-2</v>
      </c>
      <c r="AB85" s="184">
        <f ca="1">$A85+AA85*Design!$B$18</f>
        <v>88.08817247406553</v>
      </c>
      <c r="AC85" s="184">
        <f ca="1">Z85*Design!$C$11+$A85</f>
        <v>117.4439895559546</v>
      </c>
      <c r="AD85" s="184">
        <f ca="1">Constants!$D$22+Constants!$D$22*Constants!$C$23/100*(AC85-25)</f>
        <v>198.95519164476369</v>
      </c>
      <c r="AE85" s="183">
        <f ca="1">IF(100*(Design!$C$27+S85+R85*IF(ISBLANK(Design!$B$41),Constants!$C$6,Design!$B$41)/1000*(1+Constants!$C$32/100*(AC85-25)))/($B85+S85-R85*AD85/1000)&gt;Design!$B$34,   (1-Constants!$D$20/1000000000*IF(ISBLANK(Design!$B$31),Design!$B$30/4,Design!$B$31/4)*1000000) * ($B85+S85-R85*AD85/1000) - (S85+R85*(1+($A85-25)*Constants!$C$32/100)*IF(ISBLANK(Design!$B$41),Constants!$C$6/1000,Design!$B$41/1000)),  (1-Constants!$D$20/1000000000*IF(ISBLANK(Design!$B$31),Design!$B$30,Design!$B$31)*1000000) * ($B85+S85-R85*AD85/1000) - (S85+R85*(1+($A85-25)*Constants!$C$32/100)*IF(ISBLANK(Design!$B$41),Constants!$C$6/1000,Design!$B$41/1000)))</f>
        <v>3.0595382681413379</v>
      </c>
      <c r="AF85" s="117">
        <f ca="1">IF(AE85&gt;Design!$C$27,Design!$C$27,AE85)</f>
        <v>3.0595382681413379</v>
      </c>
      <c r="AG85" s="118">
        <f>Design!$D$6/3</f>
        <v>1</v>
      </c>
      <c r="AH85" s="118">
        <f ca="1">FORECAST(AG85, OFFSET(Design!$C$14:$C$16,MATCH(AG85,Design!$B$14:$B$16,1)-1,0,2), OFFSET(Design!$B$14:$B$16,MATCH(AG85,Design!$B$14:$B$16,1)-1,0,2))+(AQ85-25)*Design!$B$17/1000</f>
        <v>0.32097355485046519</v>
      </c>
      <c r="AI85" s="194">
        <f ca="1">IF(100*(Design!$C$27+AH85+AG85*IF(ISBLANK(Design!$B$41),Constants!$C$6,Design!$B$41)/1000*(1+Constants!$C$32/100*(AR85-25)))/($B85+AH85-AG85*AS85/1000)&gt;Design!$B$34,Design!$B$35,100*(Design!$C$27+AH85+AG85*IF(ISBLANK(Design!$B$41),Constants!$C$6,Design!$B$41)/1000*(1+Constants!$C$32/100*(AR85-25)))/($B85+AH85-AG85*AS85/1000))</f>
        <v>93.174999999999997</v>
      </c>
      <c r="AJ85" s="119">
        <f ca="1">IF(($B85-AG85*IF(ISBLANK(Design!$B$41),Constants!$C$6,Design!$B$41)/1000*(1+Constants!$C$32/100*(AR85-25))-Design!$C$27)/(IF(ISBLANK(Design!$B$40),Design!$B$38,Design!$B$40)/1000000)*AI85/100/(IF(ISBLANK(Design!$B$31),Design!$B$30,Design!$B$31)*1000000)&lt;0,0,($B85-AG85*IF(ISBLANK(Design!$B$41),Constants!$C$6,Design!$B$41)/1000*(1+Constants!$C$32/100*(AR85-25))-Design!$C$27)/(IF(ISBLANK(Design!$B$40),Design!$B$38,Design!$B$40)/1000000)*AI85/100/(IF(ISBLANK(Design!$B$31),Design!$B$30,Design!$B$31)*1000000))</f>
        <v>0</v>
      </c>
      <c r="AK85" s="195">
        <f>$B85*Constants!$C$21/1000+IF(ISBLANK(Design!$B$31),Design!$B$30,Design!$B$31)*1000000*Constants!$D$25/1000000000*($B85-Constants!$C$24)</f>
        <v>-2.7100000000000058E-3</v>
      </c>
      <c r="AL85" s="195">
        <f>$B85*AG85*($B85/(Constants!$C$26*1000000000)*IF(ISBLANK(Design!$B$31),Design!$B$30,Design!$B$31)*1000000/2+$B85/(Constants!$C$27*1000000000)*IF(ISBLANK(Design!$B$31),Design!$B$30,Design!$B$31)*1000000/2)</f>
        <v>4.2784291666666661E-2</v>
      </c>
      <c r="AM85" s="195">
        <f t="shared" ca="1" si="15"/>
        <v>0.16839009560816232</v>
      </c>
      <c r="AN85" s="195">
        <f>Constants!$D$25/1000000000*Constants!$C$24*IF(ISBLANK(Design!$B$31),Design!$B$30,Design!$B$31)*1000000</f>
        <v>5.2499999999999998E-2</v>
      </c>
      <c r="AO85" s="195">
        <f t="shared" ca="1" si="24"/>
        <v>0.26096438727482896</v>
      </c>
      <c r="AP85" s="195">
        <f t="shared" ca="1" si="21"/>
        <v>2.1906445118544261E-2</v>
      </c>
      <c r="AQ85" s="196">
        <f ca="1">$A85+AP85*Design!$B$18</f>
        <v>86.248667371757023</v>
      </c>
      <c r="AR85" s="196">
        <f ca="1">AO85*Design!$C$11+$A85</f>
        <v>94.65568232916867</v>
      </c>
      <c r="AS85" s="196">
        <f ca="1">Constants!$D$22+Constants!$D$22*Constants!$C$23/100*(AR85-25)</f>
        <v>180.72454586333492</v>
      </c>
      <c r="AT85" s="195">
        <f ca="1">IF(100*(Design!$C$27+AH85+AG85*IF(ISBLANK(Design!$B$41),Constants!$C$6,Design!$B$41)/1000*(1+Constants!$C$32/100*(AR85-25)))/($B85+AH85-AG85*AS85/1000)&gt;Design!$B$34,   (1-Constants!$D$20/1000000000*IF(ISBLANK(Design!$B$31),Design!$B$30/4,Design!$B$31/4)*1000000) * ($B85+AH85-AG85*AS85/1000) - (AH85+AG85*(1+($A85-25)*Constants!$C$32/100)*IF(ISBLANK(Design!$B$41),Constants!$C$6/1000,Design!$B$41/1000)),  (1-Constants!$D$20/1000000000*IF(ISBLANK(Design!$B$31),Design!$B$30,Design!$B$31)*1000000) * ($B85+AH85-AG85*AS85/1000) - (AH85+AG85*(1+($A85-25)*Constants!$C$32/100)*IF(ISBLANK(Design!$B$41),Constants!$C$6/1000,Design!$B$41/1000)))</f>
        <v>3.3226949592732926</v>
      </c>
      <c r="AU85" s="119">
        <f ca="1">IF(AT85&gt;Design!$C$27,Design!$C$27,AT85)</f>
        <v>3.3226949592732926</v>
      </c>
    </row>
    <row r="86" spans="1:47" ht="12.75" customHeight="1" x14ac:dyDescent="0.3">
      <c r="A86" s="112">
        <f>Design!$D$12</f>
        <v>85</v>
      </c>
      <c r="B86" s="113">
        <f t="shared" si="12"/>
        <v>3.6149999999999998</v>
      </c>
      <c r="C86" s="114">
        <f>Design!$D$6</f>
        <v>3</v>
      </c>
      <c r="D86" s="114">
        <f ca="1">FORECAST(C86, OFFSET(Design!$C$14:$C$16,MATCH(C86,Design!$B$14:$B$16,1)-1,0,2), OFFSET(Design!$B$14:$B$16,MATCH(C86,Design!$B$14:$B$16,1)-1,0,2))+(M86-25)*Design!$B$17/1000</f>
        <v>0.42009715117294832</v>
      </c>
      <c r="E86" s="173">
        <f ca="1">IF(100*(Design!$C$27+D86+C86*IF(ISBLANK(Design!$B$41),Constants!$C$6,Design!$B$41)/1000*(1+Constants!$C$32/100*(N86-25)))/($B86+D86-C86*O86/1000)&gt;Design!$B$34,Design!$B$35,100*(Design!$C$27+D86+C86*IF(ISBLANK(Design!$B$41),Constants!$C$6,Design!$B$41)/1000*(1+Constants!$C$32/100*(N86-25)))/($B86+D86-C86*O86/1000))</f>
        <v>93.174999999999997</v>
      </c>
      <c r="F86" s="115">
        <f ca="1">IF(($B86-C86*IF(ISBLANK(Design!$B$41),Constants!$C$6,Design!$B$41)/1000*(1+Constants!$C$32/100*(N86-25))-Design!$C$27)/(IF(ISBLANK(Design!$B$40),Design!$B$38,Design!$B$40)/1000000)*E86/100/(IF(ISBLANK(Design!$B$31),Design!$B$30,Design!$B$31)*1000000)&lt;0,0,($B86-C86*IF(ISBLANK(Design!$B$41),Constants!$C$6,Design!$B$41)/1000*(1+Constants!$C$32/100*(N86-25))-Design!$C$27)/(IF(ISBLANK(Design!$B$40),Design!$B$38,Design!$B$40)/1000000)*E86/100/(IF(ISBLANK(Design!$B$31),Design!$B$30,Design!$B$31)*1000000))</f>
        <v>0</v>
      </c>
      <c r="G86" s="165">
        <f>B86*Constants!$C$21/1000+IF(ISBLANK(Design!$B$31),Design!$B$30,Design!$B$31)*1000000*Constants!$D$25/1000000000*(B86-Constants!$C$24)</f>
        <v>-5.5050000000000029E-3</v>
      </c>
      <c r="H86" s="165">
        <f>B86*C86*(B86/(Constants!$C$26*1000000000)*IF(ISBLANK(Design!$B$31),Design!$B$30,Design!$B$31)*1000000/2+B86/(Constants!$C$27*1000000000)*IF(ISBLANK(Design!$B$31),Design!$B$30,Design!$B$31)*1000000/2)</f>
        <v>0.11434696874999999</v>
      </c>
      <c r="I86" s="165">
        <f t="shared" ca="1" si="13"/>
        <v>1.9829992732832604</v>
      </c>
      <c r="J86" s="165">
        <f>Constants!$D$25/1000000000*Constants!$C$24*IF(ISBLANK(Design!$B$31),Design!$B$30,Design!$B$31)*1000000</f>
        <v>5.2499999999999998E-2</v>
      </c>
      <c r="K86" s="165">
        <f t="shared" ca="1" si="22"/>
        <v>2.1443412420332608</v>
      </c>
      <c r="L86" s="165">
        <f t="shared" ca="1" si="17"/>
        <v>8.6014891702661217E-2</v>
      </c>
      <c r="M86" s="166">
        <f ca="1">$A86+L86*Design!$B$18</f>
        <v>89.902848827051685</v>
      </c>
      <c r="N86" s="166">
        <f ca="1">K86*Design!$C$11+A86</f>
        <v>164.34062595523065</v>
      </c>
      <c r="O86" s="166">
        <f ca="1">Constants!$D$22+Constants!$D$22*Constants!$C$23/100*(N86-25)</f>
        <v>236.47250076418453</v>
      </c>
      <c r="P86" s="165">
        <f ca="1">IF(100*(Design!$C$27+D86+C86*IF(ISBLANK(Design!$B$41),Constants!$C$6,Design!$B$41)/1000*(1+Constants!$C$32/100*(N86-25)))/($B86+D86-C86*O86/1000)&gt;Design!$B$34,   (1-Constants!$D$20/1000000000*IF(ISBLANK(Design!$B$31),Design!$B$30/4,Design!$B$31/4)*1000000) * ($B86+D86-C86*O86/1000) - (D86+C86*(1+($A86-25)*Constants!$C$32/100)*IF(ISBLANK(Design!$B$41),Constants!$C$6/1000,Design!$B$41/1000)),  (1-Constants!$D$20/1000000000*IF(ISBLANK(Design!$B$31),Design!$B$30,Design!$B$31)*1000000) * ($B86+D86-C86*O86/1000) - (D86+C86*(1+($A86-25)*Constants!$C$32/100)*IF(ISBLANK(Design!$B$41),Constants!$C$6/1000,Design!$B$41/1000)))</f>
        <v>2.5117718616713596</v>
      </c>
      <c r="Q86" s="115">
        <f ca="1">IF(P86&gt;Design!$C$27,Design!$C$27,P86)</f>
        <v>2.5117718616713596</v>
      </c>
      <c r="R86" s="116">
        <f>2*Design!$D$6/3</f>
        <v>2</v>
      </c>
      <c r="S86" s="116">
        <f ca="1">FORECAST(R86, OFFSET(Design!$C$14:$C$16,MATCH(R86,Design!$B$14:$B$16,1)-1,0,2), OFFSET(Design!$B$14:$B$16,MATCH(R86,Design!$B$14:$B$16,1)-1,0,2))+(AB86-25)*Design!$B$17/1000</f>
        <v>0.39691182752593446</v>
      </c>
      <c r="T86" s="182">
        <f ca="1">IF(100*(Design!$C$27+S86+R86*IF(ISBLANK(Design!$B$41),Constants!$C$6,Design!$B$41)/1000*(1+Constants!$C$32/100*(AC86-25)))/($B86+S86-R86*AD86/1000)&gt;Design!$B$34,Design!$B$35,100*(Design!$C$27+S86+R86*IF(ISBLANK(Design!$B$41),Constants!$C$6,Design!$B$41)/1000*(1+Constants!$C$32/100*(AC86-25)))/($B86+S86-R86*AD86/1000))</f>
        <v>93.174999999999997</v>
      </c>
      <c r="U86" s="117">
        <f ca="1">IF(($B86-R86*IF(ISBLANK(Design!$B$41),Constants!$C$6,Design!$B$41)/1000*(1+Constants!$C$32/100*(AC86-25))-Design!$C$27)/(IF(ISBLANK(Design!$B$40),Design!$B$38,Design!$B$40)/1000000)*T86/100/(IF(ISBLANK(Design!$B$31),Design!$B$30,Design!$B$31)*1000000)&lt;0,0,($B86-R86*IF(ISBLANK(Design!$B$41),Constants!$C$6,Design!$B$41)/1000*(1+Constants!$C$32/100*(AC86-25))-Design!$C$27)/(IF(ISBLANK(Design!$B$40),Design!$B$38,Design!$B$40)/1000000)*T86/100/(IF(ISBLANK(Design!$B$31),Design!$B$30,Design!$B$31)*1000000))</f>
        <v>0</v>
      </c>
      <c r="V86" s="183">
        <f>$B86*Constants!$C$21/1000+IF(ISBLANK(Design!$B$31),Design!$B$30,Design!$B$31)*1000000*Constants!$D$25/1000000000*($B86-Constants!$C$24)</f>
        <v>-5.5050000000000029E-3</v>
      </c>
      <c r="W86" s="183">
        <f>$B86*R86*($B86/(Constants!$C$26*1000000000)*IF(ISBLANK(Design!$B$31),Design!$B$30,Design!$B$31)*1000000/2+$B86/(Constants!$C$27*1000000000)*IF(ISBLANK(Design!$B$31),Design!$B$30,Design!$B$31)*1000000/2)</f>
        <v>7.6231312499999995E-2</v>
      </c>
      <c r="X86" s="183">
        <f t="shared" ca="1" si="14"/>
        <v>0.74000161430251155</v>
      </c>
      <c r="Y86" s="183">
        <f>Constants!$D$25/1000000000*Constants!$C$24*IF(ISBLANK(Design!$B$31),Design!$B$30,Design!$B$31)*1000000</f>
        <v>5.2499999999999998E-2</v>
      </c>
      <c r="Z86" s="183">
        <f t="shared" ca="1" si="23"/>
        <v>0.86322792680251159</v>
      </c>
      <c r="AA86" s="183">
        <f t="shared" ca="1" si="19"/>
        <v>5.4178464457290076E-2</v>
      </c>
      <c r="AB86" s="184">
        <f ca="1">$A86+AA86*Design!$B$18</f>
        <v>88.08817247406553</v>
      </c>
      <c r="AC86" s="184">
        <f ca="1">Z86*Design!$C$11+$A86</f>
        <v>116.93943329169292</v>
      </c>
      <c r="AD86" s="184">
        <f ca="1">Constants!$D$22+Constants!$D$22*Constants!$C$23/100*(AC86-25)</f>
        <v>198.55154663335435</v>
      </c>
      <c r="AE86" s="183">
        <f ca="1">IF(100*(Design!$C$27+S86+R86*IF(ISBLANK(Design!$B$41),Constants!$C$6,Design!$B$41)/1000*(1+Constants!$C$32/100*(AC86-25)))/($B86+S86-R86*AD86/1000)&gt;Design!$B$34,   (1-Constants!$D$20/1000000000*IF(ISBLANK(Design!$B$31),Design!$B$30/4,Design!$B$31/4)*1000000) * ($B86+S86-R86*AD86/1000) - (S86+R86*(1+($A86-25)*Constants!$C$32/100)*IF(ISBLANK(Design!$B$41),Constants!$C$6/1000,Design!$B$41/1000)),  (1-Constants!$D$20/1000000000*IF(ISBLANK(Design!$B$31),Design!$B$30,Design!$B$31)*1000000) * ($B86+S86-R86*AD86/1000) - (S86+R86*(1+($A86-25)*Constants!$C$32/100)*IF(ISBLANK(Design!$B$41),Constants!$C$6/1000,Design!$B$41/1000)))</f>
        <v>2.8599642106200993</v>
      </c>
      <c r="AF86" s="117">
        <f ca="1">IF(AE86&gt;Design!$C$27,Design!$C$27,AE86)</f>
        <v>2.8599642106200993</v>
      </c>
      <c r="AG86" s="118">
        <f>Design!$D$6/3</f>
        <v>1</v>
      </c>
      <c r="AH86" s="118">
        <f ca="1">FORECAST(AG86, OFFSET(Design!$C$14:$C$16,MATCH(AG86,Design!$B$14:$B$16,1)-1,0,2), OFFSET(Design!$B$14:$B$16,MATCH(AG86,Design!$B$14:$B$16,1)-1,0,2))+(AQ86-25)*Design!$B$17/1000</f>
        <v>0.32097355485046519</v>
      </c>
      <c r="AI86" s="194">
        <f ca="1">IF(100*(Design!$C$27+AH86+AG86*IF(ISBLANK(Design!$B$41),Constants!$C$6,Design!$B$41)/1000*(1+Constants!$C$32/100*(AR86-25)))/($B86+AH86-AG86*AS86/1000)&gt;Design!$B$34,Design!$B$35,100*(Design!$C$27+AH86+AG86*IF(ISBLANK(Design!$B$41),Constants!$C$6,Design!$B$41)/1000*(1+Constants!$C$32/100*(AR86-25)))/($B86+AH86-AG86*AS86/1000))</f>
        <v>93.174999999999997</v>
      </c>
      <c r="AJ86" s="119">
        <f ca="1">IF(($B86-AG86*IF(ISBLANK(Design!$B$41),Constants!$C$6,Design!$B$41)/1000*(1+Constants!$C$32/100*(AR86-25))-Design!$C$27)/(IF(ISBLANK(Design!$B$40),Design!$B$38,Design!$B$40)/1000000)*AI86/100/(IF(ISBLANK(Design!$B$31),Design!$B$30,Design!$B$31)*1000000)&lt;0,0,($B86-AG86*IF(ISBLANK(Design!$B$41),Constants!$C$6,Design!$B$41)/1000*(1+Constants!$C$32/100*(AR86-25))-Design!$C$27)/(IF(ISBLANK(Design!$B$40),Design!$B$38,Design!$B$40)/1000000)*AI86/100/(IF(ISBLANK(Design!$B$31),Design!$B$30,Design!$B$31)*1000000))</f>
        <v>0</v>
      </c>
      <c r="AK86" s="195">
        <f>$B86*Constants!$C$21/1000+IF(ISBLANK(Design!$B$31),Design!$B$30,Design!$B$31)*1000000*Constants!$D$25/1000000000*($B86-Constants!$C$24)</f>
        <v>-5.5050000000000029E-3</v>
      </c>
      <c r="AL86" s="195">
        <f>$B86*AG86*($B86/(Constants!$C$26*1000000000)*IF(ISBLANK(Design!$B$31),Design!$B$30,Design!$B$31)*1000000/2+$B86/(Constants!$C$27*1000000000)*IF(ISBLANK(Design!$B$31),Design!$B$30,Design!$B$31)*1000000/2)</f>
        <v>3.8115656249999998E-2</v>
      </c>
      <c r="AM86" s="195">
        <f t="shared" ca="1" si="15"/>
        <v>0.16817841184011165</v>
      </c>
      <c r="AN86" s="195">
        <f>Constants!$D$25/1000000000*Constants!$C$24*IF(ISBLANK(Design!$B$31),Design!$B$30,Design!$B$31)*1000000</f>
        <v>5.2499999999999998E-2</v>
      </c>
      <c r="AO86" s="195">
        <f t="shared" ca="1" si="24"/>
        <v>0.25328906809011165</v>
      </c>
      <c r="AP86" s="195">
        <f t="shared" ca="1" si="21"/>
        <v>2.1906445118544261E-2</v>
      </c>
      <c r="AQ86" s="196">
        <f ca="1">$A86+AP86*Design!$B$18</f>
        <v>86.248667371757023</v>
      </c>
      <c r="AR86" s="196">
        <f ca="1">AO86*Design!$C$11+$A86</f>
        <v>94.371695519334125</v>
      </c>
      <c r="AS86" s="196">
        <f ca="1">Constants!$D$22+Constants!$D$22*Constants!$C$23/100*(AR86-25)</f>
        <v>180.49735641546729</v>
      </c>
      <c r="AT86" s="195">
        <f ca="1">IF(100*(Design!$C$27+AH86+AG86*IF(ISBLANK(Design!$B$41),Constants!$C$6,Design!$B$41)/1000*(1+Constants!$C$32/100*(AR86-25)))/($B86+AH86-AG86*AS86/1000)&gt;Design!$B$34,   (1-Constants!$D$20/1000000000*IF(ISBLANK(Design!$B$31),Design!$B$30/4,Design!$B$31/4)*1000000) * ($B86+AH86-AG86*AS86/1000) - (AH86+AG86*(1+($A86-25)*Constants!$C$32/100)*IF(ISBLANK(Design!$B$41),Constants!$C$6/1000,Design!$B$41/1000)),  (1-Constants!$D$20/1000000000*IF(ISBLANK(Design!$B$31),Design!$B$30,Design!$B$31)*1000000) * ($B86+AH86-AG86*AS86/1000) - (AH86+AG86*(1+($A86-25)*Constants!$C$32/100)*IF(ISBLANK(Design!$B$41),Constants!$C$6/1000,Design!$B$41/1000)))</f>
        <v>3.1225803930413436</v>
      </c>
      <c r="AU86" s="119">
        <f ca="1">IF(AT86&gt;Design!$C$27,Design!$C$27,AT86)</f>
        <v>3.1225803930413436</v>
      </c>
    </row>
    <row r="87" spans="1:47" ht="12.75" customHeight="1" thickBot="1" x14ac:dyDescent="0.35">
      <c r="A87" s="121">
        <f>Design!$D$12</f>
        <v>85</v>
      </c>
      <c r="B87" s="122">
        <f>Constants!$C$7</f>
        <v>3.4</v>
      </c>
      <c r="C87" s="123">
        <f>Design!$D$6</f>
        <v>3</v>
      </c>
      <c r="D87" s="123">
        <f ca="1">FORECAST(C87, OFFSET(Design!$C$14:$C$16,MATCH(C87,Design!$B$14:$B$16,1)-1,0,2), OFFSET(Design!$B$14:$B$16,MATCH(C87,Design!$B$14:$B$16,1)-1,0,2))+(M87-25)*Design!$B$17/1000</f>
        <v>0.42009715117294832</v>
      </c>
      <c r="E87" s="174">
        <f ca="1">IF(100*(Design!$C$27+D87+C87*IF(ISBLANK(Design!$B$41),Constants!$C$6,Design!$B$41)/1000*(1+Constants!$C$32/100*(N87-25)))/($B87+D87-C87*O87/1000)&gt;Design!$B$34,Design!$B$35,100*(Design!$C$27+D87+C87*IF(ISBLANK(Design!$B$41),Constants!$C$6,Design!$B$41)/1000*(1+Constants!$C$32/100*(N87-25)))/($B87+D87-C87*O87/1000))</f>
        <v>93.174999999999997</v>
      </c>
      <c r="F87" s="124">
        <f ca="1">IF(($B87-C87*IF(ISBLANK(Design!$B$41),Constants!$C$6,Design!$B$41)/1000*(1+Constants!$C$32/100*(N87-25))-Design!$C$27)/(IF(ISBLANK(Design!$B$40),Design!$B$38,Design!$B$40)/1000000)*E87/100/(IF(ISBLANK(Design!$B$31),Design!$B$30,Design!$B$31)*1000000)&lt;0,0,($B87-C87*IF(ISBLANK(Design!$B$41),Constants!$C$6,Design!$B$41)/1000*(1+Constants!$C$32/100*(N87-25))-Design!$C$27)/(IF(ISBLANK(Design!$B$40),Design!$B$38,Design!$B$40)/1000000)*E87/100/(IF(ISBLANK(Design!$B$31),Design!$B$30,Design!$B$31)*1000000))</f>
        <v>0</v>
      </c>
      <c r="G87" s="167">
        <f>B87*Constants!$C$21/1000+IF(ISBLANK(Design!$B$31),Design!$B$30,Design!$B$31)*1000000*Constants!$D$25/1000000000*(B87-Constants!$C$24)</f>
        <v>-8.3000000000000018E-3</v>
      </c>
      <c r="H87" s="167">
        <f>B87*C87*(B87/(Constants!$C$26*1000000000)*IF(ISBLANK(Design!$B$31),Design!$B$30,Design!$B$31)*1000000/2+B87/(Constants!$C$27*1000000000)*IF(ISBLANK(Design!$B$31),Design!$B$30,Design!$B$31)*1000000/2)</f>
        <v>0.10114999999999998</v>
      </c>
      <c r="I87" s="167">
        <f t="shared" ca="1" si="13"/>
        <v>1.9777191538422454</v>
      </c>
      <c r="J87" s="167">
        <f>Constants!$D$25/1000000000*Constants!$C$24*IF(ISBLANK(Design!$B$31),Design!$B$30,Design!$B$31)*1000000</f>
        <v>5.2499999999999998E-2</v>
      </c>
      <c r="K87" s="167">
        <f t="shared" ca="1" si="22"/>
        <v>2.1230691538422457</v>
      </c>
      <c r="L87" s="167">
        <f t="shared" ca="1" si="17"/>
        <v>8.6014891702661217E-2</v>
      </c>
      <c r="M87" s="168">
        <f ca="1">$A87+L87*Design!$B$18</f>
        <v>89.902848827051685</v>
      </c>
      <c r="N87" s="168">
        <f ca="1">K87*Design!$C$11+A87</f>
        <v>163.55355869216311</v>
      </c>
      <c r="O87" s="168">
        <f ca="1">Constants!$D$22+Constants!$D$22*Constants!$C$23/100*(N87-25)</f>
        <v>235.84284695373049</v>
      </c>
      <c r="P87" s="167">
        <f ca="1">IF(100*(Design!$C$27+D87+C87*IF(ISBLANK(Design!$B$41),Constants!$C$6,Design!$B$41)/1000*(1+Constants!$C$32/100*(N87-25)))/($B87+D87-C87*O87/1000)&gt;Design!$B$34,   (1-Constants!$D$20/1000000000*IF(ISBLANK(Design!$B$31),Design!$B$30/4,Design!$B$31/4)*1000000) * ($B87+D87-C87*O87/1000) - (D87+C87*(1+($A87-25)*Constants!$C$32/100)*IF(ISBLANK(Design!$B$41),Constants!$C$6/1000,Design!$B$41/1000)),  (1-Constants!$D$20/1000000000*IF(ISBLANK(Design!$B$31),Design!$B$30,Design!$B$31)*1000000) * ($B87+D87-C87*O87/1000) - (D87+C87*(1+($A87-25)*Constants!$C$32/100)*IF(ISBLANK(Design!$B$41),Constants!$C$6/1000,Design!$B$41/1000)))</f>
        <v>2.3132056514850312</v>
      </c>
      <c r="Q87" s="124">
        <f ca="1">IF(P87&gt;Design!$C$27,Design!$C$27,P87)</f>
        <v>2.3132056514850312</v>
      </c>
      <c r="R87" s="125">
        <f>2*Design!$D$6/3</f>
        <v>2</v>
      </c>
      <c r="S87" s="125">
        <f ca="1">FORECAST(R87, OFFSET(Design!$C$14:$C$16,MATCH(R87,Design!$B$14:$B$16,1)-1,0,2), OFFSET(Design!$B$14:$B$16,MATCH(R87,Design!$B$14:$B$16,1)-1,0,2))+(AB87-25)*Design!$B$17/1000</f>
        <v>0.39691182752593446</v>
      </c>
      <c r="T87" s="186">
        <f ca="1">IF(100*(Design!$C$27+S87+R87*IF(ISBLANK(Design!$B$41),Constants!$C$6,Design!$B$41)/1000*(1+Constants!$C$32/100*(AC87-25)))/($B87+S87-R87*AD87/1000)&gt;Design!$B$34,Design!$B$35,100*(Design!$C$27+S87+R87*IF(ISBLANK(Design!$B$41),Constants!$C$6,Design!$B$41)/1000*(1+Constants!$C$32/100*(AC87-25)))/($B87+S87-R87*AD87/1000))</f>
        <v>93.174999999999997</v>
      </c>
      <c r="U87" s="126">
        <f ca="1">IF(($B87-R87*IF(ISBLANK(Design!$B$41),Constants!$C$6,Design!$B$41)/1000*(1+Constants!$C$32/100*(AC87-25))-Design!$C$27)/(IF(ISBLANK(Design!$B$40),Design!$B$38,Design!$B$40)/1000000)*T87/100/(IF(ISBLANK(Design!$B$31),Design!$B$30,Design!$B$31)*1000000)&lt;0,0,($B87-R87*IF(ISBLANK(Design!$B$41),Constants!$C$6,Design!$B$41)/1000*(1+Constants!$C$32/100*(AC87-25))-Design!$C$27)/(IF(ISBLANK(Design!$B$40),Design!$B$38,Design!$B$40)/1000000)*T87/100/(IF(ISBLANK(Design!$B$31),Design!$B$30,Design!$B$31)*1000000))</f>
        <v>0</v>
      </c>
      <c r="V87" s="187">
        <f>$B87*Constants!$C$21/1000+IF(ISBLANK(Design!$B$31),Design!$B$30,Design!$B$31)*1000000*Constants!$D$25/1000000000*($B87-Constants!$C$24)</f>
        <v>-8.3000000000000018E-3</v>
      </c>
      <c r="W87" s="187">
        <f>$B87*R87*($B87/(Constants!$C$26*1000000000)*IF(ISBLANK(Design!$B$31),Design!$B$30,Design!$B$31)*1000000/2+$B87/(Constants!$C$27*1000000000)*IF(ISBLANK(Design!$B$31),Design!$B$30,Design!$B$31)*1000000/2)</f>
        <v>6.7433333333333331E-2</v>
      </c>
      <c r="X87" s="187">
        <f t="shared" ca="1" si="14"/>
        <v>0.73856410077262169</v>
      </c>
      <c r="Y87" s="187">
        <f>Constants!$D$25/1000000000*Constants!$C$24*IF(ISBLANK(Design!$B$31),Design!$B$30,Design!$B$31)*1000000</f>
        <v>5.2499999999999998E-2</v>
      </c>
      <c r="Z87" s="187">
        <f t="shared" ca="1" si="23"/>
        <v>0.85019743410595505</v>
      </c>
      <c r="AA87" s="187">
        <f t="shared" ca="1" si="19"/>
        <v>5.4178464457290076E-2</v>
      </c>
      <c r="AB87" s="188">
        <f ca="1">$A87+AA87*Design!$B$18</f>
        <v>88.08817247406553</v>
      </c>
      <c r="AC87" s="188">
        <f ca="1">Z87*Design!$C$11+$A87</f>
        <v>116.45730506192034</v>
      </c>
      <c r="AD87" s="188">
        <f ca="1">Constants!$D$22+Constants!$D$22*Constants!$C$23/100*(AC87-25)</f>
        <v>198.16584404953628</v>
      </c>
      <c r="AE87" s="187">
        <f ca="1">IF(100*(Design!$C$27+S87+R87*IF(ISBLANK(Design!$B$41),Constants!$C$6,Design!$B$41)/1000*(1+Constants!$C$32/100*(AC87-25)))/($B87+S87-R87*AD87/1000)&gt;Design!$B$34,   (1-Constants!$D$20/1000000000*IF(ISBLANK(Design!$B$31),Design!$B$30/4,Design!$B$31/4)*1000000) * ($B87+S87-R87*AD87/1000) - (S87+R87*(1+($A87-25)*Constants!$C$32/100)*IF(ISBLANK(Design!$B$41),Constants!$C$6/1000,Design!$B$41/1000)),  (1-Constants!$D$20/1000000000*IF(ISBLANK(Design!$B$31),Design!$B$30,Design!$B$31)*1000000) * ($B87+S87-R87*AD87/1000) - (S87+R87*(1+($A87-25)*Constants!$C$32/100)*IF(ISBLANK(Design!$B$41),Constants!$C$6/1000,Design!$B$41/1000)))</f>
        <v>2.6603567173850444</v>
      </c>
      <c r="AF87" s="126">
        <f ca="1">IF(AE87&gt;Design!$C$27,Design!$C$27,AE87)</f>
        <v>2.6603567173850444</v>
      </c>
      <c r="AG87" s="127">
        <f>Design!$D$6/3</f>
        <v>1</v>
      </c>
      <c r="AH87" s="127">
        <f ca="1">FORECAST(AG87, OFFSET(Design!$C$14:$C$16,MATCH(AG87,Design!$B$14:$B$16,1)-1,0,2), OFFSET(Design!$B$14:$B$16,MATCH(AG87,Design!$B$14:$B$16,1)-1,0,2))+(AQ87-25)*Design!$B$17/1000</f>
        <v>0.32097355485046519</v>
      </c>
      <c r="AI87" s="197">
        <f ca="1">IF(100*(Design!$C$27+AH87+AG87*IF(ISBLANK(Design!$B$41),Constants!$C$6,Design!$B$41)/1000*(1+Constants!$C$32/100*(AR87-25)))/($B87+AH87-AG87*AS87/1000)&gt;Design!$B$34,Design!$B$35,100*(Design!$C$27+AH87+AG87*IF(ISBLANK(Design!$B$41),Constants!$C$6,Design!$B$41)/1000*(1+Constants!$C$32/100*(AR87-25)))/($B87+AH87-AG87*AS87/1000))</f>
        <v>93.174999999999997</v>
      </c>
      <c r="AJ87" s="128">
        <f ca="1">IF(($B87-AG87*IF(ISBLANK(Design!$B$41),Constants!$C$6,Design!$B$41)/1000*(1+Constants!$C$32/100*(AR87-25))-Design!$C$27)/(IF(ISBLANK(Design!$B$40),Design!$B$38,Design!$B$40)/1000000)*AI87/100/(IF(ISBLANK(Design!$B$31),Design!$B$30,Design!$B$31)*1000000)&lt;0,0,($B87-AG87*IF(ISBLANK(Design!$B$41),Constants!$C$6,Design!$B$41)/1000*(1+Constants!$C$32/100*(AR87-25))-Design!$C$27)/(IF(ISBLANK(Design!$B$40),Design!$B$38,Design!$B$40)/1000000)*AI87/100/(IF(ISBLANK(Design!$B$31),Design!$B$30,Design!$B$31)*1000000))</f>
        <v>0</v>
      </c>
      <c r="AK87" s="198">
        <f>$B87*Constants!$C$21/1000+IF(ISBLANK(Design!$B$31),Design!$B$30,Design!$B$31)*1000000*Constants!$D$25/1000000000*($B87-Constants!$C$24)</f>
        <v>-8.3000000000000018E-3</v>
      </c>
      <c r="AL87" s="198">
        <f>$B87*AG87*($B87/(Constants!$C$26*1000000000)*IF(ISBLANK(Design!$B$31),Design!$B$30,Design!$B$31)*1000000/2+$B87/(Constants!$C$27*1000000000)*IF(ISBLANK(Design!$B$31),Design!$B$30,Design!$B$31)*1000000/2)</f>
        <v>3.3716666666666666E-2</v>
      </c>
      <c r="AM87" s="198">
        <f t="shared" ca="1" si="15"/>
        <v>0.16797437577225702</v>
      </c>
      <c r="AN87" s="198">
        <f>Constants!$D$25/1000000000*Constants!$C$24*IF(ISBLANK(Design!$B$31),Design!$B$30,Design!$B$31)*1000000</f>
        <v>5.2499999999999998E-2</v>
      </c>
      <c r="AO87" s="198">
        <f t="shared" ca="1" si="24"/>
        <v>0.24589104243892368</v>
      </c>
      <c r="AP87" s="198">
        <f t="shared" ca="1" si="21"/>
        <v>2.1906445118544261E-2</v>
      </c>
      <c r="AQ87" s="199">
        <f ca="1">$A87+AP87*Design!$B$18</f>
        <v>86.248667371757023</v>
      </c>
      <c r="AR87" s="199">
        <f ca="1">AO87*Design!$C$11+$A87</f>
        <v>94.09796857024017</v>
      </c>
      <c r="AS87" s="199">
        <f ca="1">Constants!$D$22+Constants!$D$22*Constants!$C$23/100*(AR87-25)</f>
        <v>180.27837485619213</v>
      </c>
      <c r="AT87" s="198">
        <f ca="1">IF(100*(Design!$C$27+AH87+AG87*IF(ISBLANK(Design!$B$41),Constants!$C$6,Design!$B$41)/1000*(1+Constants!$C$32/100*(AR87-25)))/($B87+AH87-AG87*AS87/1000)&gt;Design!$B$34,   (1-Constants!$D$20/1000000000*IF(ISBLANK(Design!$B$31),Design!$B$30/4,Design!$B$31/4)*1000000) * ($B87+AH87-AG87*AS87/1000) - (AH87+AG87*(1+($A87-25)*Constants!$C$32/100)*IF(ISBLANK(Design!$B$41),Constants!$C$6/1000,Design!$B$41/1000)),  (1-Constants!$D$20/1000000000*IF(ISBLANK(Design!$B$31),Design!$B$30,Design!$B$31)*1000000) * ($B87+AH87-AG87*AS87/1000) - (AH87+AG87*(1+($A87-25)*Constants!$C$32/100)*IF(ISBLANK(Design!$B$41),Constants!$C$6/1000,Design!$B$41/1000)))</f>
        <v>2.9224581791091979</v>
      </c>
      <c r="AU87" s="128">
        <f ca="1">IF(AT87&gt;Design!$C$27,Design!$C$27,AT87)</f>
        <v>2.9224581791091979</v>
      </c>
    </row>
    <row r="88" spans="1:47" x14ac:dyDescent="0.3">
      <c r="AT88" s="130" t="s">
        <v>193</v>
      </c>
      <c r="AU88" s="130">
        <f>(Design!C4-Constants!C7)/40</f>
        <v>0.215</v>
      </c>
    </row>
    <row r="112" ht="15" thickBot="1" x14ac:dyDescent="0.35"/>
    <row r="113" spans="2:9" x14ac:dyDescent="0.3">
      <c r="B113" s="203" t="s">
        <v>195</v>
      </c>
      <c r="C113" s="153"/>
      <c r="D113" s="153"/>
      <c r="E113" s="148"/>
      <c r="F113" s="148"/>
      <c r="H113" s="239">
        <f>Design!B4</f>
        <v>6</v>
      </c>
      <c r="I113" s="240">
        <v>1</v>
      </c>
    </row>
    <row r="114" spans="2:9" ht="15" thickBot="1" x14ac:dyDescent="0.35">
      <c r="B114" s="201" t="s">
        <v>220</v>
      </c>
      <c r="C114" s="154"/>
      <c r="D114" s="154"/>
      <c r="E114" s="149"/>
      <c r="F114" s="152"/>
      <c r="H114" s="241">
        <f>Design!B4</f>
        <v>6</v>
      </c>
      <c r="I114" s="242">
        <v>8</v>
      </c>
    </row>
    <row r="115" spans="2:9" x14ac:dyDescent="0.3">
      <c r="B115" s="430" t="s">
        <v>196</v>
      </c>
      <c r="C115" s="430"/>
      <c r="D115" s="129">
        <v>0</v>
      </c>
      <c r="F115" s="11"/>
    </row>
  </sheetData>
  <sheetProtection algorithmName="SHA-512" hashValue="reZOG5R2bcCf+WIbU9/MqEgsGmKrxgjrJt4lEvzQEGXbhoSmez1P22dV/El39ZDFGdkuoZ/q+KZ1jTeaDCU2vw==" saltValue="ZPnMDjVmz3AK5Ufy/DQxBw==" spinCount="100000" sheet="1" objects="1" scenarios="1"/>
  <mergeCells count="2">
    <mergeCell ref="A1:AU1"/>
    <mergeCell ref="B115:C115"/>
  </mergeCells>
  <pageMargins left="0.7" right="0.7" top="0.75" bottom="0.75" header="0.3" footer="0.3"/>
  <pageSetup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Q57"/>
  <sheetViews>
    <sheetView showGridLines="0" zoomScale="76" zoomScaleNormal="76" workbookViewId="0">
      <selection activeCell="C5" sqref="C5"/>
    </sheetView>
  </sheetViews>
  <sheetFormatPr defaultRowHeight="14.4" x14ac:dyDescent="0.3"/>
  <cols>
    <col min="1" max="1" width="20.6640625" style="1" customWidth="1"/>
    <col min="2" max="5" width="9.109375" style="1"/>
    <col min="6" max="6" width="18.6640625" customWidth="1"/>
  </cols>
  <sheetData>
    <row r="1" spans="1:9" ht="24" customHeight="1" thickBot="1" x14ac:dyDescent="0.35">
      <c r="A1" s="429" t="s">
        <v>169</v>
      </c>
      <c r="B1" s="429"/>
      <c r="C1" s="429"/>
      <c r="D1" s="429"/>
      <c r="E1" s="429"/>
      <c r="F1" s="429"/>
      <c r="G1" s="429"/>
      <c r="H1" s="429"/>
      <c r="I1" s="429"/>
    </row>
    <row r="2" spans="1:9" s="2" customFormat="1" ht="18" customHeight="1" x14ac:dyDescent="0.35">
      <c r="A2" s="25" t="s">
        <v>1</v>
      </c>
      <c r="B2" s="26" t="s">
        <v>30</v>
      </c>
      <c r="C2" s="26" t="s">
        <v>31</v>
      </c>
      <c r="D2" s="26" t="s">
        <v>32</v>
      </c>
      <c r="E2" s="26" t="s">
        <v>33</v>
      </c>
      <c r="F2" s="431" t="s">
        <v>35</v>
      </c>
      <c r="G2" s="431"/>
      <c r="H2" s="431"/>
      <c r="I2" s="432"/>
    </row>
    <row r="3" spans="1:9" ht="18" customHeight="1" x14ac:dyDescent="0.3">
      <c r="A3" s="267" t="s">
        <v>19</v>
      </c>
      <c r="B3" s="268">
        <v>0.79200000000000004</v>
      </c>
      <c r="C3" s="268">
        <v>0.8</v>
      </c>
      <c r="D3" s="268">
        <v>0.80800000000000005</v>
      </c>
      <c r="E3" s="269" t="s">
        <v>2</v>
      </c>
      <c r="F3" s="277" t="s">
        <v>276</v>
      </c>
      <c r="G3" s="28"/>
      <c r="H3" s="28"/>
      <c r="I3" s="29"/>
    </row>
    <row r="4" spans="1:9" ht="18" customHeight="1" x14ac:dyDescent="0.3">
      <c r="A4" s="267" t="s">
        <v>24</v>
      </c>
      <c r="B4" s="270">
        <f>100*(B3-C3)/C3</f>
        <v>-1.0000000000000009</v>
      </c>
      <c r="C4" s="65" t="s">
        <v>21</v>
      </c>
      <c r="D4" s="270">
        <f>100*(D3-C3)/C3</f>
        <v>1.0000000000000009</v>
      </c>
      <c r="E4" s="271" t="s">
        <v>23</v>
      </c>
      <c r="F4" s="277" t="s">
        <v>47</v>
      </c>
      <c r="G4" s="28"/>
      <c r="H4" s="28"/>
      <c r="I4" s="29"/>
    </row>
    <row r="5" spans="1:9" ht="18" customHeight="1" x14ac:dyDescent="0.3">
      <c r="A5" s="267" t="s">
        <v>75</v>
      </c>
      <c r="B5" s="65" t="s">
        <v>21</v>
      </c>
      <c r="C5" s="65">
        <v>4</v>
      </c>
      <c r="D5" s="65" t="s">
        <v>21</v>
      </c>
      <c r="E5" s="271" t="s">
        <v>64</v>
      </c>
      <c r="F5" s="277" t="s">
        <v>97</v>
      </c>
      <c r="G5" s="28"/>
      <c r="H5" s="28"/>
      <c r="I5" s="29"/>
    </row>
    <row r="6" spans="1:9" ht="18" customHeight="1" x14ac:dyDescent="0.3">
      <c r="A6" s="267" t="s">
        <v>191</v>
      </c>
      <c r="B6" s="65" t="s">
        <v>21</v>
      </c>
      <c r="C6" s="65">
        <v>35</v>
      </c>
      <c r="D6" s="65" t="s">
        <v>21</v>
      </c>
      <c r="E6" s="271" t="s">
        <v>115</v>
      </c>
      <c r="F6" s="277" t="s">
        <v>192</v>
      </c>
      <c r="G6" s="28"/>
      <c r="H6" s="28"/>
      <c r="I6" s="29"/>
    </row>
    <row r="7" spans="1:9" ht="18" customHeight="1" x14ac:dyDescent="0.3">
      <c r="A7" s="267" t="s">
        <v>186</v>
      </c>
      <c r="B7" s="65" t="s">
        <v>21</v>
      </c>
      <c r="C7" s="65">
        <v>3.4</v>
      </c>
      <c r="D7" s="272">
        <v>3.6</v>
      </c>
      <c r="E7" s="271" t="s">
        <v>2</v>
      </c>
      <c r="F7" s="277" t="s">
        <v>55</v>
      </c>
      <c r="G7" s="28"/>
      <c r="H7" s="28"/>
      <c r="I7" s="29"/>
    </row>
    <row r="8" spans="1:9" ht="18" customHeight="1" x14ac:dyDescent="0.3">
      <c r="A8" s="267" t="s">
        <v>34</v>
      </c>
      <c r="B8" s="273">
        <v>400</v>
      </c>
      <c r="C8" s="65" t="s">
        <v>21</v>
      </c>
      <c r="D8" s="65" t="s">
        <v>21</v>
      </c>
      <c r="E8" s="271" t="s">
        <v>18</v>
      </c>
      <c r="F8" s="277" t="s">
        <v>55</v>
      </c>
      <c r="G8" s="28"/>
      <c r="H8" s="28"/>
      <c r="I8" s="29"/>
    </row>
    <row r="9" spans="1:9" ht="18" customHeight="1" x14ac:dyDescent="0.3">
      <c r="A9" s="267" t="s">
        <v>150</v>
      </c>
      <c r="B9" s="65" t="s">
        <v>21</v>
      </c>
      <c r="C9" s="65">
        <v>0.5</v>
      </c>
      <c r="D9" s="65" t="s">
        <v>21</v>
      </c>
      <c r="E9" s="65" t="s">
        <v>21</v>
      </c>
      <c r="F9" s="277" t="s">
        <v>151</v>
      </c>
      <c r="G9" s="28"/>
      <c r="H9" s="28"/>
      <c r="I9" s="29"/>
    </row>
    <row r="10" spans="1:9" ht="18" customHeight="1" x14ac:dyDescent="0.3">
      <c r="A10" s="267" t="s">
        <v>8</v>
      </c>
      <c r="B10" s="65" t="s">
        <v>21</v>
      </c>
      <c r="C10" s="269">
        <v>65</v>
      </c>
      <c r="D10" s="65" t="s">
        <v>21</v>
      </c>
      <c r="E10" s="271" t="s">
        <v>9</v>
      </c>
      <c r="F10" s="277" t="s">
        <v>55</v>
      </c>
      <c r="G10" s="28"/>
      <c r="H10" s="28"/>
      <c r="I10" s="29"/>
    </row>
    <row r="11" spans="1:9" ht="18" customHeight="1" x14ac:dyDescent="0.3">
      <c r="A11" s="267" t="s">
        <v>10</v>
      </c>
      <c r="B11" s="269">
        <v>550</v>
      </c>
      <c r="C11" s="269">
        <v>750</v>
      </c>
      <c r="D11" s="269">
        <v>1000</v>
      </c>
      <c r="E11" s="271" t="s">
        <v>109</v>
      </c>
      <c r="F11" s="277" t="s">
        <v>55</v>
      </c>
      <c r="G11" s="28"/>
      <c r="H11" s="28"/>
      <c r="I11" s="29"/>
    </row>
    <row r="12" spans="1:9" ht="18" customHeight="1" x14ac:dyDescent="0.3">
      <c r="A12" s="267" t="s">
        <v>81</v>
      </c>
      <c r="B12" s="270">
        <f>POWER(10,$C$10/20)/(D11/1000000)/1000000</f>
        <v>1.7782794100389243</v>
      </c>
      <c r="C12" s="270">
        <f>POWER(10,$C$10/20)/(C11/1000000)/1000000</f>
        <v>2.3710392133852327</v>
      </c>
      <c r="D12" s="270">
        <f>POWER(10,$C$10/20)/(B11/1000000)/1000000</f>
        <v>3.2332352909798621</v>
      </c>
      <c r="E12" s="271" t="s">
        <v>82</v>
      </c>
      <c r="F12" s="277" t="s">
        <v>47</v>
      </c>
      <c r="G12" s="28"/>
      <c r="H12" s="28"/>
      <c r="I12" s="29"/>
    </row>
    <row r="13" spans="1:9" ht="18" customHeight="1" x14ac:dyDescent="0.3">
      <c r="A13" s="267" t="s">
        <v>0</v>
      </c>
      <c r="B13" s="270" t="s">
        <v>21</v>
      </c>
      <c r="C13" s="270">
        <v>4</v>
      </c>
      <c r="D13" s="270" t="s">
        <v>21</v>
      </c>
      <c r="E13" s="271" t="s">
        <v>3</v>
      </c>
      <c r="F13" s="277" t="s">
        <v>55</v>
      </c>
      <c r="G13" s="28"/>
      <c r="H13" s="28"/>
      <c r="I13" s="29"/>
    </row>
    <row r="14" spans="1:9" ht="18" customHeight="1" x14ac:dyDescent="0.3">
      <c r="A14" s="440" t="s">
        <v>279</v>
      </c>
      <c r="B14" s="270">
        <v>0.15</v>
      </c>
      <c r="C14" s="270">
        <v>0.22</v>
      </c>
      <c r="D14" s="270">
        <v>0.28999999999999998</v>
      </c>
      <c r="E14" s="437" t="s">
        <v>300</v>
      </c>
      <c r="F14" s="277" t="s">
        <v>280</v>
      </c>
      <c r="G14" s="28">
        <v>0.249</v>
      </c>
      <c r="H14" s="28" t="s">
        <v>14</v>
      </c>
      <c r="I14" s="29"/>
    </row>
    <row r="15" spans="1:9" ht="18" customHeight="1" x14ac:dyDescent="0.3">
      <c r="A15" s="441"/>
      <c r="B15" s="270">
        <v>0.66</v>
      </c>
      <c r="C15" s="270">
        <v>1</v>
      </c>
      <c r="D15" s="270">
        <v>1.32</v>
      </c>
      <c r="E15" s="438"/>
      <c r="F15" s="277" t="s">
        <v>280</v>
      </c>
      <c r="G15" s="28">
        <v>1</v>
      </c>
      <c r="H15" s="28" t="s">
        <v>14</v>
      </c>
      <c r="I15" s="29"/>
    </row>
    <row r="16" spans="1:9" ht="18" customHeight="1" x14ac:dyDescent="0.3">
      <c r="A16" s="442"/>
      <c r="B16" s="270">
        <v>2.31</v>
      </c>
      <c r="C16" s="270">
        <v>3.3</v>
      </c>
      <c r="D16" s="270">
        <v>4.3</v>
      </c>
      <c r="E16" s="439"/>
      <c r="F16" s="277" t="s">
        <v>280</v>
      </c>
      <c r="G16" s="28">
        <v>2.4500000000000002</v>
      </c>
      <c r="H16" s="28" t="s">
        <v>14</v>
      </c>
      <c r="I16" s="29"/>
    </row>
    <row r="17" spans="1:9" ht="18" customHeight="1" x14ac:dyDescent="0.3">
      <c r="A17" s="267" t="s">
        <v>184</v>
      </c>
      <c r="B17" s="274">
        <v>0.25</v>
      </c>
      <c r="C17" s="65" t="s">
        <v>21</v>
      </c>
      <c r="D17" s="274">
        <v>2.4500000000000002</v>
      </c>
      <c r="E17" s="271" t="s">
        <v>14</v>
      </c>
      <c r="F17" s="277" t="s">
        <v>53</v>
      </c>
      <c r="G17" s="28"/>
      <c r="H17" s="28"/>
      <c r="I17" s="29"/>
    </row>
    <row r="18" spans="1:9" ht="18" customHeight="1" x14ac:dyDescent="0.3">
      <c r="A18" s="267" t="s">
        <v>38</v>
      </c>
      <c r="B18" s="65">
        <v>-10</v>
      </c>
      <c r="C18" s="65" t="s">
        <v>21</v>
      </c>
      <c r="D18" s="65">
        <v>10</v>
      </c>
      <c r="E18" s="271" t="s">
        <v>23</v>
      </c>
      <c r="F18" s="277" t="s">
        <v>53</v>
      </c>
      <c r="G18" s="28"/>
      <c r="H18" s="28"/>
      <c r="I18" s="29"/>
    </row>
    <row r="19" spans="1:9" ht="18" customHeight="1" x14ac:dyDescent="0.3">
      <c r="A19" s="341" t="s">
        <v>104</v>
      </c>
      <c r="B19" s="65" t="s">
        <v>21</v>
      </c>
      <c r="C19" s="271">
        <v>95</v>
      </c>
      <c r="D19" s="65">
        <v>135</v>
      </c>
      <c r="E19" s="65" t="s">
        <v>4</v>
      </c>
      <c r="F19" s="277" t="s">
        <v>102</v>
      </c>
      <c r="G19" s="28"/>
      <c r="H19" s="28"/>
      <c r="I19" s="29"/>
    </row>
    <row r="20" spans="1:9" ht="18" customHeight="1" x14ac:dyDescent="0.3">
      <c r="A20" s="341" t="s">
        <v>105</v>
      </c>
      <c r="B20" s="65" t="s">
        <v>21</v>
      </c>
      <c r="C20" s="271">
        <v>95</v>
      </c>
      <c r="D20" s="65">
        <v>130</v>
      </c>
      <c r="E20" s="65" t="s">
        <v>4</v>
      </c>
      <c r="F20" s="277" t="s">
        <v>103</v>
      </c>
      <c r="G20" s="28"/>
      <c r="H20" s="28"/>
      <c r="I20" s="29"/>
    </row>
    <row r="21" spans="1:9" ht="18" customHeight="1" x14ac:dyDescent="0.3">
      <c r="A21" s="341" t="s">
        <v>315</v>
      </c>
      <c r="B21" s="65" t="s">
        <v>21</v>
      </c>
      <c r="C21" s="271">
        <v>2.5</v>
      </c>
      <c r="D21" s="65" t="s">
        <v>21</v>
      </c>
      <c r="E21" s="65" t="s">
        <v>5</v>
      </c>
      <c r="F21" s="277" t="s">
        <v>55</v>
      </c>
      <c r="G21" s="28"/>
      <c r="H21" s="28"/>
      <c r="I21" s="29"/>
    </row>
    <row r="22" spans="1:9" ht="18" customHeight="1" x14ac:dyDescent="0.3">
      <c r="A22" s="341" t="s">
        <v>99</v>
      </c>
      <c r="B22" s="65" t="s">
        <v>21</v>
      </c>
      <c r="C22" s="271" t="s">
        <v>21</v>
      </c>
      <c r="D22" s="65">
        <v>125</v>
      </c>
      <c r="E22" s="65" t="s">
        <v>98</v>
      </c>
      <c r="F22" s="277" t="s">
        <v>54</v>
      </c>
      <c r="G22" s="28"/>
      <c r="H22" s="28"/>
      <c r="I22" s="29"/>
    </row>
    <row r="23" spans="1:9" ht="18" customHeight="1" x14ac:dyDescent="0.3">
      <c r="A23" s="341" t="s">
        <v>107</v>
      </c>
      <c r="B23" s="65" t="s">
        <v>21</v>
      </c>
      <c r="C23" s="271">
        <v>0.64</v>
      </c>
      <c r="D23" s="65" t="s">
        <v>21</v>
      </c>
      <c r="E23" s="65" t="s">
        <v>108</v>
      </c>
      <c r="F23" s="277" t="s">
        <v>54</v>
      </c>
      <c r="G23" s="28"/>
      <c r="H23" s="28"/>
      <c r="I23" s="29"/>
    </row>
    <row r="24" spans="1:9" ht="18" customHeight="1" x14ac:dyDescent="0.3">
      <c r="A24" s="341" t="s">
        <v>170</v>
      </c>
      <c r="B24" s="65" t="s">
        <v>21</v>
      </c>
      <c r="C24" s="271">
        <v>5</v>
      </c>
      <c r="D24" s="65" t="s">
        <v>21</v>
      </c>
      <c r="E24" s="65" t="s">
        <v>2</v>
      </c>
      <c r="F24" s="277" t="s">
        <v>54</v>
      </c>
      <c r="G24" s="28"/>
      <c r="H24" s="28"/>
      <c r="I24" s="29"/>
    </row>
    <row r="25" spans="1:9" ht="18" customHeight="1" x14ac:dyDescent="0.3">
      <c r="A25" s="341" t="s">
        <v>20</v>
      </c>
      <c r="B25" s="65" t="s">
        <v>21</v>
      </c>
      <c r="C25" s="271" t="s">
        <v>21</v>
      </c>
      <c r="D25" s="65">
        <v>5</v>
      </c>
      <c r="E25" s="65" t="s">
        <v>7</v>
      </c>
      <c r="F25" s="277" t="s">
        <v>54</v>
      </c>
      <c r="G25" s="28"/>
      <c r="H25" s="28"/>
      <c r="I25" s="29"/>
    </row>
    <row r="26" spans="1:9" ht="18" customHeight="1" x14ac:dyDescent="0.3">
      <c r="A26" s="341" t="s">
        <v>316</v>
      </c>
      <c r="B26" s="65" t="s">
        <v>21</v>
      </c>
      <c r="C26" s="271">
        <v>0.72</v>
      </c>
      <c r="D26" s="65" t="s">
        <v>21</v>
      </c>
      <c r="E26" s="65" t="s">
        <v>6</v>
      </c>
      <c r="F26" s="277" t="s">
        <v>318</v>
      </c>
      <c r="G26" s="28"/>
      <c r="H26" s="28"/>
      <c r="I26" s="29"/>
    </row>
    <row r="27" spans="1:9" ht="18" customHeight="1" x14ac:dyDescent="0.3">
      <c r="A27" s="341" t="s">
        <v>317</v>
      </c>
      <c r="B27" s="65" t="s">
        <v>21</v>
      </c>
      <c r="C27" s="271">
        <v>0.72</v>
      </c>
      <c r="D27" s="65" t="s">
        <v>21</v>
      </c>
      <c r="E27" s="65" t="s">
        <v>6</v>
      </c>
      <c r="F27" s="277" t="s">
        <v>318</v>
      </c>
      <c r="G27" s="28"/>
      <c r="H27" s="28"/>
      <c r="I27" s="29"/>
    </row>
    <row r="28" spans="1:9" ht="18" customHeight="1" x14ac:dyDescent="0.3">
      <c r="A28" s="267" t="s">
        <v>37</v>
      </c>
      <c r="B28" s="65" t="s">
        <v>21</v>
      </c>
      <c r="C28" s="271">
        <v>20</v>
      </c>
      <c r="D28" s="65" t="s">
        <v>21</v>
      </c>
      <c r="E28" s="271" t="s">
        <v>110</v>
      </c>
      <c r="F28" s="277" t="s">
        <v>55</v>
      </c>
      <c r="G28" s="28"/>
      <c r="H28" s="28"/>
      <c r="I28" s="29"/>
    </row>
    <row r="29" spans="1:9" ht="18" customHeight="1" x14ac:dyDescent="0.3">
      <c r="A29" s="267" t="s">
        <v>58</v>
      </c>
      <c r="B29" s="65" t="s">
        <v>21</v>
      </c>
      <c r="C29" s="271">
        <v>330</v>
      </c>
      <c r="D29" s="65" t="s">
        <v>21</v>
      </c>
      <c r="E29" s="271" t="s">
        <v>18</v>
      </c>
      <c r="F29" s="277" t="s">
        <v>55</v>
      </c>
      <c r="G29" s="28"/>
      <c r="H29" s="28"/>
      <c r="I29" s="29"/>
    </row>
    <row r="30" spans="1:9" ht="18" customHeight="1" x14ac:dyDescent="0.3">
      <c r="A30" s="341">
        <v>5</v>
      </c>
      <c r="B30" s="65">
        <v>4.8</v>
      </c>
      <c r="C30" s="271" t="s">
        <v>21</v>
      </c>
      <c r="D30" s="65" t="s">
        <v>21</v>
      </c>
      <c r="E30" s="65" t="s">
        <v>11</v>
      </c>
      <c r="F30" s="277" t="s">
        <v>305</v>
      </c>
      <c r="G30" s="28"/>
      <c r="H30" s="28"/>
      <c r="I30" s="29"/>
    </row>
    <row r="31" spans="1:9" ht="18" customHeight="1" x14ac:dyDescent="0.3">
      <c r="A31" s="341">
        <v>99</v>
      </c>
      <c r="B31" s="65">
        <v>3</v>
      </c>
      <c r="C31" s="271">
        <v>4.0999999999999996</v>
      </c>
      <c r="D31" s="65">
        <v>5.0999999999999996</v>
      </c>
      <c r="E31" s="65" t="s">
        <v>11</v>
      </c>
      <c r="F31" s="277" t="s">
        <v>319</v>
      </c>
      <c r="G31" s="28"/>
      <c r="H31" s="28"/>
      <c r="I31" s="29"/>
    </row>
    <row r="32" spans="1:9" ht="18" customHeight="1" thickBot="1" x14ac:dyDescent="0.35">
      <c r="A32" s="70" t="s">
        <v>215</v>
      </c>
      <c r="B32" s="71"/>
      <c r="C32" s="275">
        <v>0.39300000000000002</v>
      </c>
      <c r="D32" s="71" t="s">
        <v>21</v>
      </c>
      <c r="E32" s="276" t="s">
        <v>216</v>
      </c>
      <c r="F32" s="278" t="s">
        <v>223</v>
      </c>
      <c r="G32" s="34"/>
      <c r="H32" s="34"/>
      <c r="I32" s="35"/>
    </row>
    <row r="33" spans="1:17" ht="15" thickBot="1" x14ac:dyDescent="0.35"/>
    <row r="34" spans="1:17" s="12" customFormat="1" ht="18" customHeight="1" x14ac:dyDescent="0.3">
      <c r="A34" s="434" t="s">
        <v>125</v>
      </c>
      <c r="B34" s="435"/>
      <c r="C34" s="435"/>
      <c r="D34" s="435"/>
      <c r="E34" s="435"/>
      <c r="F34" s="435"/>
      <c r="G34" s="436"/>
    </row>
    <row r="35" spans="1:17" x14ac:dyDescent="0.3">
      <c r="A35" s="27" t="s">
        <v>112</v>
      </c>
      <c r="B35" s="31">
        <v>3.3</v>
      </c>
      <c r="C35" s="31" t="s">
        <v>2</v>
      </c>
      <c r="D35" s="36" t="s">
        <v>126</v>
      </c>
      <c r="E35" s="31"/>
      <c r="F35" s="28"/>
      <c r="G35" s="29"/>
    </row>
    <row r="36" spans="1:17" ht="15.6" x14ac:dyDescent="0.35">
      <c r="A36" s="27" t="s">
        <v>152</v>
      </c>
      <c r="B36" s="31">
        <v>2</v>
      </c>
      <c r="C36" s="31" t="s">
        <v>11</v>
      </c>
      <c r="D36" s="36" t="s">
        <v>153</v>
      </c>
      <c r="E36" s="31"/>
      <c r="F36" s="28"/>
      <c r="G36" s="29"/>
      <c r="Q36" s="155"/>
    </row>
    <row r="37" spans="1:17" x14ac:dyDescent="0.3">
      <c r="A37" s="27" t="s">
        <v>117</v>
      </c>
      <c r="B37" s="31">
        <v>1.1000000000000001</v>
      </c>
      <c r="C37" s="31" t="s">
        <v>11</v>
      </c>
      <c r="D37" s="36" t="s">
        <v>146</v>
      </c>
      <c r="E37" s="31"/>
      <c r="F37" s="28"/>
      <c r="G37" s="29"/>
    </row>
    <row r="38" spans="1:17" ht="15.6" x14ac:dyDescent="0.35">
      <c r="A38" s="27" t="s">
        <v>154</v>
      </c>
      <c r="B38" s="89">
        <f>100*B37/B36</f>
        <v>55.000000000000007</v>
      </c>
      <c r="C38" s="31" t="s">
        <v>23</v>
      </c>
      <c r="D38" s="36" t="s">
        <v>157</v>
      </c>
      <c r="E38" s="31"/>
      <c r="F38" s="28"/>
      <c r="G38" s="29"/>
    </row>
    <row r="39" spans="1:17" x14ac:dyDescent="0.3">
      <c r="A39" s="27" t="s">
        <v>113</v>
      </c>
      <c r="B39" s="31">
        <v>1</v>
      </c>
      <c r="C39" s="30" t="s">
        <v>21</v>
      </c>
      <c r="D39" s="36" t="s">
        <v>158</v>
      </c>
      <c r="E39" s="31"/>
      <c r="F39" s="28"/>
      <c r="G39" s="29"/>
    </row>
    <row r="40" spans="1:17" ht="15.6" x14ac:dyDescent="0.35">
      <c r="A40" s="27" t="s">
        <v>128</v>
      </c>
      <c r="B40" s="31">
        <v>2</v>
      </c>
      <c r="C40" s="31" t="s">
        <v>14</v>
      </c>
      <c r="D40" s="36" t="s">
        <v>129</v>
      </c>
      <c r="E40" s="31"/>
      <c r="F40" s="28"/>
      <c r="G40" s="29"/>
    </row>
    <row r="41" spans="1:17" x14ac:dyDescent="0.3">
      <c r="A41" s="27" t="s">
        <v>118</v>
      </c>
      <c r="B41" s="31">
        <v>128</v>
      </c>
      <c r="C41" s="31" t="s">
        <v>18</v>
      </c>
      <c r="D41" s="36" t="s">
        <v>274</v>
      </c>
      <c r="E41" s="31"/>
      <c r="F41" s="28"/>
      <c r="G41" s="29"/>
    </row>
    <row r="42" spans="1:17" x14ac:dyDescent="0.3">
      <c r="A42" s="27" t="s">
        <v>114</v>
      </c>
      <c r="B42" s="31">
        <v>10</v>
      </c>
      <c r="C42" s="31" t="s">
        <v>23</v>
      </c>
      <c r="D42" s="36" t="s">
        <v>127</v>
      </c>
      <c r="E42" s="31"/>
      <c r="F42" s="28"/>
      <c r="G42" s="29"/>
    </row>
    <row r="43" spans="1:17" x14ac:dyDescent="0.3">
      <c r="A43" s="27" t="s">
        <v>25</v>
      </c>
      <c r="B43" s="89">
        <v>6</v>
      </c>
      <c r="C43" s="31" t="s">
        <v>115</v>
      </c>
      <c r="D43" s="36" t="s">
        <v>119</v>
      </c>
      <c r="E43" s="31"/>
      <c r="F43" s="28"/>
      <c r="G43" s="29"/>
    </row>
    <row r="44" spans="1:17" x14ac:dyDescent="0.3">
      <c r="A44" s="27" t="s">
        <v>26</v>
      </c>
      <c r="B44" s="31">
        <v>1.8</v>
      </c>
      <c r="C44" s="31" t="s">
        <v>27</v>
      </c>
      <c r="D44" s="36" t="s">
        <v>119</v>
      </c>
      <c r="E44" s="31"/>
      <c r="F44" s="28"/>
      <c r="G44" s="29"/>
    </row>
    <row r="45" spans="1:17" x14ac:dyDescent="0.3">
      <c r="A45" s="27" t="s">
        <v>122</v>
      </c>
      <c r="B45" s="89">
        <v>0.8</v>
      </c>
      <c r="C45" s="32">
        <v>9.9600000000000009</v>
      </c>
      <c r="D45" s="30" t="s">
        <v>160</v>
      </c>
      <c r="E45" s="36" t="s">
        <v>120</v>
      </c>
      <c r="F45" s="28"/>
      <c r="G45" s="29"/>
    </row>
    <row r="46" spans="1:17" x14ac:dyDescent="0.3">
      <c r="A46" s="27" t="s">
        <v>122</v>
      </c>
      <c r="B46" s="89">
        <v>2</v>
      </c>
      <c r="C46" s="32">
        <v>9.8000000000000007</v>
      </c>
      <c r="D46" s="30" t="s">
        <v>160</v>
      </c>
      <c r="E46" s="36" t="s">
        <v>120</v>
      </c>
      <c r="F46" s="28"/>
      <c r="G46" s="29"/>
    </row>
    <row r="47" spans="1:17" x14ac:dyDescent="0.3">
      <c r="A47" s="27" t="s">
        <v>122</v>
      </c>
      <c r="B47" s="89">
        <v>3.3</v>
      </c>
      <c r="C47" s="32">
        <v>9.5</v>
      </c>
      <c r="D47" s="30" t="s">
        <v>160</v>
      </c>
      <c r="E47" s="36" t="s">
        <v>120</v>
      </c>
      <c r="F47" s="28"/>
      <c r="G47" s="29"/>
    </row>
    <row r="48" spans="1:17" x14ac:dyDescent="0.3">
      <c r="A48" s="27" t="s">
        <v>122</v>
      </c>
      <c r="B48" s="89">
        <v>5</v>
      </c>
      <c r="C48" s="32">
        <v>8.85</v>
      </c>
      <c r="D48" s="30" t="s">
        <v>160</v>
      </c>
      <c r="E48" s="36" t="s">
        <v>120</v>
      </c>
      <c r="F48" s="28"/>
      <c r="G48" s="29"/>
    </row>
    <row r="49" spans="1:12" x14ac:dyDescent="0.3">
      <c r="A49" s="27" t="s">
        <v>122</v>
      </c>
      <c r="B49" s="89">
        <v>8</v>
      </c>
      <c r="C49" s="32">
        <v>7.48</v>
      </c>
      <c r="D49" s="30" t="s">
        <v>160</v>
      </c>
      <c r="E49" s="36" t="s">
        <v>120</v>
      </c>
      <c r="F49" s="28"/>
      <c r="G49" s="29"/>
    </row>
    <row r="50" spans="1:12" ht="16.2" x14ac:dyDescent="0.3">
      <c r="A50" s="64" t="s">
        <v>123</v>
      </c>
      <c r="B50" s="65" t="s">
        <v>21</v>
      </c>
      <c r="C50" s="66">
        <v>3.3999999999999998E-3</v>
      </c>
      <c r="D50" s="65" t="s">
        <v>161</v>
      </c>
      <c r="E50" s="67" t="s">
        <v>143</v>
      </c>
      <c r="F50" s="68"/>
      <c r="G50" s="69"/>
    </row>
    <row r="51" spans="1:12" ht="16.2" x14ac:dyDescent="0.3">
      <c r="A51" s="64" t="s">
        <v>123</v>
      </c>
      <c r="B51" s="65" t="s">
        <v>21</v>
      </c>
      <c r="C51" s="66">
        <v>-7.4300000000000005E-2</v>
      </c>
      <c r="D51" s="65" t="s">
        <v>163</v>
      </c>
      <c r="E51" s="67" t="s">
        <v>144</v>
      </c>
      <c r="F51" s="68"/>
      <c r="G51" s="69"/>
    </row>
    <row r="52" spans="1:12" x14ac:dyDescent="0.3">
      <c r="A52" s="64" t="s">
        <v>123</v>
      </c>
      <c r="B52" s="65" t="s">
        <v>21</v>
      </c>
      <c r="C52" s="66">
        <v>6.83E-2</v>
      </c>
      <c r="D52" s="65" t="s">
        <v>162</v>
      </c>
      <c r="E52" s="67" t="s">
        <v>145</v>
      </c>
      <c r="F52" s="68"/>
      <c r="G52" s="69"/>
    </row>
    <row r="53" spans="1:12" ht="15" thickBot="1" x14ac:dyDescent="0.35">
      <c r="A53" s="70" t="s">
        <v>123</v>
      </c>
      <c r="B53" s="71" t="s">
        <v>21</v>
      </c>
      <c r="C53" s="72">
        <v>9.9469999999999992</v>
      </c>
      <c r="D53" s="71" t="s">
        <v>116</v>
      </c>
      <c r="E53" s="73" t="s">
        <v>164</v>
      </c>
      <c r="F53" s="74"/>
      <c r="G53" s="75"/>
    </row>
    <row r="54" spans="1:12" ht="15" thickBot="1" x14ac:dyDescent="0.35"/>
    <row r="55" spans="1:12" ht="18" customHeight="1" x14ac:dyDescent="0.35">
      <c r="A55" s="433" t="s">
        <v>294</v>
      </c>
      <c r="B55" s="431"/>
      <c r="C55" s="432"/>
      <c r="F55" s="280" t="s">
        <v>297</v>
      </c>
    </row>
    <row r="56" spans="1:12" ht="15.6" x14ac:dyDescent="0.3">
      <c r="A56" s="264" t="s">
        <v>277</v>
      </c>
      <c r="B56" s="31">
        <v>15</v>
      </c>
      <c r="C56" s="265" t="s">
        <v>16</v>
      </c>
      <c r="F56" s="279" t="s">
        <v>298</v>
      </c>
      <c r="G56" s="282">
        <f ca="1">FORECAST((IF(ISBLANK(Design!B31),Design!B30,Design!B31)), OFFSET(B14:B16,MATCH((IF(ISBLANK(Design!B31),Design!B30,Design!B31)),G14:G16,1)-1,0,2), OFFSET(G14:G16,MATCH((IF(ISBLANK(Design!B31),Design!B30,Design!B31)),G14:G16,1)-1,0,2))</f>
        <v>1.9117241379310346</v>
      </c>
      <c r="H56" s="282">
        <f ca="1">FORECAST((IF(ISBLANK(Design!B31),Design!B30,Design!B31)), OFFSET(C14:C16,MATCH((IF(ISBLANK(Design!B31),Design!B30,Design!B31)),G14:G16,1)-1,0,2), OFFSET(G14:G16,MATCH((IF(ISBLANK(Design!B31),Design!B30,Design!B31)),G14:G16,1)-1,0,2))</f>
        <v>2.7448275862068963</v>
      </c>
      <c r="I56" s="282">
        <f ca="1">FORECAST((IF(ISBLANK(Design!B31),Design!B30,Design!B31)), OFFSET(D14:D16,MATCH((IF(ISBLANK(Design!B31),Design!B30,Design!B31)),G14:G16,1)-1,0,2), OFFSET(G14:G16,MATCH((IF(ISBLANK(Design!B31),Design!B30,Design!B31)),G14:G16,1)-1,0,2))</f>
        <v>3.5806896551724137</v>
      </c>
      <c r="J56" s="281" t="s">
        <v>300</v>
      </c>
      <c r="L56" s="155"/>
    </row>
    <row r="57" spans="1:12" ht="15" thickBot="1" x14ac:dyDescent="0.35">
      <c r="A57" s="147" t="s">
        <v>278</v>
      </c>
      <c r="B57" s="33">
        <v>25</v>
      </c>
      <c r="C57" s="266" t="s">
        <v>16</v>
      </c>
      <c r="G57" s="1"/>
    </row>
  </sheetData>
  <sheetProtection algorithmName="SHA-512" hashValue="/eWsSIJsql7/pZ1GuXLAx8ntML3HFFG423sr0pIljUAYCLUG3pj3HKxaAOZaDkeniNUTBwxeSo+T6yZpVoxt4A==" saltValue="DI0//dbBZ/oFFqnDQR2p4g==" spinCount="100000" sheet="1" objects="1" scenarios="1"/>
  <mergeCells count="6">
    <mergeCell ref="F2:I2"/>
    <mergeCell ref="A1:I1"/>
    <mergeCell ref="A55:C55"/>
    <mergeCell ref="A34:G34"/>
    <mergeCell ref="E14:E16"/>
    <mergeCell ref="A14:A16"/>
  </mergeCells>
  <pageMargins left="0.7" right="0.7" top="0.75" bottom="0.75" header="0.3" footer="0.3"/>
  <ignoredErrors>
    <ignoredError sqref="G56:I5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</vt:lpstr>
      <vt:lpstr>Snubber</vt:lpstr>
      <vt:lpstr>Efficiency</vt:lpstr>
      <vt:lpstr>Dropout</vt:lpstr>
      <vt:lpstr>Constants</vt:lpstr>
      <vt:lpstr>Design!Print_Area</vt:lpstr>
      <vt:lpstr>Snubber!Print_Area</vt:lpstr>
    </vt:vector>
  </TitlesOfParts>
  <Company>Allegro MicroSystems,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Reicher</dc:creator>
  <cp:lastModifiedBy>Eric J Reicher</cp:lastModifiedBy>
  <cp:lastPrinted>2014-07-10T13:04:24Z</cp:lastPrinted>
  <dcterms:created xsi:type="dcterms:W3CDTF">2012-01-10T15:56:57Z</dcterms:created>
  <dcterms:modified xsi:type="dcterms:W3CDTF">2018-09-04T17:50:47Z</dcterms:modified>
</cp:coreProperties>
</file>