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45" yWindow="65296" windowWidth="18060" windowHeight="9855" activeTab="0"/>
  </bookViews>
  <sheets>
    <sheet name="Boost" sheetId="1" r:id="rId1"/>
    <sheet name="SEPIC" sheetId="2" r:id="rId2"/>
  </sheets>
  <definedNames>
    <definedName name="_xlnm.Print_Area" localSheetId="0">'Boost'!$A$1:$F$173</definedName>
  </definedNames>
  <calcPr fullCalcOnLoad="1"/>
</workbook>
</file>

<file path=xl/comments1.xml><?xml version="1.0" encoding="utf-8"?>
<comments xmlns="http://schemas.openxmlformats.org/spreadsheetml/2006/main">
  <authors>
    <author>fwang</author>
  </authors>
  <commentList>
    <comment ref="D68" authorId="0">
      <text>
        <r>
          <rPr>
            <sz val="9"/>
            <rFont val="Tahoma"/>
            <family val="2"/>
          </rPr>
          <t>If the minimum required slope is greater than the calculated slope compensation, the inductor value must be increased.</t>
        </r>
      </text>
    </comment>
    <comment ref="D72" authorId="0">
      <text>
        <r>
          <rPr>
            <sz val="9"/>
            <rFont val="Tahoma"/>
            <family val="2"/>
          </rPr>
          <t>Capacitor larger than 3.96 μF should be selected due to degradation of capacitance</t>
        </r>
      </text>
    </comment>
    <comment ref="D98" authorId="0">
      <text>
        <r>
          <rPr>
            <sz val="9"/>
            <rFont val="Tahoma"/>
            <family val="2"/>
          </rPr>
          <t xml:space="preserve">Input Voltage for thermal calculation. Usually low input results in high conduction loss and high input results in high switching loss.
</t>
        </r>
      </text>
    </comment>
    <comment ref="D100" authorId="0">
      <text>
        <r>
          <rPr>
            <sz val="9"/>
            <rFont val="Tahoma"/>
            <family val="2"/>
          </rPr>
          <t>R_DS(on) increases at higher temperature. k*R_DS(on), where k&gt;1, represents actual swith on resistance. Typically, k=1.5 at 125°C</t>
        </r>
      </text>
    </comment>
  </commentList>
</comments>
</file>

<file path=xl/comments2.xml><?xml version="1.0" encoding="utf-8"?>
<comments xmlns="http://schemas.openxmlformats.org/spreadsheetml/2006/main">
  <authors>
    <author>fwang</author>
  </authors>
  <commentList>
    <comment ref="D70" authorId="0">
      <text>
        <r>
          <rPr>
            <sz val="9"/>
            <rFont val="Tahoma"/>
            <family val="2"/>
          </rPr>
          <t>Capacitor larger than 3.96 μF should be selected due to degradation of capacitance</t>
        </r>
      </text>
    </comment>
    <comment ref="D89" authorId="0">
      <text>
        <r>
          <rPr>
            <sz val="9"/>
            <rFont val="Tahoma"/>
            <family val="2"/>
          </rPr>
          <t>R_DS(on) increases at higher temperature. k*R_DS(on), where k&gt;1, represents actual swith on resistance. Typically, k=1.5 at 125°C</t>
        </r>
      </text>
    </comment>
    <comment ref="D87" authorId="0">
      <text>
        <r>
          <rPr>
            <sz val="9"/>
            <rFont val="Tahoma"/>
            <family val="2"/>
          </rPr>
          <t xml:space="preserve">Input Voltage for thermal calculation. Usually low input results in high conduction loss and high input results in high switching loss.
</t>
        </r>
      </text>
    </comment>
    <comment ref="D64" authorId="0">
      <text>
        <r>
          <rPr>
            <sz val="9"/>
            <rFont val="Tahoma"/>
            <family val="2"/>
          </rPr>
          <t>If the minimum required slope is greater than the calculated slope compensation, the inductor value must be increased.</t>
        </r>
      </text>
    </comment>
  </commentList>
</comments>
</file>

<file path=xl/sharedStrings.xml><?xml version="1.0" encoding="utf-8"?>
<sst xmlns="http://schemas.openxmlformats.org/spreadsheetml/2006/main" count="459" uniqueCount="184">
  <si>
    <t>Notes:</t>
  </si>
  <si>
    <r>
      <t xml:space="preserve">1. Enter system data into </t>
    </r>
    <r>
      <rPr>
        <sz val="10"/>
        <color indexed="23"/>
        <rFont val="Arial"/>
        <family val="2"/>
      </rPr>
      <t>grey cells</t>
    </r>
    <r>
      <rPr>
        <sz val="10"/>
        <rFont val="Arial"/>
        <family val="2"/>
      </rPr>
      <t>.</t>
    </r>
  </si>
  <si>
    <r>
      <t xml:space="preserve">2. After component values are calculated, then enter preferred values into </t>
    </r>
    <r>
      <rPr>
        <sz val="10"/>
        <color indexed="30"/>
        <rFont val="Arial"/>
        <family val="2"/>
      </rPr>
      <t>blue cells</t>
    </r>
    <r>
      <rPr>
        <sz val="10"/>
        <rFont val="Arial"/>
        <family val="2"/>
      </rPr>
      <t>.</t>
    </r>
  </si>
  <si>
    <r>
      <t>3. A performance summary is then generated (</t>
    </r>
    <r>
      <rPr>
        <sz val="10"/>
        <color indexed="17"/>
        <rFont val="Arial"/>
        <family val="2"/>
      </rPr>
      <t>green cells</t>
    </r>
    <r>
      <rPr>
        <sz val="10"/>
        <rFont val="Arial"/>
        <family val="2"/>
      </rPr>
      <t>).</t>
    </r>
  </si>
  <si>
    <r>
      <t xml:space="preserve">4. Warning messages, if any, are listed below in </t>
    </r>
    <r>
      <rPr>
        <sz val="10"/>
        <color indexed="10"/>
        <rFont val="Arial"/>
        <family val="2"/>
      </rPr>
      <t>Red</t>
    </r>
  </si>
  <si>
    <t>Description</t>
  </si>
  <si>
    <t>Enter</t>
  </si>
  <si>
    <t>Unit</t>
  </si>
  <si>
    <t>Remark</t>
  </si>
  <si>
    <t>V</t>
  </si>
  <si>
    <t>Number of LEDs in output string</t>
  </si>
  <si>
    <t>N</t>
  </si>
  <si>
    <t>Forward voltage of each LED</t>
  </si>
  <si>
    <t>LED current required</t>
  </si>
  <si>
    <t>A</t>
  </si>
  <si>
    <t>%</t>
  </si>
  <si>
    <r>
      <t>A</t>
    </r>
    <r>
      <rPr>
        <sz val="8"/>
        <rFont val="Arial"/>
        <family val="2"/>
      </rPr>
      <t>pk-pk</t>
    </r>
  </si>
  <si>
    <t>Forward voltage drop of schottky diode</t>
  </si>
  <si>
    <t>mV</t>
  </si>
  <si>
    <t>Vd</t>
  </si>
  <si>
    <t>Ohm</t>
  </si>
  <si>
    <t>MHz</t>
  </si>
  <si>
    <t>kOhm</t>
  </si>
  <si>
    <t>Enter preferred resistor value</t>
  </si>
  <si>
    <t>uH</t>
  </si>
  <si>
    <t>Performance summary with preferred values</t>
  </si>
  <si>
    <t>V_ISET</t>
  </si>
  <si>
    <t>A_ISET</t>
  </si>
  <si>
    <t>R_ISET</t>
  </si>
  <si>
    <t>mA</t>
  </si>
  <si>
    <t>Calculated ISET resistor</t>
  </si>
  <si>
    <t>Vin(min)</t>
  </si>
  <si>
    <t>LED regulation voltage</t>
  </si>
  <si>
    <t>V_LED</t>
  </si>
  <si>
    <t>V_OVP(th)</t>
  </si>
  <si>
    <t>OVP threshold voltage</t>
  </si>
  <si>
    <t>OVP sense current</t>
  </si>
  <si>
    <t>I_OVP(th)</t>
  </si>
  <si>
    <t>R_OVP</t>
  </si>
  <si>
    <t>t_SWOFFTIME</t>
  </si>
  <si>
    <t>ns</t>
  </si>
  <si>
    <t>Theoretical max duty cycle</t>
  </si>
  <si>
    <t>Vout_OVP</t>
  </si>
  <si>
    <t>Min input supply voltage</t>
  </si>
  <si>
    <t>Number of channels</t>
  </si>
  <si>
    <t>M</t>
  </si>
  <si>
    <t>η</t>
  </si>
  <si>
    <t>Efficiency</t>
  </si>
  <si>
    <t>Max input supply voltage</t>
  </si>
  <si>
    <t>Vin(max)</t>
  </si>
  <si>
    <t>Ripple current as % of max input current</t>
  </si>
  <si>
    <t>Calculated inductor value</t>
  </si>
  <si>
    <t>Enter preferred inductor value</t>
  </si>
  <si>
    <t>Inductor current rating</t>
  </si>
  <si>
    <t>IL(min)</t>
  </si>
  <si>
    <t>PWM dimming frequency</t>
  </si>
  <si>
    <t>Min PWM dimming duty cycle</t>
  </si>
  <si>
    <t>Minimum required slope</t>
  </si>
  <si>
    <t xml:space="preserve">Calculated ripple current </t>
  </si>
  <si>
    <t xml:space="preserve">Actual ripple current </t>
  </si>
  <si>
    <t>Slope compensation</t>
  </si>
  <si>
    <t>A/us</t>
  </si>
  <si>
    <t>OVP leakage current</t>
  </si>
  <si>
    <t>f_PWM(dimming)</t>
  </si>
  <si>
    <t>I_LK</t>
  </si>
  <si>
    <t>D(min)</t>
  </si>
  <si>
    <t>V_Cout</t>
  </si>
  <si>
    <t>Voltage variation on the output</t>
  </si>
  <si>
    <t>Hz</t>
  </si>
  <si>
    <t>uA</t>
  </si>
  <si>
    <t>uF</t>
  </si>
  <si>
    <t>Cout</t>
  </si>
  <si>
    <t>Current rating of output capacitor</t>
  </si>
  <si>
    <t>Min output capacitor</t>
  </si>
  <si>
    <t>Min input capacitor</t>
  </si>
  <si>
    <t>Cin</t>
  </si>
  <si>
    <t>Current rating of input capacitor</t>
  </si>
  <si>
    <t>V_SENSEtrip</t>
  </si>
  <si>
    <t>I_ADJ(typ)</t>
  </si>
  <si>
    <t>R_ADJ</t>
  </si>
  <si>
    <t>Calculated OVP sense resistor value</t>
  </si>
  <si>
    <t>Enter preferred OVP sense resistor value</t>
  </si>
  <si>
    <t>Enter preferred ISET resistor value</t>
  </si>
  <si>
    <t>ISET pin voltage</t>
  </si>
  <si>
    <t>A/A</t>
  </si>
  <si>
    <t>Min switch off-time</t>
  </si>
  <si>
    <t>Vf</t>
  </si>
  <si>
    <t>Actual LED current</t>
  </si>
  <si>
    <t>Inductor ripple current as % of average input current</t>
  </si>
  <si>
    <t>typically 0.4 - 0.7V</t>
  </si>
  <si>
    <t xml:space="preserve">A8514 External Component Value Calculator </t>
  </si>
  <si>
    <t>Refer to the efficiency curves</t>
  </si>
  <si>
    <t>Thermal resistance</t>
  </si>
  <si>
    <t>R_θJA</t>
  </si>
  <si>
    <t>°C/W</t>
  </si>
  <si>
    <t xml:space="preserve">On 4-layer PCB based on JEDEC standard. </t>
  </si>
  <si>
    <t>SW on reisitance at room temperature</t>
  </si>
  <si>
    <t>R_DS(on)</t>
  </si>
  <si>
    <t>k</t>
  </si>
  <si>
    <t>SW rise time</t>
  </si>
  <si>
    <t>t_r</t>
  </si>
  <si>
    <t>SW fall time</t>
  </si>
  <si>
    <t>t_f</t>
  </si>
  <si>
    <t>Conduction losses</t>
  </si>
  <si>
    <t>P_COND</t>
  </si>
  <si>
    <t>W</t>
  </si>
  <si>
    <t>Switching losses</t>
  </si>
  <si>
    <t>P_SW</t>
  </si>
  <si>
    <t>Power loss from LED current sink</t>
  </si>
  <si>
    <t>P_SINK</t>
  </si>
  <si>
    <t>IC power dissipation</t>
  </si>
  <si>
    <t>Temperature rise</t>
  </si>
  <si>
    <t>°C</t>
  </si>
  <si>
    <t>VSENSE trip point</t>
  </si>
  <si>
    <t>Actual max duty cycle</t>
  </si>
  <si>
    <t>VSENSE pin sink current</t>
  </si>
  <si>
    <t>SEPIC Configuration</t>
  </si>
  <si>
    <t>ISET to ILEDx Current Gain</t>
  </si>
  <si>
    <t xml:space="preserve">Output diode reverse breakdown voltage rating  </t>
  </si>
  <si>
    <t>V_BD</t>
  </si>
  <si>
    <t>Peak current through the diode</t>
  </si>
  <si>
    <t>Idp</t>
  </si>
  <si>
    <t>Max voltage ripple allowed across Csw</t>
  </si>
  <si>
    <t>Coupling capacitor</t>
  </si>
  <si>
    <t>RMS current requirement for coupling capacitor</t>
  </si>
  <si>
    <t>Voltage imbalance for LED strings</t>
  </si>
  <si>
    <t>A8514 External Component Value Calculator</t>
  </si>
  <si>
    <t>ΔIin'</t>
  </si>
  <si>
    <t>ΔIin</t>
  </si>
  <si>
    <t>ΔV_LED</t>
  </si>
  <si>
    <t>Component Calculation</t>
  </si>
  <si>
    <t>Thermal Calculation</t>
  </si>
  <si>
    <t>Input voltage</t>
  </si>
  <si>
    <t>Vin</t>
  </si>
  <si>
    <t>Input current</t>
  </si>
  <si>
    <t>Iin</t>
  </si>
  <si>
    <t>Duty cycle</t>
  </si>
  <si>
    <t>D</t>
  </si>
  <si>
    <t xml:space="preserve">Note: Thermal analysis is done with no PWM dimming. </t>
  </si>
  <si>
    <t>Voltage drop difference between strings</t>
  </si>
  <si>
    <t>The schematic diagram showing boost configuration</t>
  </si>
  <si>
    <t>The schematic diagram showing SEPIC configuration</t>
  </si>
  <si>
    <t>f_SW</t>
  </si>
  <si>
    <t>Calculated minimum OVP trip level</t>
  </si>
  <si>
    <t>Actual minimum OVP trip level</t>
  </si>
  <si>
    <t>L1</t>
  </si>
  <si>
    <t xml:space="preserve">L2 = L1 </t>
  </si>
  <si>
    <t>L1'</t>
  </si>
  <si>
    <t>T_RISE</t>
  </si>
  <si>
    <t>Make sure T_RISE &lt; 150-85 =65°C</t>
  </si>
  <si>
    <t>P_TOT</t>
  </si>
  <si>
    <t>P_TOT=P_COND+P_SW+P_SINK</t>
  </si>
  <si>
    <t>R_SC</t>
  </si>
  <si>
    <t>C_SW</t>
  </si>
  <si>
    <t>I_CSW(rms)</t>
  </si>
  <si>
    <t>Icin(rms)</t>
  </si>
  <si>
    <t>Iin(max)</t>
  </si>
  <si>
    <t>Iin(min)</t>
  </si>
  <si>
    <t>Make sure 1/2*ΔIin'&lt;Iin(min)</t>
  </si>
  <si>
    <t xml:space="preserve">Make sure Vout(max)' &gt; Vout_OVP </t>
  </si>
  <si>
    <t>Refer to the efficiency curves. Usually 90% is a good estimate</t>
  </si>
  <si>
    <t>D(max)</t>
  </si>
  <si>
    <t>Vout(max)'</t>
  </si>
  <si>
    <t>D(max)'</t>
  </si>
  <si>
    <t>I_LED</t>
  </si>
  <si>
    <t>Icout(rms)</t>
  </si>
  <si>
    <t>ΔV_CSW</t>
  </si>
  <si>
    <t>typically 10-40% of Iin(max)</t>
  </si>
  <si>
    <t>I_LED'</t>
  </si>
  <si>
    <t>Make sure 1/2*Δlin'&lt;Iin(min)</t>
  </si>
  <si>
    <t>SW on reisitance increase coefficient at hot</t>
  </si>
  <si>
    <t>Calculated max valude of disconnect switch sense resistor R_SC</t>
  </si>
  <si>
    <t>Calculated disconnect switch sense resistor R_ADJ</t>
  </si>
  <si>
    <t>Enter preferred R_ADJ value</t>
  </si>
  <si>
    <t>Theoretical max output voltage at min Vin</t>
  </si>
  <si>
    <t>Max input current at min Vin</t>
  </si>
  <si>
    <t>Min input current at max Vin</t>
  </si>
  <si>
    <t>Last updated March 21, 2012</t>
  </si>
  <si>
    <t>Switching frequency required</t>
  </si>
  <si>
    <t xml:space="preserve">Calculated R_FSET value </t>
  </si>
  <si>
    <t>Enter preferred R_FSET value</t>
  </si>
  <si>
    <t>Actual switching frequency</t>
  </si>
  <si>
    <t>R_FSET</t>
  </si>
  <si>
    <t>f_SW'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</si>
</sst>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0.0"/>
    <numFmt numFmtId="173" formatCode="0.0%"/>
    <numFmt numFmtId="174" formatCode="0.000"/>
    <numFmt numFmtId="175" formatCode="_-&quot;£&quot;* #,##0.00_-;\-&quot;£&quot;* #,##0.00_-;_-&quot;£&quot;* &quot;-&quot;??_-;_-@_-"/>
    <numFmt numFmtId="176" formatCode="yyyy&quot;年&quot;m&quot;月&quot;d&quot;日&quot;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33" fillId="0" borderId="0" xfId="56">
      <alignment/>
      <protection/>
    </xf>
    <xf numFmtId="0" fontId="33" fillId="0" borderId="0" xfId="56">
      <alignment/>
      <protection/>
    </xf>
    <xf numFmtId="0" fontId="33" fillId="0" borderId="0" xfId="56">
      <alignment/>
      <protection/>
    </xf>
    <xf numFmtId="0" fontId="33" fillId="0" borderId="0" xfId="56">
      <alignment/>
      <protection/>
    </xf>
    <xf numFmtId="0" fontId="33" fillId="0" borderId="0" xfId="56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3" fillId="0" borderId="12" xfId="56" applyBorder="1">
      <alignment/>
      <protection/>
    </xf>
    <xf numFmtId="0" fontId="33" fillId="0" borderId="0" xfId="56" applyBorder="1">
      <alignment/>
      <protection/>
    </xf>
    <xf numFmtId="0" fontId="33" fillId="0" borderId="12" xfId="56" applyBorder="1">
      <alignment/>
      <protection/>
    </xf>
    <xf numFmtId="0" fontId="33" fillId="0" borderId="0" xfId="56" applyBorder="1">
      <alignment/>
      <protection/>
    </xf>
    <xf numFmtId="0" fontId="33" fillId="0" borderId="13" xfId="56" applyBorder="1">
      <alignment/>
      <protection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2" fontId="3" fillId="33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2" xfId="0" applyBorder="1" applyAlignment="1">
      <alignment horizontal="left"/>
    </xf>
    <xf numFmtId="174" fontId="0" fillId="0" borderId="0" xfId="0" applyNumberFormat="1" applyFill="1" applyBorder="1" applyAlignment="1">
      <alignment/>
    </xf>
    <xf numFmtId="0" fontId="9" fillId="0" borderId="12" xfId="0" applyFont="1" applyBorder="1" applyAlignment="1">
      <alignment/>
    </xf>
    <xf numFmtId="172" fontId="10" fillId="34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0" fillId="34" borderId="0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4" fontId="10" fillId="34" borderId="0" xfId="0" applyNumberFormat="1" applyFont="1" applyFill="1" applyBorder="1" applyAlignment="1">
      <alignment horizontal="right"/>
    </xf>
    <xf numFmtId="0" fontId="53" fillId="0" borderId="0" xfId="56" applyFont="1" applyBorder="1">
      <alignment/>
      <protection/>
    </xf>
    <xf numFmtId="2" fontId="53" fillId="0" borderId="0" xfId="56" applyNumberFormat="1" applyFont="1" applyBorder="1">
      <alignment/>
      <protection/>
    </xf>
    <xf numFmtId="172" fontId="53" fillId="0" borderId="0" xfId="56" applyNumberFormat="1" applyFont="1" applyBorder="1">
      <alignment/>
      <protection/>
    </xf>
    <xf numFmtId="172" fontId="3" fillId="35" borderId="0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0" fontId="50" fillId="0" borderId="14" xfId="56" applyFont="1" applyBorder="1">
      <alignment/>
      <protection/>
    </xf>
    <xf numFmtId="0" fontId="33" fillId="0" borderId="15" xfId="56" applyBorder="1">
      <alignment/>
      <protection/>
    </xf>
    <xf numFmtId="0" fontId="12" fillId="0" borderId="12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3" fillId="0" borderId="0" xfId="56">
      <alignment/>
      <protection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16" xfId="56" applyBorder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33" fillId="0" borderId="16" xfId="56" applyBorder="1">
      <alignment/>
      <protection/>
    </xf>
    <xf numFmtId="0" fontId="33" fillId="0" borderId="11" xfId="56" applyBorder="1">
      <alignment/>
      <protection/>
    </xf>
    <xf numFmtId="0" fontId="0" fillId="0" borderId="10" xfId="0" applyFont="1" applyBorder="1" applyAlignment="1">
      <alignment/>
    </xf>
    <xf numFmtId="0" fontId="33" fillId="0" borderId="10" xfId="56" applyBorder="1">
      <alignment/>
      <protection/>
    </xf>
    <xf numFmtId="0" fontId="0" fillId="0" borderId="15" xfId="0" applyFont="1" applyBorder="1" applyAlignment="1">
      <alignment/>
    </xf>
    <xf numFmtId="0" fontId="33" fillId="0" borderId="15" xfId="56" applyBorder="1">
      <alignment/>
      <protection/>
    </xf>
    <xf numFmtId="0" fontId="9" fillId="0" borderId="14" xfId="0" applyFont="1" applyBorder="1" applyAlignment="1">
      <alignment/>
    </xf>
    <xf numFmtId="2" fontId="10" fillId="34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3" fillId="0" borderId="0" xfId="56">
      <alignment/>
      <protection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3" fillId="0" borderId="12" xfId="56" applyBorder="1">
      <alignment/>
      <protection/>
    </xf>
    <xf numFmtId="0" fontId="33" fillId="0" borderId="0" xfId="56" applyBorder="1">
      <alignment/>
      <protection/>
    </xf>
    <xf numFmtId="0" fontId="53" fillId="36" borderId="0" xfId="56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1562100</xdr:colOff>
      <xdr:row>173</xdr:row>
      <xdr:rowOff>0</xdr:rowOff>
    </xdr:from>
    <xdr:ext cx="0" cy="228600"/>
    <xdr:sp>
      <xdr:nvSpPr>
        <xdr:cNvPr id="1" name="Rectangle 366"/>
        <xdr:cNvSpPr>
          <a:spLocks noChangeAspect="1"/>
        </xdr:cNvSpPr>
      </xdr:nvSpPr>
      <xdr:spPr>
        <a:xfrm>
          <a:off x="1562100" y="30070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2</xdr:col>
      <xdr:colOff>514350</xdr:colOff>
      <xdr:row>173</xdr:row>
      <xdr:rowOff>0</xdr:rowOff>
    </xdr:from>
    <xdr:ext cx="0" cy="104775"/>
    <xdr:sp>
      <xdr:nvSpPr>
        <xdr:cNvPr id="2" name="Rectangle 368"/>
        <xdr:cNvSpPr>
          <a:spLocks noChangeAspect="1"/>
        </xdr:cNvSpPr>
      </xdr:nvSpPr>
      <xdr:spPr>
        <a:xfrm>
          <a:off x="3590925" y="300704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1581150</xdr:colOff>
      <xdr:row>7</xdr:row>
      <xdr:rowOff>57150</xdr:rowOff>
    </xdr:from>
    <xdr:to>
      <xdr:col>5</xdr:col>
      <xdr:colOff>1495425</xdr:colOff>
      <xdr:row>23</xdr:row>
      <xdr:rowOff>133350</xdr:rowOff>
    </xdr:to>
    <xdr:pic>
      <xdr:nvPicPr>
        <xdr:cNvPr id="3" name="Picture 3" descr="C:\Users\fwang\Desktop\Products\A8502_14_10_15\Component Calculator\A8514_boo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52550"/>
          <a:ext cx="59817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2095500</xdr:colOff>
      <xdr:row>7</xdr:row>
      <xdr:rowOff>0</xdr:rowOff>
    </xdr:from>
    <xdr:to>
      <xdr:col>5</xdr:col>
      <xdr:colOff>1143000</xdr:colOff>
      <xdr:row>20</xdr:row>
      <xdr:rowOff>0</xdr:rowOff>
    </xdr:to>
    <xdr:pic>
      <xdr:nvPicPr>
        <xdr:cNvPr id="1" name="Picture 1" descr="C:\Users\fwang\Desktop\Products\A8502_14_10_15\Component Calculator\A8514_SEP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371600"/>
          <a:ext cx="45339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300"/>
  <sheetViews>
    <sheetView tabSelected="1" zoomScale="110" zoomScaleNormal="110" zoomScalePageLayoutView="0" workbookViewId="0" topLeftCell="A1">
      <selection activeCell="A1" sqref="A1:D1"/>
    </sheetView>
  </sheetViews>
  <sheetFormatPr defaultColWidth="9.140625" defaultRowHeight="12.75"/>
  <cols>
    <col min="1" max="1" width="42.00390625" style="0" customWidth="1"/>
    <col min="2" max="2" width="4.140625" style="0" customWidth="1"/>
    <col min="3" max="3" width="15.00390625" style="0" customWidth="1"/>
    <col min="4" max="4" width="9.421875" style="0" customWidth="1"/>
    <col min="5" max="5" width="20.421875" style="0" customWidth="1"/>
    <col min="6" max="6" width="52.28125" style="0" customWidth="1"/>
  </cols>
  <sheetData>
    <row r="1" spans="1:6" ht="16.5" thickTop="1">
      <c r="A1" s="83" t="s">
        <v>90</v>
      </c>
      <c r="B1" s="84"/>
      <c r="C1" s="84"/>
      <c r="D1" s="84"/>
      <c r="E1" s="10"/>
      <c r="F1" s="11"/>
    </row>
    <row r="2" spans="1:6" ht="15.75">
      <c r="A2" s="12"/>
      <c r="B2" s="13"/>
      <c r="C2" s="13"/>
      <c r="D2" s="14" t="s">
        <v>177</v>
      </c>
      <c r="E2" s="3"/>
      <c r="F2" s="15"/>
    </row>
    <row r="3" spans="1:6" ht="15.75">
      <c r="A3" s="16" t="s">
        <v>0</v>
      </c>
      <c r="B3" s="13"/>
      <c r="C3" s="13"/>
      <c r="D3" s="13"/>
      <c r="E3" s="3"/>
      <c r="F3" s="15"/>
    </row>
    <row r="4" spans="1:6" ht="12.75" customHeight="1">
      <c r="A4" s="17" t="s">
        <v>1</v>
      </c>
      <c r="B4" s="13"/>
      <c r="C4" s="13"/>
      <c r="D4" s="18"/>
      <c r="E4" s="3"/>
      <c r="F4" s="15"/>
    </row>
    <row r="5" spans="1:6" ht="12.75" customHeight="1">
      <c r="A5" s="85" t="s">
        <v>2</v>
      </c>
      <c r="B5" s="86"/>
      <c r="C5" s="86"/>
      <c r="D5" s="86"/>
      <c r="E5" s="86"/>
      <c r="F5" s="15"/>
    </row>
    <row r="6" spans="1:6" ht="12.75" customHeight="1">
      <c r="A6" s="17" t="s">
        <v>3</v>
      </c>
      <c r="B6" s="13"/>
      <c r="C6" s="13"/>
      <c r="D6" s="13"/>
      <c r="E6" s="3"/>
      <c r="F6" s="15"/>
    </row>
    <row r="7" spans="1:6" ht="15.75">
      <c r="A7" s="19" t="s">
        <v>4</v>
      </c>
      <c r="B7" s="20"/>
      <c r="C7" s="20"/>
      <c r="D7" s="20"/>
      <c r="E7" s="3"/>
      <c r="F7" s="15"/>
    </row>
    <row r="8" spans="1:6" ht="15">
      <c r="A8" s="21"/>
      <c r="B8" s="22"/>
      <c r="C8" s="22"/>
      <c r="D8" s="22"/>
      <c r="E8" s="22"/>
      <c r="F8" s="25"/>
    </row>
    <row r="9" spans="1:6" ht="15">
      <c r="A9" s="90"/>
      <c r="B9" s="91"/>
      <c r="C9" s="22"/>
      <c r="D9" s="22"/>
      <c r="E9" s="22"/>
      <c r="F9" s="25"/>
    </row>
    <row r="10" spans="1:6" ht="15">
      <c r="A10" s="21"/>
      <c r="B10" s="22"/>
      <c r="C10" s="22"/>
      <c r="D10" s="22"/>
      <c r="E10" s="22"/>
      <c r="F10" s="25"/>
    </row>
    <row r="11" spans="1:11" ht="15">
      <c r="A11" s="90"/>
      <c r="B11" s="91"/>
      <c r="C11" s="22"/>
      <c r="D11" s="22"/>
      <c r="E11" s="22"/>
      <c r="F11" s="25"/>
      <c r="G11" s="8"/>
      <c r="H11" s="8"/>
      <c r="I11" s="8"/>
      <c r="J11" s="8"/>
      <c r="K11" s="8"/>
    </row>
    <row r="12" spans="1:11" ht="15" hidden="1">
      <c r="A12" s="21"/>
      <c r="B12" s="22"/>
      <c r="C12" s="22"/>
      <c r="D12" s="22"/>
      <c r="E12" s="22"/>
      <c r="F12" s="25"/>
      <c r="G12" s="8"/>
      <c r="H12" s="8"/>
      <c r="I12" s="8"/>
      <c r="J12" s="8"/>
      <c r="K12" s="8"/>
    </row>
    <row r="13" spans="1:11" ht="15">
      <c r="A13" s="21"/>
      <c r="B13" s="22"/>
      <c r="C13" s="22"/>
      <c r="D13" s="22"/>
      <c r="E13" s="22"/>
      <c r="F13" s="25"/>
      <c r="G13" s="8"/>
      <c r="H13" s="8"/>
      <c r="I13" s="8"/>
      <c r="J13" s="8"/>
      <c r="K13" s="8"/>
    </row>
    <row r="14" spans="1:11" ht="15">
      <c r="A14" s="21"/>
      <c r="B14" s="22"/>
      <c r="C14" s="22"/>
      <c r="D14" s="22"/>
      <c r="E14" s="22"/>
      <c r="F14" s="25"/>
      <c r="G14" s="8"/>
      <c r="H14" s="8"/>
      <c r="I14" s="8"/>
      <c r="J14" s="8"/>
      <c r="K14" s="8"/>
    </row>
    <row r="15" spans="1:11" ht="15">
      <c r="A15" s="21"/>
      <c r="B15" s="22"/>
      <c r="C15" s="22"/>
      <c r="D15" s="22"/>
      <c r="E15" s="22"/>
      <c r="F15" s="25"/>
      <c r="G15" s="8"/>
      <c r="H15" s="8"/>
      <c r="I15" s="8"/>
      <c r="J15" s="8"/>
      <c r="K15" s="8"/>
    </row>
    <row r="16" spans="1:11" ht="15">
      <c r="A16" s="21"/>
      <c r="B16" s="22"/>
      <c r="C16" s="22"/>
      <c r="D16" s="22"/>
      <c r="E16" s="22"/>
      <c r="F16" s="25"/>
      <c r="G16" s="8"/>
      <c r="H16" s="8"/>
      <c r="I16" s="8"/>
      <c r="J16" s="8"/>
      <c r="K16" s="8"/>
    </row>
    <row r="17" spans="1:11" ht="15">
      <c r="A17" s="21"/>
      <c r="B17" s="22"/>
      <c r="C17" s="22"/>
      <c r="D17" s="22"/>
      <c r="E17" s="22"/>
      <c r="F17" s="25"/>
      <c r="G17" s="8"/>
      <c r="H17" s="8"/>
      <c r="I17" s="8"/>
      <c r="J17" s="8"/>
      <c r="K17" s="8"/>
    </row>
    <row r="18" spans="1:11" ht="15">
      <c r="A18" s="21"/>
      <c r="B18" s="22"/>
      <c r="C18" s="22"/>
      <c r="D18" s="22"/>
      <c r="E18" s="22"/>
      <c r="F18" s="25"/>
      <c r="G18" s="8"/>
      <c r="H18" s="8"/>
      <c r="I18" s="8"/>
      <c r="J18" s="8"/>
      <c r="K18" s="8"/>
    </row>
    <row r="19" spans="1:11" ht="15">
      <c r="A19" s="21"/>
      <c r="B19" s="22"/>
      <c r="C19" s="22"/>
      <c r="D19" s="22"/>
      <c r="E19" s="22"/>
      <c r="F19" s="25"/>
      <c r="G19" s="8"/>
      <c r="H19" s="8"/>
      <c r="I19" s="8"/>
      <c r="J19" s="8"/>
      <c r="K19" s="8"/>
    </row>
    <row r="20" spans="1:11" ht="15">
      <c r="A20" s="21"/>
      <c r="B20" s="22"/>
      <c r="C20" s="22"/>
      <c r="D20" s="22"/>
      <c r="E20" s="22"/>
      <c r="F20" s="25"/>
      <c r="G20" s="8"/>
      <c r="H20" s="8"/>
      <c r="I20" s="8"/>
      <c r="J20" s="8"/>
      <c r="K20" s="8"/>
    </row>
    <row r="21" spans="1:11" ht="15">
      <c r="A21" s="21"/>
      <c r="B21" s="22"/>
      <c r="C21" s="22"/>
      <c r="D21" s="22"/>
      <c r="E21" s="22"/>
      <c r="F21" s="25"/>
      <c r="G21" s="8"/>
      <c r="H21" s="8"/>
      <c r="I21" s="8"/>
      <c r="J21" s="8"/>
      <c r="K21" s="8"/>
    </row>
    <row r="22" spans="1:11" ht="15">
      <c r="A22" s="23"/>
      <c r="B22" s="24"/>
      <c r="C22" s="24"/>
      <c r="D22" s="24"/>
      <c r="E22" s="24"/>
      <c r="F22" s="25"/>
      <c r="G22" s="9"/>
      <c r="H22" s="9"/>
      <c r="I22" s="9"/>
      <c r="J22" s="9"/>
      <c r="K22" s="9"/>
    </row>
    <row r="23" spans="1:11" ht="15">
      <c r="A23" s="23"/>
      <c r="B23" s="24"/>
      <c r="C23" s="24"/>
      <c r="D23" s="24"/>
      <c r="E23" s="24"/>
      <c r="F23" s="25"/>
      <c r="G23" s="9"/>
      <c r="H23" s="9"/>
      <c r="I23" s="9"/>
      <c r="J23" s="9"/>
      <c r="K23" s="9"/>
    </row>
    <row r="24" spans="1:201" ht="15">
      <c r="A24" s="21"/>
      <c r="B24" s="22"/>
      <c r="C24" s="22"/>
      <c r="D24" s="22"/>
      <c r="E24" s="22"/>
      <c r="F24" s="25"/>
      <c r="G24" s="8"/>
      <c r="H24" s="8"/>
      <c r="I24" s="8"/>
      <c r="J24" s="8"/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</row>
    <row r="25" spans="1:201" ht="15">
      <c r="A25" s="21"/>
      <c r="B25" s="26" t="s">
        <v>140</v>
      </c>
      <c r="C25" s="22"/>
      <c r="D25" s="22"/>
      <c r="E25" s="22"/>
      <c r="F25" s="25"/>
      <c r="G25" s="8"/>
      <c r="H25" s="8"/>
      <c r="I25" s="8"/>
      <c r="J25" s="8"/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</row>
    <row r="26" spans="1:6" ht="15.75">
      <c r="A26" s="19"/>
      <c r="B26" s="20"/>
      <c r="C26" s="20"/>
      <c r="D26" s="20"/>
      <c r="E26" s="3"/>
      <c r="F26" s="15"/>
    </row>
    <row r="27" spans="1:6" s="1" customFormat="1" ht="12.75">
      <c r="A27" s="27" t="s">
        <v>5</v>
      </c>
      <c r="B27" s="28"/>
      <c r="C27" s="28"/>
      <c r="D27" s="29" t="s">
        <v>6</v>
      </c>
      <c r="E27" s="28" t="s">
        <v>7</v>
      </c>
      <c r="F27" s="30" t="s">
        <v>8</v>
      </c>
    </row>
    <row r="28" spans="1:6" s="1" customFormat="1" ht="12.75">
      <c r="A28" s="16" t="s">
        <v>130</v>
      </c>
      <c r="B28" s="28"/>
      <c r="C28" s="28"/>
      <c r="D28" s="29"/>
      <c r="E28" s="28"/>
      <c r="F28" s="30"/>
    </row>
    <row r="29" spans="1:6" s="1" customFormat="1" ht="12.75">
      <c r="A29" s="27"/>
      <c r="B29" s="28"/>
      <c r="C29" s="28"/>
      <c r="D29" s="29"/>
      <c r="E29" s="28"/>
      <c r="F29" s="30"/>
    </row>
    <row r="30" spans="1:6" s="1" customFormat="1" ht="12.75">
      <c r="A30" s="31" t="s">
        <v>43</v>
      </c>
      <c r="B30" s="3"/>
      <c r="C30" s="32" t="s">
        <v>31</v>
      </c>
      <c r="D30" s="33">
        <v>10</v>
      </c>
      <c r="E30" s="3" t="s">
        <v>9</v>
      </c>
      <c r="F30" s="30"/>
    </row>
    <row r="31" spans="1:6" s="1" customFormat="1" ht="12.75">
      <c r="A31" s="31" t="s">
        <v>48</v>
      </c>
      <c r="B31" s="3"/>
      <c r="C31" s="32" t="s">
        <v>49</v>
      </c>
      <c r="D31" s="33">
        <v>14</v>
      </c>
      <c r="E31" s="3" t="s">
        <v>9</v>
      </c>
      <c r="F31" s="30"/>
    </row>
    <row r="32" spans="1:6" s="1" customFormat="1" ht="12.75">
      <c r="A32" s="31" t="s">
        <v>44</v>
      </c>
      <c r="B32" s="3"/>
      <c r="C32" s="32" t="s">
        <v>45</v>
      </c>
      <c r="D32" s="33">
        <v>4</v>
      </c>
      <c r="E32" s="3"/>
      <c r="F32" s="30"/>
    </row>
    <row r="33" spans="1:6" s="1" customFormat="1" ht="12.75">
      <c r="A33" s="19" t="s">
        <v>10</v>
      </c>
      <c r="B33" s="3"/>
      <c r="C33" s="34" t="s">
        <v>11</v>
      </c>
      <c r="D33" s="33">
        <v>10</v>
      </c>
      <c r="E33" s="28"/>
      <c r="F33" s="30"/>
    </row>
    <row r="34" spans="1:6" s="1" customFormat="1" ht="12.75">
      <c r="A34" s="19" t="s">
        <v>12</v>
      </c>
      <c r="B34" s="3"/>
      <c r="C34" s="32" t="s">
        <v>86</v>
      </c>
      <c r="D34" s="33">
        <v>3.2</v>
      </c>
      <c r="E34" s="35" t="s">
        <v>9</v>
      </c>
      <c r="F34" s="30"/>
    </row>
    <row r="35" spans="1:6" s="1" customFormat="1" ht="12.75">
      <c r="A35" s="88" t="s">
        <v>13</v>
      </c>
      <c r="B35" s="89"/>
      <c r="C35" s="32" t="s">
        <v>168</v>
      </c>
      <c r="D35" s="33">
        <v>60</v>
      </c>
      <c r="E35" s="3" t="s">
        <v>29</v>
      </c>
      <c r="F35" s="30"/>
    </row>
    <row r="36" spans="1:6" s="1" customFormat="1" ht="12.75">
      <c r="A36" s="31" t="s">
        <v>178</v>
      </c>
      <c r="B36" s="3"/>
      <c r="C36" s="32" t="s">
        <v>183</v>
      </c>
      <c r="D36" s="37">
        <v>2</v>
      </c>
      <c r="E36" s="3" t="s">
        <v>21</v>
      </c>
      <c r="F36" s="61"/>
    </row>
    <row r="37" spans="1:6" s="1" customFormat="1" ht="12.75">
      <c r="A37" s="19" t="s">
        <v>17</v>
      </c>
      <c r="B37" s="3"/>
      <c r="C37" s="32" t="s">
        <v>19</v>
      </c>
      <c r="D37" s="33">
        <v>0.4</v>
      </c>
      <c r="E37" s="3" t="s">
        <v>9</v>
      </c>
      <c r="F37" s="15" t="s">
        <v>89</v>
      </c>
    </row>
    <row r="38" spans="1:6" s="1" customFormat="1" ht="12.75">
      <c r="A38" s="38" t="s">
        <v>50</v>
      </c>
      <c r="B38" s="36"/>
      <c r="C38" s="34"/>
      <c r="D38" s="33">
        <v>40</v>
      </c>
      <c r="E38" s="35" t="s">
        <v>15</v>
      </c>
      <c r="F38" s="15" t="s">
        <v>167</v>
      </c>
    </row>
    <row r="39" spans="1:6" s="1" customFormat="1" ht="12.75">
      <c r="A39" s="31" t="s">
        <v>55</v>
      </c>
      <c r="B39" s="3"/>
      <c r="C39" s="32" t="s">
        <v>63</v>
      </c>
      <c r="D39" s="33">
        <v>200</v>
      </c>
      <c r="E39" s="3" t="s">
        <v>68</v>
      </c>
      <c r="F39" s="62"/>
    </row>
    <row r="40" spans="1:6" s="1" customFormat="1" ht="12.75">
      <c r="A40" s="31" t="s">
        <v>56</v>
      </c>
      <c r="B40" s="3"/>
      <c r="C40" s="32" t="s">
        <v>65</v>
      </c>
      <c r="D40" s="33">
        <v>1</v>
      </c>
      <c r="E40" s="3" t="s">
        <v>15</v>
      </c>
      <c r="F40" s="62"/>
    </row>
    <row r="41" spans="1:6" s="1" customFormat="1" ht="12.75">
      <c r="A41" s="31" t="s">
        <v>179</v>
      </c>
      <c r="B41" s="3"/>
      <c r="C41" s="32"/>
      <c r="D41" s="3">
        <f>(20.3-0.2*D36)/D36</f>
        <v>9.950000000000001</v>
      </c>
      <c r="E41" s="82" t="s">
        <v>22</v>
      </c>
      <c r="F41" s="62"/>
    </row>
    <row r="42" spans="1:6" s="1" customFormat="1" ht="12.75">
      <c r="A42" s="42" t="s">
        <v>180</v>
      </c>
      <c r="B42" s="3"/>
      <c r="C42" s="32" t="s">
        <v>182</v>
      </c>
      <c r="D42" s="43">
        <v>10</v>
      </c>
      <c r="E42" s="82" t="s">
        <v>22</v>
      </c>
      <c r="F42" s="62"/>
    </row>
    <row r="43" spans="1:6" s="1" customFormat="1" ht="12.75">
      <c r="A43" s="31" t="s">
        <v>181</v>
      </c>
      <c r="B43" s="3"/>
      <c r="C43" s="32" t="s">
        <v>142</v>
      </c>
      <c r="D43" s="44">
        <f>20.3/(D42+0.2)</f>
        <v>1.9901960784313728</v>
      </c>
      <c r="E43" s="3" t="s">
        <v>21</v>
      </c>
      <c r="F43" s="62"/>
    </row>
    <row r="44" spans="1:6" s="1" customFormat="1" ht="12.75">
      <c r="A44" s="38" t="s">
        <v>32</v>
      </c>
      <c r="B44" s="3"/>
      <c r="C44" s="32" t="s">
        <v>33</v>
      </c>
      <c r="D44" s="3">
        <v>0.7</v>
      </c>
      <c r="E44" s="3" t="s">
        <v>9</v>
      </c>
      <c r="F44" s="62"/>
    </row>
    <row r="45" spans="1:6" s="1" customFormat="1" ht="12.75">
      <c r="A45" s="31" t="s">
        <v>143</v>
      </c>
      <c r="B45" s="3"/>
      <c r="C45" s="32"/>
      <c r="D45" s="39">
        <f>D33*D34+D44+2</f>
        <v>34.7</v>
      </c>
      <c r="E45" s="3" t="s">
        <v>9</v>
      </c>
      <c r="F45" s="30"/>
    </row>
    <row r="46" spans="1:6" s="1" customFormat="1" ht="12.75">
      <c r="A46" s="40" t="s">
        <v>35</v>
      </c>
      <c r="B46" s="36"/>
      <c r="C46" s="32" t="s">
        <v>34</v>
      </c>
      <c r="D46" s="39">
        <v>8.1</v>
      </c>
      <c r="E46" s="3" t="s">
        <v>9</v>
      </c>
      <c r="F46" s="30"/>
    </row>
    <row r="47" spans="1:6" s="1" customFormat="1" ht="12.75">
      <c r="A47" s="38" t="s">
        <v>36</v>
      </c>
      <c r="B47" s="36"/>
      <c r="C47" s="32" t="s">
        <v>37</v>
      </c>
      <c r="D47" s="41">
        <v>0.199</v>
      </c>
      <c r="E47" s="3" t="s">
        <v>29</v>
      </c>
      <c r="F47" s="30"/>
    </row>
    <row r="48" spans="1:6" s="1" customFormat="1" ht="12.75">
      <c r="A48" s="31" t="s">
        <v>80</v>
      </c>
      <c r="B48" s="36"/>
      <c r="C48" s="32"/>
      <c r="D48" s="39">
        <f>(D45-D46)/D47</f>
        <v>133.66834170854273</v>
      </c>
      <c r="E48" s="3" t="s">
        <v>22</v>
      </c>
      <c r="F48" s="30"/>
    </row>
    <row r="49" spans="1:6" s="1" customFormat="1" ht="12.75">
      <c r="A49" s="42" t="s">
        <v>81</v>
      </c>
      <c r="B49" s="36"/>
      <c r="C49" s="32" t="s">
        <v>38</v>
      </c>
      <c r="D49" s="43">
        <v>137</v>
      </c>
      <c r="E49" s="3" t="s">
        <v>22</v>
      </c>
      <c r="F49" s="30"/>
    </row>
    <row r="50" spans="1:6" s="1" customFormat="1" ht="12.75">
      <c r="A50" s="31" t="s">
        <v>144</v>
      </c>
      <c r="B50" s="3"/>
      <c r="C50" s="32" t="s">
        <v>42</v>
      </c>
      <c r="D50" s="44">
        <f>D49*D47+D46</f>
        <v>35.363</v>
      </c>
      <c r="E50" s="3" t="s">
        <v>9</v>
      </c>
      <c r="F50" s="62"/>
    </row>
    <row r="51" spans="1:6" s="1" customFormat="1" ht="12.75">
      <c r="A51" s="38" t="s">
        <v>83</v>
      </c>
      <c r="B51" s="3"/>
      <c r="C51" s="32" t="s">
        <v>26</v>
      </c>
      <c r="D51" s="3">
        <v>1.003</v>
      </c>
      <c r="E51" s="3" t="s">
        <v>9</v>
      </c>
      <c r="F51" s="62"/>
    </row>
    <row r="52" spans="1:6" s="1" customFormat="1" ht="12.75">
      <c r="A52" s="38" t="s">
        <v>117</v>
      </c>
      <c r="B52" s="3"/>
      <c r="C52" s="32" t="s">
        <v>27</v>
      </c>
      <c r="D52" s="3">
        <v>653</v>
      </c>
      <c r="E52" s="3" t="s">
        <v>84</v>
      </c>
      <c r="F52" s="62"/>
    </row>
    <row r="53" spans="1:6" s="1" customFormat="1" ht="12.75">
      <c r="A53" s="31" t="s">
        <v>30</v>
      </c>
      <c r="B53" s="3"/>
      <c r="C53" s="32"/>
      <c r="D53" s="44">
        <f>D52*D51/D35</f>
        <v>10.915983333333333</v>
      </c>
      <c r="E53" s="3" t="s">
        <v>22</v>
      </c>
      <c r="F53" s="62"/>
    </row>
    <row r="54" spans="1:6" s="1" customFormat="1" ht="12.75">
      <c r="A54" s="42" t="s">
        <v>82</v>
      </c>
      <c r="B54" s="3"/>
      <c r="C54" s="32" t="s">
        <v>28</v>
      </c>
      <c r="D54" s="45">
        <v>11</v>
      </c>
      <c r="E54" s="3" t="s">
        <v>22</v>
      </c>
      <c r="F54" s="30"/>
    </row>
    <row r="55" spans="1:6" s="1" customFormat="1" ht="12.75">
      <c r="A55" s="31" t="s">
        <v>87</v>
      </c>
      <c r="B55" s="3"/>
      <c r="C55" s="32" t="s">
        <v>164</v>
      </c>
      <c r="D55" s="46">
        <f>(D51*D52)/D54</f>
        <v>59.541727272727265</v>
      </c>
      <c r="E55" s="3" t="s">
        <v>29</v>
      </c>
      <c r="F55" s="30"/>
    </row>
    <row r="56" spans="1:6" s="1" customFormat="1" ht="12.75">
      <c r="A56" s="38" t="s">
        <v>85</v>
      </c>
      <c r="B56" s="3"/>
      <c r="C56" s="32" t="s">
        <v>39</v>
      </c>
      <c r="D56" s="3">
        <v>68</v>
      </c>
      <c r="E56" s="3" t="s">
        <v>40</v>
      </c>
      <c r="F56" s="62"/>
    </row>
    <row r="57" spans="1:6" s="1" customFormat="1" ht="12.75">
      <c r="A57" s="38" t="s">
        <v>41</v>
      </c>
      <c r="B57" s="3"/>
      <c r="C57" s="32" t="s">
        <v>163</v>
      </c>
      <c r="D57" s="44">
        <f>(1-D56*D43/1000)*100</f>
        <v>86.46666666666667</v>
      </c>
      <c r="E57" s="3" t="s">
        <v>15</v>
      </c>
      <c r="F57" s="62"/>
    </row>
    <row r="58" spans="1:6" s="1" customFormat="1" ht="12.75">
      <c r="A58" s="31" t="s">
        <v>174</v>
      </c>
      <c r="B58" s="3"/>
      <c r="C58" s="32" t="s">
        <v>162</v>
      </c>
      <c r="D58" s="44">
        <f>D30*(1/(1-D57/100))-D37</f>
        <v>73.49162561576355</v>
      </c>
      <c r="E58" s="3" t="s">
        <v>9</v>
      </c>
      <c r="F58" s="61" t="s">
        <v>159</v>
      </c>
    </row>
    <row r="59" spans="1:6" s="1" customFormat="1" ht="12.75">
      <c r="A59" s="31" t="s">
        <v>114</v>
      </c>
      <c r="B59" s="3"/>
      <c r="C59" s="32" t="s">
        <v>161</v>
      </c>
      <c r="D59" s="44">
        <f>100*(1-(D30)/(D50+D37))</f>
        <v>72.03813997707127</v>
      </c>
      <c r="E59" s="3" t="s">
        <v>15</v>
      </c>
      <c r="F59" s="62"/>
    </row>
    <row r="60" spans="1:6" s="1" customFormat="1" ht="12.75">
      <c r="A60" s="38" t="s">
        <v>47</v>
      </c>
      <c r="B60" s="3"/>
      <c r="C60" s="32" t="s">
        <v>46</v>
      </c>
      <c r="D60" s="3">
        <v>90</v>
      </c>
      <c r="E60" s="3" t="s">
        <v>15</v>
      </c>
      <c r="F60" s="61" t="s">
        <v>91</v>
      </c>
    </row>
    <row r="61" spans="1:6" s="1" customFormat="1" ht="12.75">
      <c r="A61" s="31" t="s">
        <v>175</v>
      </c>
      <c r="B61" s="3"/>
      <c r="C61" s="32" t="s">
        <v>156</v>
      </c>
      <c r="D61" s="47">
        <f>100*(D50*D32*D55/1000)/(D60*D30)</f>
        <v>0.9358107117979796</v>
      </c>
      <c r="E61" s="3" t="s">
        <v>14</v>
      </c>
      <c r="F61" s="62"/>
    </row>
    <row r="62" spans="1:6" s="1" customFormat="1" ht="12.75">
      <c r="A62" s="31" t="s">
        <v>176</v>
      </c>
      <c r="B62" s="3"/>
      <c r="C62" s="32" t="s">
        <v>157</v>
      </c>
      <c r="D62" s="47">
        <f>100*(D50*D32*D55/1000)/(D60*D31)</f>
        <v>0.6684362227128425</v>
      </c>
      <c r="E62" s="3" t="s">
        <v>14</v>
      </c>
      <c r="F62" s="62"/>
    </row>
    <row r="63" spans="1:6" s="1" customFormat="1" ht="12.75">
      <c r="A63" s="38" t="s">
        <v>58</v>
      </c>
      <c r="B63" s="36"/>
      <c r="C63" s="32" t="s">
        <v>127</v>
      </c>
      <c r="D63" s="47">
        <f>D61*D38/100</f>
        <v>0.3743242847191918</v>
      </c>
      <c r="E63" s="48" t="s">
        <v>14</v>
      </c>
      <c r="F63" s="61" t="s">
        <v>169</v>
      </c>
    </row>
    <row r="64" spans="1:6" s="1" customFormat="1" ht="12.75">
      <c r="A64" s="31" t="s">
        <v>51</v>
      </c>
      <c r="B64" s="3"/>
      <c r="C64" s="32" t="s">
        <v>147</v>
      </c>
      <c r="D64" s="44">
        <f>(D30*D59)/(D43*D63)/100</f>
        <v>9.66982515120475</v>
      </c>
      <c r="E64" s="48" t="s">
        <v>24</v>
      </c>
      <c r="F64" s="62"/>
    </row>
    <row r="65" spans="1:6" s="1" customFormat="1" ht="12.75">
      <c r="A65" s="42" t="s">
        <v>52</v>
      </c>
      <c r="B65" s="3"/>
      <c r="C65" s="32" t="s">
        <v>145</v>
      </c>
      <c r="D65" s="45">
        <v>10</v>
      </c>
      <c r="E65" s="3" t="s">
        <v>24</v>
      </c>
      <c r="F65" s="62"/>
    </row>
    <row r="66" spans="1:6" s="1" customFormat="1" ht="12.75">
      <c r="A66" s="38" t="s">
        <v>59</v>
      </c>
      <c r="B66" s="36"/>
      <c r="C66" s="32" t="s">
        <v>128</v>
      </c>
      <c r="D66" s="44">
        <f>(D30*D59)/(D43*D65)/100</f>
        <v>0.3619650383084369</v>
      </c>
      <c r="E66" s="35" t="s">
        <v>16</v>
      </c>
      <c r="F66" s="15"/>
    </row>
    <row r="67" spans="1:6" s="1" customFormat="1" ht="12.75">
      <c r="A67" s="31" t="s">
        <v>60</v>
      </c>
      <c r="B67" s="3"/>
      <c r="C67" s="32"/>
      <c r="D67" s="47">
        <f>3.6*D43/2</f>
        <v>3.582352941176471</v>
      </c>
      <c r="E67" s="48" t="s">
        <v>61</v>
      </c>
      <c r="F67" s="62"/>
    </row>
    <row r="68" spans="1:6" s="1" customFormat="1" ht="12.75">
      <c r="A68" s="31" t="s">
        <v>57</v>
      </c>
      <c r="B68" s="3"/>
      <c r="C68" s="32"/>
      <c r="D68" s="47">
        <f>D66/((1/D43)*(1-D59/100))</f>
        <v>2.5762999999999994</v>
      </c>
      <c r="E68" s="48" t="s">
        <v>61</v>
      </c>
      <c r="F68" s="61"/>
    </row>
    <row r="69" spans="1:6" s="1" customFormat="1" ht="12.75">
      <c r="A69" s="31" t="s">
        <v>53</v>
      </c>
      <c r="B69" s="3"/>
      <c r="C69" s="32" t="s">
        <v>54</v>
      </c>
      <c r="D69" s="47">
        <f>D61+0.5*D66</f>
        <v>1.116793230952198</v>
      </c>
      <c r="E69" s="3" t="s">
        <v>14</v>
      </c>
      <c r="F69" s="62"/>
    </row>
    <row r="70" spans="1:6" s="1" customFormat="1" ht="12.75">
      <c r="A70" s="31" t="s">
        <v>62</v>
      </c>
      <c r="B70" s="3"/>
      <c r="C70" s="32" t="s">
        <v>64</v>
      </c>
      <c r="D70" s="3">
        <v>200</v>
      </c>
      <c r="E70" s="3" t="s">
        <v>69</v>
      </c>
      <c r="F70" s="62"/>
    </row>
    <row r="71" spans="1:6" s="1" customFormat="1" ht="12.75">
      <c r="A71" s="31" t="s">
        <v>67</v>
      </c>
      <c r="B71" s="3"/>
      <c r="C71" s="32" t="s">
        <v>66</v>
      </c>
      <c r="D71" s="3">
        <v>250</v>
      </c>
      <c r="E71" s="3" t="s">
        <v>18</v>
      </c>
      <c r="F71" s="62"/>
    </row>
    <row r="72" spans="1:6" s="1" customFormat="1" ht="12.75">
      <c r="A72" s="31" t="s">
        <v>73</v>
      </c>
      <c r="B72" s="3"/>
      <c r="C72" s="32" t="s">
        <v>71</v>
      </c>
      <c r="D72" s="3">
        <f>1000*D70*(1-D40/100)/(D39*D71)</f>
        <v>3.96</v>
      </c>
      <c r="E72" s="3" t="s">
        <v>70</v>
      </c>
      <c r="F72" s="61"/>
    </row>
    <row r="73" spans="1:6" ht="12.75">
      <c r="A73" s="31" t="s">
        <v>72</v>
      </c>
      <c r="B73" s="3"/>
      <c r="C73" s="32" t="s">
        <v>165</v>
      </c>
      <c r="D73" s="47">
        <f>D55*D32/1000*((D59/100+D66/D61/12)/(1-D59/100))^0.5</f>
        <v>0.3907370393922316</v>
      </c>
      <c r="E73" s="3" t="s">
        <v>14</v>
      </c>
      <c r="F73" s="15"/>
    </row>
    <row r="74" spans="1:6" s="1" customFormat="1" ht="12.75">
      <c r="A74" s="31" t="s">
        <v>74</v>
      </c>
      <c r="B74" s="3"/>
      <c r="C74" s="32" t="s">
        <v>75</v>
      </c>
      <c r="D74" s="47">
        <f>D66/(8*D43*0.01*D30)</f>
        <v>0.2273425733218015</v>
      </c>
      <c r="E74" s="3" t="s">
        <v>70</v>
      </c>
      <c r="F74" s="62"/>
    </row>
    <row r="75" spans="1:6" s="1" customFormat="1" ht="12.75">
      <c r="A75" s="31" t="s">
        <v>76</v>
      </c>
      <c r="B75" s="3"/>
      <c r="C75" s="32" t="s">
        <v>155</v>
      </c>
      <c r="D75" s="47">
        <f>(D55/100*D32*D66/D61)/((1-D59/100)*12^0.5)/10</f>
        <v>0.0951050006230349</v>
      </c>
      <c r="E75" s="3" t="s">
        <v>14</v>
      </c>
      <c r="F75" s="62"/>
    </row>
    <row r="76" spans="1:6" s="1" customFormat="1" ht="12.75">
      <c r="A76" s="31" t="s">
        <v>113</v>
      </c>
      <c r="B76" s="3"/>
      <c r="C76" s="32" t="s">
        <v>77</v>
      </c>
      <c r="D76" s="3">
        <v>0.104</v>
      </c>
      <c r="E76" s="3" t="s">
        <v>9</v>
      </c>
      <c r="F76" s="62"/>
    </row>
    <row r="77" spans="1:6" s="1" customFormat="1" ht="12.75">
      <c r="A77" s="31" t="s">
        <v>171</v>
      </c>
      <c r="B77" s="48"/>
      <c r="C77" s="28"/>
      <c r="D77" s="47">
        <f>D76/3</f>
        <v>0.034666666666666665</v>
      </c>
      <c r="E77" s="48" t="s">
        <v>20</v>
      </c>
      <c r="F77" s="63"/>
    </row>
    <row r="78" spans="1:6" s="1" customFormat="1" ht="12.75">
      <c r="A78" s="42" t="s">
        <v>23</v>
      </c>
      <c r="B78" s="3"/>
      <c r="C78" s="32" t="s">
        <v>152</v>
      </c>
      <c r="D78" s="49">
        <v>0.033</v>
      </c>
      <c r="E78" s="3" t="s">
        <v>20</v>
      </c>
      <c r="F78" s="62"/>
    </row>
    <row r="79" spans="1:6" s="1" customFormat="1" ht="12.75">
      <c r="A79" s="31" t="s">
        <v>115</v>
      </c>
      <c r="B79" s="3"/>
      <c r="C79" s="32" t="s">
        <v>78</v>
      </c>
      <c r="D79" s="3">
        <v>20.3</v>
      </c>
      <c r="E79" s="3" t="s">
        <v>69</v>
      </c>
      <c r="F79" s="62"/>
    </row>
    <row r="80" spans="1:6" s="1" customFormat="1" ht="12.75">
      <c r="A80" s="31" t="s">
        <v>172</v>
      </c>
      <c r="B80" s="3"/>
      <c r="C80" s="32"/>
      <c r="D80" s="44">
        <f>(D76-3*D78)/D79*10^6</f>
        <v>246.30541871921136</v>
      </c>
      <c r="E80" s="3" t="s">
        <v>20</v>
      </c>
      <c r="F80" s="62"/>
    </row>
    <row r="81" spans="1:6" s="1" customFormat="1" ht="13.5" thickBot="1">
      <c r="A81" s="80" t="s">
        <v>173</v>
      </c>
      <c r="B81" s="66"/>
      <c r="C81" s="67" t="s">
        <v>79</v>
      </c>
      <c r="D81" s="81">
        <v>249</v>
      </c>
      <c r="E81" s="66" t="s">
        <v>20</v>
      </c>
      <c r="F81" s="69"/>
    </row>
    <row r="82" spans="1:6" s="1" customFormat="1" ht="13.5" thickTop="1">
      <c r="A82" s="48"/>
      <c r="B82" s="3"/>
      <c r="C82" s="32"/>
      <c r="D82" s="44"/>
      <c r="E82" s="3"/>
      <c r="F82" s="34"/>
    </row>
    <row r="83" spans="1:6" s="1" customFormat="1" ht="12.75">
      <c r="A83" s="48"/>
      <c r="B83" s="3"/>
      <c r="C83" s="32"/>
      <c r="D83" s="44"/>
      <c r="E83" s="3"/>
      <c r="F83" s="34"/>
    </row>
    <row r="84" spans="1:6" s="1" customFormat="1" ht="12.75">
      <c r="A84" s="48"/>
      <c r="B84" s="3"/>
      <c r="C84" s="32"/>
      <c r="D84" s="44"/>
      <c r="E84" s="3"/>
      <c r="F84" s="34"/>
    </row>
    <row r="85" spans="1:6" s="1" customFormat="1" ht="12.75">
      <c r="A85" s="48"/>
      <c r="B85" s="3"/>
      <c r="C85" s="32"/>
      <c r="D85" s="44"/>
      <c r="E85" s="3"/>
      <c r="F85" s="34"/>
    </row>
    <row r="86" spans="1:6" s="1" customFormat="1" ht="12.75">
      <c r="A86" s="48"/>
      <c r="B86" s="3"/>
      <c r="C86" s="32"/>
      <c r="D86" s="44"/>
      <c r="E86" s="3"/>
      <c r="F86" s="34"/>
    </row>
    <row r="87" spans="1:6" s="1" customFormat="1" ht="12.75">
      <c r="A87" s="48"/>
      <c r="B87" s="3"/>
      <c r="C87" s="32"/>
      <c r="D87" s="44"/>
      <c r="E87" s="3"/>
      <c r="F87" s="34"/>
    </row>
    <row r="88" spans="1:6" s="1" customFormat="1" ht="12.75">
      <c r="A88" s="48"/>
      <c r="B88" s="3"/>
      <c r="C88" s="32"/>
      <c r="D88" s="44"/>
      <c r="E88" s="3"/>
      <c r="F88" s="34"/>
    </row>
    <row r="89" spans="1:6" ht="15">
      <c r="A89" s="60"/>
      <c r="B89" s="60"/>
      <c r="C89" s="60"/>
      <c r="D89" s="60"/>
      <c r="E89" s="60"/>
      <c r="F89" s="60"/>
    </row>
    <row r="90" spans="1:6" ht="10.5" customHeight="1">
      <c r="A90" s="87"/>
      <c r="B90" s="87"/>
      <c r="C90" s="60"/>
      <c r="D90" s="60"/>
      <c r="E90" s="60"/>
      <c r="F90" s="60"/>
    </row>
    <row r="91" spans="1:11" ht="15" hidden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1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1" ht="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1:11" ht="15.75" thickBo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6" s="1" customFormat="1" ht="13.5" thickTop="1">
      <c r="A95" s="70"/>
      <c r="B95" s="10"/>
      <c r="C95" s="71"/>
      <c r="D95" s="72"/>
      <c r="E95" s="10"/>
      <c r="F95" s="73"/>
    </row>
    <row r="96" spans="1:6" s="1" customFormat="1" ht="12.75">
      <c r="A96" s="16" t="s">
        <v>131</v>
      </c>
      <c r="B96" s="3"/>
      <c r="C96" s="32"/>
      <c r="D96" s="44"/>
      <c r="E96" s="3"/>
      <c r="F96" s="62"/>
    </row>
    <row r="97" spans="1:6" s="1" customFormat="1" ht="12.75">
      <c r="A97" s="38"/>
      <c r="B97" s="3"/>
      <c r="C97" s="32"/>
      <c r="D97" s="44"/>
      <c r="E97" s="3"/>
      <c r="F97" s="62"/>
    </row>
    <row r="98" spans="1:6" ht="12.75">
      <c r="A98" s="31" t="s">
        <v>132</v>
      </c>
      <c r="B98" s="3"/>
      <c r="C98" s="32" t="s">
        <v>133</v>
      </c>
      <c r="D98" s="33">
        <v>10</v>
      </c>
      <c r="E98" s="35" t="s">
        <v>9</v>
      </c>
      <c r="F98" s="64"/>
    </row>
    <row r="99" spans="1:6" ht="12.75">
      <c r="A99" s="31" t="s">
        <v>92</v>
      </c>
      <c r="B99" s="3"/>
      <c r="C99" s="32" t="s">
        <v>93</v>
      </c>
      <c r="D99" s="33">
        <v>34</v>
      </c>
      <c r="E99" s="3" t="s">
        <v>94</v>
      </c>
      <c r="F99" s="61" t="s">
        <v>95</v>
      </c>
    </row>
    <row r="100" spans="1:6" ht="12.75">
      <c r="A100" s="31" t="s">
        <v>170</v>
      </c>
      <c r="B100" s="48"/>
      <c r="C100" s="32" t="s">
        <v>98</v>
      </c>
      <c r="D100" s="33">
        <v>1.5</v>
      </c>
      <c r="E100" s="3"/>
      <c r="F100" s="30"/>
    </row>
    <row r="101" spans="1:6" ht="12.75">
      <c r="A101" s="31" t="s">
        <v>134</v>
      </c>
      <c r="B101" s="3"/>
      <c r="C101" s="32" t="s">
        <v>135</v>
      </c>
      <c r="D101" s="47">
        <f>100*(D50*D32*D55/1000)/(D60*D98)</f>
        <v>0.9358107117979796</v>
      </c>
      <c r="E101" s="48" t="s">
        <v>14</v>
      </c>
      <c r="F101" s="62"/>
    </row>
    <row r="102" spans="1:6" ht="12.75">
      <c r="A102" s="31" t="s">
        <v>136</v>
      </c>
      <c r="B102" s="3"/>
      <c r="C102" s="32" t="s">
        <v>137</v>
      </c>
      <c r="D102" s="44">
        <f>100*(1-(D98)/(D50+D37))</f>
        <v>72.03813997707127</v>
      </c>
      <c r="E102" s="48" t="s">
        <v>15</v>
      </c>
      <c r="F102" s="62"/>
    </row>
    <row r="103" spans="1:6" ht="12.75">
      <c r="A103" s="31" t="s">
        <v>96</v>
      </c>
      <c r="B103" s="48"/>
      <c r="C103" s="32" t="s">
        <v>97</v>
      </c>
      <c r="D103" s="47">
        <v>0.3</v>
      </c>
      <c r="E103" s="3" t="s">
        <v>20</v>
      </c>
      <c r="F103" s="30"/>
    </row>
    <row r="104" spans="1:6" ht="15">
      <c r="A104" s="31" t="s">
        <v>99</v>
      </c>
      <c r="B104" s="22"/>
      <c r="C104" s="32" t="s">
        <v>100</v>
      </c>
      <c r="D104" s="50">
        <v>10</v>
      </c>
      <c r="E104" s="22" t="s">
        <v>40</v>
      </c>
      <c r="F104" s="62"/>
    </row>
    <row r="105" spans="1:6" ht="15">
      <c r="A105" s="31" t="s">
        <v>101</v>
      </c>
      <c r="B105" s="22"/>
      <c r="C105" s="32" t="s">
        <v>102</v>
      </c>
      <c r="D105" s="50">
        <v>10</v>
      </c>
      <c r="E105" s="22" t="s">
        <v>40</v>
      </c>
      <c r="F105" s="62"/>
    </row>
    <row r="106" spans="1:6" ht="15">
      <c r="A106" s="31" t="s">
        <v>125</v>
      </c>
      <c r="B106" s="22"/>
      <c r="C106" s="32" t="s">
        <v>129</v>
      </c>
      <c r="D106" s="92">
        <v>0</v>
      </c>
      <c r="E106" s="22" t="s">
        <v>9</v>
      </c>
      <c r="F106" s="61" t="s">
        <v>139</v>
      </c>
    </row>
    <row r="107" spans="1:6" ht="15">
      <c r="A107" s="31" t="s">
        <v>103</v>
      </c>
      <c r="B107" s="22"/>
      <c r="C107" s="32" t="s">
        <v>104</v>
      </c>
      <c r="D107" s="51">
        <f>D101*D101*D103*D100*D102/100</f>
        <v>0.2838906104699398</v>
      </c>
      <c r="E107" s="22" t="s">
        <v>105</v>
      </c>
      <c r="F107" s="62"/>
    </row>
    <row r="108" spans="1:6" ht="15">
      <c r="A108" s="31" t="s">
        <v>106</v>
      </c>
      <c r="B108" s="22"/>
      <c r="C108" s="32" t="s">
        <v>107</v>
      </c>
      <c r="D108" s="51">
        <f>D101*(D50+D37)*(D104+D105)*D43/2/1000</f>
        <v>0.6660668522219924</v>
      </c>
      <c r="E108" s="22" t="s">
        <v>105</v>
      </c>
      <c r="F108" s="62"/>
    </row>
    <row r="109" spans="1:6" ht="15">
      <c r="A109" s="31" t="s">
        <v>108</v>
      </c>
      <c r="B109" s="22"/>
      <c r="C109" s="32" t="s">
        <v>109</v>
      </c>
      <c r="D109" s="51">
        <f>(D55*D44+(D32-1)*D55*(D44+D106))/1000</f>
        <v>0.16671683636363632</v>
      </c>
      <c r="E109" s="22" t="s">
        <v>105</v>
      </c>
      <c r="F109" s="62"/>
    </row>
    <row r="110" spans="1:6" ht="15">
      <c r="A110" s="31" t="s">
        <v>110</v>
      </c>
      <c r="B110" s="22"/>
      <c r="C110" s="32" t="s">
        <v>150</v>
      </c>
      <c r="D110" s="51">
        <f>D107+D108+D109</f>
        <v>1.1166742990555685</v>
      </c>
      <c r="E110" s="22" t="s">
        <v>105</v>
      </c>
      <c r="F110" s="61" t="s">
        <v>151</v>
      </c>
    </row>
    <row r="111" spans="1:6" ht="15">
      <c r="A111" s="31" t="s">
        <v>111</v>
      </c>
      <c r="B111" s="22"/>
      <c r="C111" s="32" t="s">
        <v>148</v>
      </c>
      <c r="D111" s="52">
        <f>D110*D99</f>
        <v>37.966926167889326</v>
      </c>
      <c r="E111" s="22" t="s">
        <v>112</v>
      </c>
      <c r="F111" s="61" t="s">
        <v>149</v>
      </c>
    </row>
    <row r="112" spans="1:6" ht="12.75">
      <c r="A112" s="42"/>
      <c r="B112" s="3"/>
      <c r="C112" s="32"/>
      <c r="D112" s="3"/>
      <c r="E112" s="3"/>
      <c r="F112" s="62"/>
    </row>
    <row r="113" spans="1:6" s="1" customFormat="1" ht="12.75">
      <c r="A113" s="27" t="s">
        <v>25</v>
      </c>
      <c r="B113" s="3"/>
      <c r="C113" s="32"/>
      <c r="D113" s="3"/>
      <c r="E113" s="3"/>
      <c r="F113" s="62"/>
    </row>
    <row r="114" spans="1:6" s="1" customFormat="1" ht="12.75">
      <c r="A114" s="42"/>
      <c r="B114" s="3"/>
      <c r="C114" s="32"/>
      <c r="D114" s="3"/>
      <c r="E114" s="3"/>
      <c r="F114" s="62"/>
    </row>
    <row r="115" spans="1:6" s="1" customFormat="1" ht="12.75">
      <c r="A115" s="31" t="str">
        <f>"Average LED current with R_ISET= "&amp;TEXT(D54,"###.##")&amp;"kOhm"</f>
        <v>Average LED current with R_ISET= 11.kOhm</v>
      </c>
      <c r="B115" s="3"/>
      <c r="C115" s="32"/>
      <c r="D115" s="53">
        <f>D55</f>
        <v>59.541727272727265</v>
      </c>
      <c r="E115" s="3" t="s">
        <v>29</v>
      </c>
      <c r="F115" s="62"/>
    </row>
    <row r="116" spans="1:6" s="1" customFormat="1" ht="12.75">
      <c r="A116" s="31" t="s">
        <v>144</v>
      </c>
      <c r="B116" s="3"/>
      <c r="C116" s="32"/>
      <c r="D116" s="54">
        <f>D50</f>
        <v>35.363</v>
      </c>
      <c r="E116" s="3" t="s">
        <v>9</v>
      </c>
      <c r="F116" s="62"/>
    </row>
    <row r="117" spans="1:6" s="1" customFormat="1" ht="12.75">
      <c r="A117" s="31" t="str">
        <f>"Inductor ripple current with L1= "&amp;TEXT(D65,"###")&amp;"uH"</f>
        <v>Inductor ripple current with L1= 10uH</v>
      </c>
      <c r="B117" s="3"/>
      <c r="C117" s="3"/>
      <c r="D117" s="54">
        <f>D66</f>
        <v>0.3619650383084369</v>
      </c>
      <c r="E117" s="35" t="s">
        <v>16</v>
      </c>
      <c r="F117" s="62"/>
    </row>
    <row r="118" spans="1:6" s="1" customFormat="1" ht="12.75">
      <c r="A118" s="31" t="s">
        <v>88</v>
      </c>
      <c r="B118" s="3"/>
      <c r="C118" s="32"/>
      <c r="D118" s="53">
        <f>D117/D61*100</f>
        <v>38.679300604819</v>
      </c>
      <c r="E118" s="3" t="s">
        <v>15</v>
      </c>
      <c r="F118" s="62"/>
    </row>
    <row r="119" spans="1:6" s="1" customFormat="1" ht="15">
      <c r="A119" s="31" t="s">
        <v>110</v>
      </c>
      <c r="B119" s="3"/>
      <c r="C119" s="32"/>
      <c r="D119" s="54">
        <f>D110</f>
        <v>1.1166742990555685</v>
      </c>
      <c r="E119" s="22" t="s">
        <v>105</v>
      </c>
      <c r="F119" s="62"/>
    </row>
    <row r="120" spans="1:6" s="1" customFormat="1" ht="15">
      <c r="A120" s="31" t="s">
        <v>111</v>
      </c>
      <c r="B120" s="3"/>
      <c r="C120" s="34"/>
      <c r="D120" s="53">
        <f>D111</f>
        <v>37.966926167889326</v>
      </c>
      <c r="E120" s="22" t="s">
        <v>112</v>
      </c>
      <c r="F120" s="62"/>
    </row>
    <row r="121" spans="1:6" ht="15">
      <c r="A121" s="21"/>
      <c r="B121" s="22"/>
      <c r="C121" s="22"/>
      <c r="D121" s="22"/>
      <c r="E121" s="22"/>
      <c r="F121" s="25"/>
    </row>
    <row r="122" spans="1:6" ht="15.75" thickBot="1">
      <c r="A122" s="55" t="s">
        <v>138</v>
      </c>
      <c r="B122" s="56"/>
      <c r="C122" s="56"/>
      <c r="D122" s="56"/>
      <c r="E122" s="56"/>
      <c r="F122" s="65"/>
    </row>
    <row r="123" spans="1:6" ht="15.75" thickTop="1">
      <c r="A123" s="6"/>
      <c r="B123" s="6"/>
      <c r="C123" s="6"/>
      <c r="D123" s="6"/>
      <c r="E123" s="6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0.5" customHeight="1">
      <c r="A125" s="87"/>
      <c r="B125" s="87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11" ht="15">
      <c r="A127" s="87"/>
      <c r="B127" s="87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" hidden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20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</row>
    <row r="136" spans="1:20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</row>
    <row r="137" spans="1:20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</row>
    <row r="138" spans="1:20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</row>
    <row r="139" spans="1:20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</row>
    <row r="140" spans="1:20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</row>
    <row r="141" spans="1:20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</row>
    <row r="142" spans="1:20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</row>
    <row r="143" spans="1:20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</row>
    <row r="144" spans="1:20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</row>
    <row r="145" spans="1:20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</row>
    <row r="146" spans="1:20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</row>
    <row r="147" spans="1:20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</row>
    <row r="148" spans="1:20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</row>
    <row r="149" spans="1:20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</row>
    <row r="150" spans="1:20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</row>
    <row r="151" spans="1:20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</row>
    <row r="152" spans="1:20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</row>
    <row r="153" spans="1:20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</row>
    <row r="154" spans="1:20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</row>
    <row r="155" spans="1:20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</row>
    <row r="156" spans="1:1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5">
      <c r="A189" s="3"/>
      <c r="B189" s="3"/>
      <c r="C189" s="3"/>
      <c r="D189" s="3"/>
      <c r="E189" s="3"/>
      <c r="F189" s="3"/>
      <c r="G189" s="5"/>
      <c r="H189" s="5"/>
      <c r="I189" s="5"/>
      <c r="J189" s="5"/>
      <c r="K189" s="5"/>
    </row>
    <row r="190" spans="1:11" ht="15">
      <c r="A190" s="3"/>
      <c r="B190" s="3"/>
      <c r="C190" s="3"/>
      <c r="D190" s="3"/>
      <c r="E190" s="3"/>
      <c r="F190" s="3"/>
      <c r="G190" s="5"/>
      <c r="H190" s="5"/>
      <c r="I190" s="5"/>
      <c r="J190" s="5"/>
      <c r="K190" s="5"/>
    </row>
    <row r="191" spans="1:11" ht="15">
      <c r="A191" s="3"/>
      <c r="B191" s="3"/>
      <c r="C191" s="3"/>
      <c r="D191" s="3"/>
      <c r="E191" s="3"/>
      <c r="F191" s="3"/>
      <c r="G191" s="5"/>
      <c r="H191" s="5"/>
      <c r="I191" s="5"/>
      <c r="J191" s="5"/>
      <c r="K191" s="5"/>
    </row>
    <row r="192" spans="1:11" ht="15">
      <c r="A192" s="4"/>
      <c r="B192" s="3"/>
      <c r="C192" s="3"/>
      <c r="D192" s="3"/>
      <c r="E192" s="3"/>
      <c r="F192" s="3"/>
      <c r="G192" s="5"/>
      <c r="H192" s="5"/>
      <c r="I192" s="5"/>
      <c r="J192" s="5"/>
      <c r="K192" s="5"/>
    </row>
    <row r="193" spans="7:11" ht="15">
      <c r="G193" s="5"/>
      <c r="H193" s="5"/>
      <c r="I193" s="5"/>
      <c r="J193" s="5"/>
      <c r="K193" s="5"/>
    </row>
    <row r="194" spans="7:11" ht="15">
      <c r="G194" s="5"/>
      <c r="H194" s="5"/>
      <c r="I194" s="5"/>
      <c r="J194" s="5"/>
      <c r="K194" s="5"/>
    </row>
    <row r="195" spans="7:11" ht="15">
      <c r="G195" s="5"/>
      <c r="H195" s="5"/>
      <c r="I195" s="5"/>
      <c r="J195" s="5"/>
      <c r="K195" s="5"/>
    </row>
    <row r="196" spans="7:11" ht="15">
      <c r="G196" s="5"/>
      <c r="H196" s="5"/>
      <c r="I196" s="5"/>
      <c r="J196" s="5"/>
      <c r="K196" s="5"/>
    </row>
    <row r="197" spans="7:11" ht="15">
      <c r="G197" s="5"/>
      <c r="H197" s="5"/>
      <c r="I197" s="5"/>
      <c r="J197" s="5"/>
      <c r="K197" s="5"/>
    </row>
    <row r="198" spans="7:11" ht="15">
      <c r="G198" s="5"/>
      <c r="H198" s="5"/>
      <c r="I198" s="5"/>
      <c r="J198" s="5"/>
      <c r="K198" s="5"/>
    </row>
    <row r="199" spans="7:11" ht="15">
      <c r="G199" s="5"/>
      <c r="H199" s="5"/>
      <c r="I199" s="5"/>
      <c r="J199" s="5"/>
      <c r="K199" s="5"/>
    </row>
    <row r="200" spans="7:11" ht="15">
      <c r="G200" s="5"/>
      <c r="H200" s="5"/>
      <c r="I200" s="5"/>
      <c r="J200" s="5"/>
      <c r="K200" s="5"/>
    </row>
    <row r="201" spans="7:11" ht="15">
      <c r="G201" s="5"/>
      <c r="H201" s="5"/>
      <c r="I201" s="5"/>
      <c r="J201" s="5"/>
      <c r="K201" s="5"/>
    </row>
    <row r="202" spans="7:11" ht="15">
      <c r="G202" s="5"/>
      <c r="H202" s="5"/>
      <c r="I202" s="5"/>
      <c r="J202" s="5"/>
      <c r="K202" s="5"/>
    </row>
    <row r="203" spans="7:11" ht="15">
      <c r="G203" s="5"/>
      <c r="H203" s="5"/>
      <c r="I203" s="5"/>
      <c r="J203" s="5"/>
      <c r="K203" s="5"/>
    </row>
    <row r="204" spans="7:11" ht="15">
      <c r="G204" s="5"/>
      <c r="H204" s="5"/>
      <c r="I204" s="5"/>
      <c r="J204" s="5"/>
      <c r="K204" s="5"/>
    </row>
    <row r="205" spans="7:11" ht="15">
      <c r="G205" s="5"/>
      <c r="H205" s="5"/>
      <c r="I205" s="5"/>
      <c r="J205" s="5"/>
      <c r="K205" s="5"/>
    </row>
    <row r="206" spans="7:11" ht="15">
      <c r="G206" s="5"/>
      <c r="H206" s="5"/>
      <c r="I206" s="5"/>
      <c r="J206" s="5"/>
      <c r="K206" s="5"/>
    </row>
    <row r="207" spans="7:11" ht="15">
      <c r="G207" s="5"/>
      <c r="H207" s="5"/>
      <c r="I207" s="5"/>
      <c r="J207" s="5"/>
      <c r="K207" s="5"/>
    </row>
    <row r="208" spans="7:11" ht="15">
      <c r="G208" s="5"/>
      <c r="H208" s="5"/>
      <c r="I208" s="5"/>
      <c r="J208" s="5"/>
      <c r="K208" s="5"/>
    </row>
    <row r="209" spans="7:11" ht="15">
      <c r="G209" s="5"/>
      <c r="H209" s="5"/>
      <c r="I209" s="5"/>
      <c r="J209" s="5"/>
      <c r="K209" s="5"/>
    </row>
    <row r="210" spans="7:11" ht="15">
      <c r="G210" s="5"/>
      <c r="H210" s="5"/>
      <c r="I210" s="5"/>
      <c r="J210" s="5"/>
      <c r="K210" s="5"/>
    </row>
    <row r="211" spans="7:11" ht="15">
      <c r="G211" s="5"/>
      <c r="H211" s="5"/>
      <c r="I211" s="5"/>
      <c r="J211" s="5"/>
      <c r="K211" s="5"/>
    </row>
    <row r="212" spans="7:11" ht="15">
      <c r="G212" s="5"/>
      <c r="H212" s="5"/>
      <c r="I212" s="5"/>
      <c r="J212" s="5"/>
      <c r="K212" s="5"/>
    </row>
    <row r="213" spans="7:11" ht="15">
      <c r="G213" s="5"/>
      <c r="H213" s="5"/>
      <c r="I213" s="5"/>
      <c r="J213" s="5"/>
      <c r="K213" s="5"/>
    </row>
    <row r="214" spans="7:11" ht="15">
      <c r="G214" s="5"/>
      <c r="H214" s="5"/>
      <c r="I214" s="5"/>
      <c r="J214" s="5"/>
      <c r="K214" s="5"/>
    </row>
    <row r="215" spans="7:11" ht="15">
      <c r="G215" s="5"/>
      <c r="H215" s="5"/>
      <c r="I215" s="5"/>
      <c r="J215" s="5"/>
      <c r="K215" s="5"/>
    </row>
    <row r="216" spans="7:11" ht="15">
      <c r="G216" s="5"/>
      <c r="H216" s="5"/>
      <c r="I216" s="5"/>
      <c r="J216" s="5"/>
      <c r="K216" s="5"/>
    </row>
    <row r="217" spans="7:11" ht="15">
      <c r="G217" s="5"/>
      <c r="H217" s="5"/>
      <c r="I217" s="5"/>
      <c r="J217" s="5"/>
      <c r="K217" s="5"/>
    </row>
    <row r="218" spans="7:11" ht="15">
      <c r="G218" s="5"/>
      <c r="H218" s="5"/>
      <c r="I218" s="5"/>
      <c r="J218" s="5"/>
      <c r="K218" s="5"/>
    </row>
    <row r="219" spans="7:11" ht="15">
      <c r="G219" s="5"/>
      <c r="H219" s="5"/>
      <c r="I219" s="5"/>
      <c r="J219" s="5"/>
      <c r="K219" s="5"/>
    </row>
    <row r="220" spans="7:11" ht="15">
      <c r="G220" s="5"/>
      <c r="H220" s="5"/>
      <c r="I220" s="5"/>
      <c r="J220" s="5"/>
      <c r="K220" s="5"/>
    </row>
    <row r="221" spans="7:11" ht="15">
      <c r="G221" s="5"/>
      <c r="H221" s="5"/>
      <c r="I221" s="5"/>
      <c r="J221" s="5"/>
      <c r="K221" s="5"/>
    </row>
    <row r="222" spans="7:11" ht="15">
      <c r="G222" s="5"/>
      <c r="H222" s="5"/>
      <c r="I222" s="5"/>
      <c r="J222" s="5"/>
      <c r="K222" s="5"/>
    </row>
    <row r="223" spans="7:11" ht="15">
      <c r="G223" s="5"/>
      <c r="H223" s="5"/>
      <c r="I223" s="5"/>
      <c r="J223" s="5"/>
      <c r="K223" s="5"/>
    </row>
    <row r="224" spans="7:11" ht="15">
      <c r="G224" s="5"/>
      <c r="H224" s="5"/>
      <c r="I224" s="5"/>
      <c r="J224" s="5"/>
      <c r="K224" s="5"/>
    </row>
    <row r="225" spans="7:11" ht="15">
      <c r="G225" s="5"/>
      <c r="H225" s="5"/>
      <c r="I225" s="5"/>
      <c r="J225" s="5"/>
      <c r="K225" s="5"/>
    </row>
    <row r="226" spans="7:11" ht="15">
      <c r="G226" s="5"/>
      <c r="H226" s="5"/>
      <c r="I226" s="5"/>
      <c r="J226" s="5"/>
      <c r="K226" s="5"/>
    </row>
    <row r="227" spans="7:11" ht="15">
      <c r="G227" s="5"/>
      <c r="H227" s="5"/>
      <c r="I227" s="5"/>
      <c r="J227" s="5"/>
      <c r="K227" s="5"/>
    </row>
    <row r="228" spans="7:11" ht="15">
      <c r="G228" s="5"/>
      <c r="H228" s="5"/>
      <c r="I228" s="5"/>
      <c r="J228" s="5"/>
      <c r="K228" s="5"/>
    </row>
    <row r="229" spans="7:11" ht="15">
      <c r="G229" s="5"/>
      <c r="H229" s="5"/>
      <c r="I229" s="5"/>
      <c r="J229" s="5"/>
      <c r="K229" s="5"/>
    </row>
    <row r="230" spans="7:11" ht="15">
      <c r="G230" s="5"/>
      <c r="H230" s="5"/>
      <c r="I230" s="5"/>
      <c r="J230" s="5"/>
      <c r="K230" s="5"/>
    </row>
    <row r="231" spans="7:11" ht="15">
      <c r="G231" s="5"/>
      <c r="H231" s="5"/>
      <c r="I231" s="5"/>
      <c r="J231" s="5"/>
      <c r="K231" s="5"/>
    </row>
    <row r="232" spans="7:11" ht="15">
      <c r="G232" s="5"/>
      <c r="H232" s="5"/>
      <c r="I232" s="5"/>
      <c r="J232" s="5"/>
      <c r="K232" s="5"/>
    </row>
    <row r="233" spans="7:11" ht="15">
      <c r="G233" s="5"/>
      <c r="H233" s="5"/>
      <c r="I233" s="5"/>
      <c r="J233" s="5"/>
      <c r="K233" s="5"/>
    </row>
    <row r="234" spans="7:11" ht="15">
      <c r="G234" s="5"/>
      <c r="H234" s="5"/>
      <c r="I234" s="5"/>
      <c r="J234" s="5"/>
      <c r="K234" s="5"/>
    </row>
    <row r="235" spans="7:11" ht="15">
      <c r="G235" s="5"/>
      <c r="H235" s="5"/>
      <c r="I235" s="5"/>
      <c r="J235" s="5"/>
      <c r="K235" s="5"/>
    </row>
    <row r="236" spans="7:11" ht="15">
      <c r="G236" s="5"/>
      <c r="H236" s="5"/>
      <c r="I236" s="5"/>
      <c r="J236" s="5"/>
      <c r="K236" s="5"/>
    </row>
    <row r="237" spans="7:11" ht="15">
      <c r="G237" s="5"/>
      <c r="H237" s="5"/>
      <c r="I237" s="5"/>
      <c r="J237" s="5"/>
      <c r="K237" s="5"/>
    </row>
    <row r="238" spans="7:11" ht="15">
      <c r="G238" s="5"/>
      <c r="H238" s="5"/>
      <c r="I238" s="5"/>
      <c r="J238" s="5"/>
      <c r="K238" s="5"/>
    </row>
    <row r="239" spans="7:11" ht="15">
      <c r="G239" s="5"/>
      <c r="H239" s="5"/>
      <c r="I239" s="5"/>
      <c r="J239" s="5"/>
      <c r="K239" s="5"/>
    </row>
    <row r="240" spans="7:11" ht="15">
      <c r="G240" s="5"/>
      <c r="H240" s="5"/>
      <c r="I240" s="5"/>
      <c r="J240" s="5"/>
      <c r="K240" s="5"/>
    </row>
    <row r="241" spans="7:11" ht="15">
      <c r="G241" s="5"/>
      <c r="H241" s="5"/>
      <c r="I241" s="5"/>
      <c r="J241" s="5"/>
      <c r="K241" s="5"/>
    </row>
    <row r="242" spans="7:11" ht="15">
      <c r="G242" s="5"/>
      <c r="H242" s="5"/>
      <c r="I242" s="5"/>
      <c r="J242" s="5"/>
      <c r="K242" s="5"/>
    </row>
    <row r="243" spans="7:11" ht="15">
      <c r="G243" s="5"/>
      <c r="H243" s="5"/>
      <c r="I243" s="5"/>
      <c r="J243" s="5"/>
      <c r="K243" s="5"/>
    </row>
    <row r="244" spans="7:11" ht="15">
      <c r="G244" s="5"/>
      <c r="H244" s="5"/>
      <c r="I244" s="5"/>
      <c r="J244" s="5"/>
      <c r="K244" s="5"/>
    </row>
    <row r="245" spans="7:11" ht="15">
      <c r="G245" s="5"/>
      <c r="H245" s="5"/>
      <c r="I245" s="5"/>
      <c r="J245" s="5"/>
      <c r="K245" s="5"/>
    </row>
    <row r="246" spans="7:11" ht="15">
      <c r="G246" s="5"/>
      <c r="H246" s="5"/>
      <c r="I246" s="5"/>
      <c r="J246" s="5"/>
      <c r="K246" s="5"/>
    </row>
    <row r="247" spans="7:11" ht="15">
      <c r="G247" s="5"/>
      <c r="H247" s="5"/>
      <c r="I247" s="5"/>
      <c r="J247" s="5"/>
      <c r="K247" s="5"/>
    </row>
    <row r="248" spans="7:11" ht="15">
      <c r="G248" s="5"/>
      <c r="H248" s="5"/>
      <c r="I248" s="5"/>
      <c r="J248" s="5"/>
      <c r="K248" s="5"/>
    </row>
    <row r="249" spans="7:11" ht="15">
      <c r="G249" s="5"/>
      <c r="H249" s="5"/>
      <c r="I249" s="5"/>
      <c r="J249" s="5"/>
      <c r="K249" s="5"/>
    </row>
    <row r="250" spans="7:11" ht="15">
      <c r="G250" s="5"/>
      <c r="H250" s="5"/>
      <c r="I250" s="5"/>
      <c r="J250" s="5"/>
      <c r="K250" s="5"/>
    </row>
    <row r="251" spans="7:11" ht="15">
      <c r="G251" s="5"/>
      <c r="H251" s="5"/>
      <c r="I251" s="5"/>
      <c r="J251" s="5"/>
      <c r="K251" s="5"/>
    </row>
    <row r="252" spans="7:11" ht="15">
      <c r="G252" s="5"/>
      <c r="H252" s="5"/>
      <c r="I252" s="5"/>
      <c r="J252" s="5"/>
      <c r="K252" s="5"/>
    </row>
    <row r="253" spans="7:11" ht="15">
      <c r="G253" s="5"/>
      <c r="H253" s="5"/>
      <c r="I253" s="5"/>
      <c r="J253" s="5"/>
      <c r="K253" s="5"/>
    </row>
    <row r="254" spans="7:11" ht="15">
      <c r="G254" s="5"/>
      <c r="H254" s="5"/>
      <c r="I254" s="5"/>
      <c r="J254" s="5"/>
      <c r="K254" s="5"/>
    </row>
    <row r="255" spans="7:11" ht="15">
      <c r="G255" s="5"/>
      <c r="H255" s="5"/>
      <c r="I255" s="5"/>
      <c r="J255" s="5"/>
      <c r="K255" s="5"/>
    </row>
    <row r="256" spans="7:11" ht="15">
      <c r="G256" s="5"/>
      <c r="H256" s="5"/>
      <c r="I256" s="5"/>
      <c r="J256" s="5"/>
      <c r="K256" s="5"/>
    </row>
    <row r="257" spans="7:11" ht="15">
      <c r="G257" s="5"/>
      <c r="H257" s="5"/>
      <c r="I257" s="5"/>
      <c r="J257" s="5"/>
      <c r="K257" s="5"/>
    </row>
    <row r="258" spans="7:11" ht="15">
      <c r="G258" s="5"/>
      <c r="H258" s="5"/>
      <c r="I258" s="5"/>
      <c r="J258" s="5"/>
      <c r="K258" s="5"/>
    </row>
    <row r="259" spans="7:11" ht="15">
      <c r="G259" s="5"/>
      <c r="H259" s="5"/>
      <c r="I259" s="5"/>
      <c r="J259" s="5"/>
      <c r="K259" s="5"/>
    </row>
    <row r="260" spans="7:11" ht="15">
      <c r="G260" s="5"/>
      <c r="H260" s="5"/>
      <c r="I260" s="5"/>
      <c r="J260" s="5"/>
      <c r="K260" s="5"/>
    </row>
    <row r="261" spans="7:11" ht="15">
      <c r="G261" s="5"/>
      <c r="H261" s="5"/>
      <c r="I261" s="5"/>
      <c r="J261" s="5"/>
      <c r="K261" s="5"/>
    </row>
    <row r="262" spans="7:11" ht="15">
      <c r="G262" s="5"/>
      <c r="H262" s="5"/>
      <c r="I262" s="5"/>
      <c r="J262" s="5"/>
      <c r="K262" s="5"/>
    </row>
    <row r="263" spans="7:11" ht="15">
      <c r="G263" s="5"/>
      <c r="H263" s="5"/>
      <c r="I263" s="5"/>
      <c r="J263" s="5"/>
      <c r="K263" s="5"/>
    </row>
    <row r="264" spans="7:11" ht="15">
      <c r="G264" s="5"/>
      <c r="H264" s="5"/>
      <c r="I264" s="5"/>
      <c r="J264" s="5"/>
      <c r="K264" s="5"/>
    </row>
    <row r="265" spans="7:11" ht="15">
      <c r="G265" s="5"/>
      <c r="H265" s="5"/>
      <c r="I265" s="5"/>
      <c r="J265" s="5"/>
      <c r="K265" s="5"/>
    </row>
    <row r="266" spans="7:11" ht="15">
      <c r="G266" s="5"/>
      <c r="H266" s="5"/>
      <c r="I266" s="5"/>
      <c r="J266" s="5"/>
      <c r="K266" s="5"/>
    </row>
    <row r="267" spans="7:11" ht="15">
      <c r="G267" s="5"/>
      <c r="H267" s="5"/>
      <c r="I267" s="5"/>
      <c r="J267" s="5"/>
      <c r="K267" s="5"/>
    </row>
    <row r="268" spans="7:11" ht="15">
      <c r="G268" s="5"/>
      <c r="H268" s="5"/>
      <c r="I268" s="5"/>
      <c r="J268" s="5"/>
      <c r="K268" s="5"/>
    </row>
    <row r="269" spans="7:11" ht="15">
      <c r="G269" s="5"/>
      <c r="H269" s="5"/>
      <c r="I269" s="5"/>
      <c r="J269" s="5"/>
      <c r="K269" s="5"/>
    </row>
    <row r="270" spans="7:11" ht="15">
      <c r="G270" s="5"/>
      <c r="H270" s="5"/>
      <c r="I270" s="5"/>
      <c r="J270" s="5"/>
      <c r="K270" s="5"/>
    </row>
    <row r="271" spans="7:11" ht="15">
      <c r="G271" s="5"/>
      <c r="H271" s="5"/>
      <c r="I271" s="5"/>
      <c r="J271" s="5"/>
      <c r="K271" s="5"/>
    </row>
    <row r="272" spans="7:11" ht="15">
      <c r="G272" s="5"/>
      <c r="H272" s="5"/>
      <c r="I272" s="5"/>
      <c r="J272" s="5"/>
      <c r="K272" s="5"/>
    </row>
    <row r="273" spans="7:11" ht="15">
      <c r="G273" s="5"/>
      <c r="H273" s="5"/>
      <c r="I273" s="5"/>
      <c r="J273" s="5"/>
      <c r="K273" s="5"/>
    </row>
    <row r="274" spans="7:11" ht="15">
      <c r="G274" s="5"/>
      <c r="H274" s="5"/>
      <c r="I274" s="5"/>
      <c r="J274" s="5"/>
      <c r="K274" s="5"/>
    </row>
    <row r="275" spans="7:11" ht="15">
      <c r="G275" s="5"/>
      <c r="H275" s="5"/>
      <c r="I275" s="5"/>
      <c r="J275" s="5"/>
      <c r="K275" s="5"/>
    </row>
    <row r="276" spans="7:11" ht="15">
      <c r="G276" s="5"/>
      <c r="H276" s="5"/>
      <c r="I276" s="5"/>
      <c r="J276" s="5"/>
      <c r="K276" s="5"/>
    </row>
    <row r="277" spans="7:11" ht="15">
      <c r="G277" s="5"/>
      <c r="H277" s="5"/>
      <c r="I277" s="5"/>
      <c r="J277" s="5"/>
      <c r="K277" s="5"/>
    </row>
    <row r="278" spans="7:11" ht="15">
      <c r="G278" s="5"/>
      <c r="H278" s="5"/>
      <c r="I278" s="5"/>
      <c r="J278" s="5"/>
      <c r="K278" s="5"/>
    </row>
    <row r="279" spans="7:11" ht="15">
      <c r="G279" s="5"/>
      <c r="H279" s="5"/>
      <c r="I279" s="5"/>
      <c r="J279" s="5"/>
      <c r="K279" s="5"/>
    </row>
    <row r="280" spans="7:11" ht="15">
      <c r="G280" s="5"/>
      <c r="H280" s="5"/>
      <c r="I280" s="5"/>
      <c r="J280" s="5"/>
      <c r="K280" s="5"/>
    </row>
    <row r="281" spans="7:11" ht="15">
      <c r="G281" s="5"/>
      <c r="H281" s="5"/>
      <c r="I281" s="5"/>
      <c r="J281" s="5"/>
      <c r="K281" s="5"/>
    </row>
    <row r="282" spans="7:11" ht="15">
      <c r="G282" s="5"/>
      <c r="H282" s="5"/>
      <c r="I282" s="5"/>
      <c r="J282" s="5"/>
      <c r="K282" s="5"/>
    </row>
    <row r="283" spans="7:11" ht="15">
      <c r="G283" s="5"/>
      <c r="H283" s="5"/>
      <c r="I283" s="5"/>
      <c r="J283" s="5"/>
      <c r="K283" s="5"/>
    </row>
    <row r="284" spans="7:11" ht="15">
      <c r="G284" s="5"/>
      <c r="H284" s="5"/>
      <c r="I284" s="5"/>
      <c r="J284" s="5"/>
      <c r="K284" s="5"/>
    </row>
    <row r="285" spans="7:11" ht="15">
      <c r="G285" s="5"/>
      <c r="H285" s="5"/>
      <c r="I285" s="5"/>
      <c r="J285" s="5"/>
      <c r="K285" s="5"/>
    </row>
    <row r="286" spans="7:11" ht="15">
      <c r="G286" s="5"/>
      <c r="H286" s="5"/>
      <c r="I286" s="5"/>
      <c r="J286" s="5"/>
      <c r="K286" s="5"/>
    </row>
    <row r="287" spans="7:11" ht="15">
      <c r="G287" s="5"/>
      <c r="H287" s="5"/>
      <c r="I287" s="5"/>
      <c r="J287" s="5"/>
      <c r="K287" s="5"/>
    </row>
    <row r="288" spans="7:11" ht="15">
      <c r="G288" s="5"/>
      <c r="H288" s="5"/>
      <c r="I288" s="5"/>
      <c r="J288" s="5"/>
      <c r="K288" s="5"/>
    </row>
    <row r="289" spans="7:11" ht="15">
      <c r="G289" s="5"/>
      <c r="H289" s="5"/>
      <c r="I289" s="5"/>
      <c r="J289" s="5"/>
      <c r="K289" s="5"/>
    </row>
    <row r="290" spans="7:11" ht="15">
      <c r="G290" s="5"/>
      <c r="H290" s="5"/>
      <c r="I290" s="5"/>
      <c r="J290" s="5"/>
      <c r="K290" s="5"/>
    </row>
    <row r="291" spans="7:11" ht="15">
      <c r="G291" s="5"/>
      <c r="H291" s="5"/>
      <c r="I291" s="5"/>
      <c r="J291" s="5"/>
      <c r="K291" s="5"/>
    </row>
    <row r="292" spans="7:11" ht="15">
      <c r="G292" s="5"/>
      <c r="H292" s="5"/>
      <c r="I292" s="5"/>
      <c r="J292" s="5"/>
      <c r="K292" s="5"/>
    </row>
    <row r="293" spans="7:11" ht="15">
      <c r="G293" s="5"/>
      <c r="H293" s="5"/>
      <c r="I293" s="5"/>
      <c r="J293" s="5"/>
      <c r="K293" s="5"/>
    </row>
    <row r="294" spans="7:11" ht="15">
      <c r="G294" s="5"/>
      <c r="H294" s="5"/>
      <c r="I294" s="5"/>
      <c r="J294" s="5"/>
      <c r="K294" s="5"/>
    </row>
    <row r="295" spans="7:11" ht="15">
      <c r="G295" s="5"/>
      <c r="H295" s="5"/>
      <c r="I295" s="5"/>
      <c r="J295" s="5"/>
      <c r="K295" s="5"/>
    </row>
    <row r="296" spans="7:11" ht="15">
      <c r="G296" s="5"/>
      <c r="H296" s="5"/>
      <c r="I296" s="5"/>
      <c r="J296" s="5"/>
      <c r="K296" s="5"/>
    </row>
    <row r="297" spans="7:11" ht="15">
      <c r="G297" s="5"/>
      <c r="H297" s="5"/>
      <c r="I297" s="5"/>
      <c r="J297" s="5"/>
      <c r="K297" s="5"/>
    </row>
    <row r="298" spans="7:11" ht="15">
      <c r="G298" s="5"/>
      <c r="H298" s="5"/>
      <c r="I298" s="5"/>
      <c r="J298" s="5"/>
      <c r="K298" s="5"/>
    </row>
    <row r="299" spans="7:11" ht="15">
      <c r="G299" s="5"/>
      <c r="H299" s="5"/>
      <c r="I299" s="5"/>
      <c r="J299" s="5"/>
      <c r="K299" s="5"/>
    </row>
    <row r="300" spans="7:11" ht="15">
      <c r="G300" s="5"/>
      <c r="H300" s="5"/>
      <c r="I300" s="5"/>
      <c r="J300" s="5"/>
      <c r="K300" s="5"/>
    </row>
  </sheetData>
  <sheetProtection/>
  <mergeCells count="8">
    <mergeCell ref="A1:D1"/>
    <mergeCell ref="A5:E5"/>
    <mergeCell ref="A125:B125"/>
    <mergeCell ref="A127:B127"/>
    <mergeCell ref="A35:B35"/>
    <mergeCell ref="A9:B9"/>
    <mergeCell ref="A11:B11"/>
    <mergeCell ref="A90:B90"/>
  </mergeCells>
  <printOptions/>
  <pageMargins left="0.7480314960629921" right="0.5118110236220472" top="0.7480314960629921" bottom="0.2362204724409449" header="0.5118110236220472" footer="0.2362204724409449"/>
  <pageSetup horizontalDpi="300" verticalDpi="300" orientation="portrait" scale="62" r:id="rId4"/>
  <headerFooter alignWithMargins="0">
    <oddHeader>&amp;L&amp;F&amp;C&amp;D&amp;R&amp;A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="110" zoomScaleNormal="110" zoomScalePageLayoutView="0" workbookViewId="0" topLeftCell="A1">
      <selection activeCell="A1" sqref="A1:D1"/>
    </sheetView>
  </sheetViews>
  <sheetFormatPr defaultColWidth="9.140625" defaultRowHeight="12.75"/>
  <cols>
    <col min="1" max="1" width="40.28125" style="0" customWidth="1"/>
    <col min="2" max="2" width="8.28125" style="0" customWidth="1"/>
    <col min="3" max="3" width="15.421875" style="0" customWidth="1"/>
    <col min="6" max="6" width="53.140625" style="0" customWidth="1"/>
  </cols>
  <sheetData>
    <row r="1" spans="1:6" ht="16.5" thickTop="1">
      <c r="A1" s="83" t="s">
        <v>126</v>
      </c>
      <c r="B1" s="84"/>
      <c r="C1" s="84"/>
      <c r="D1" s="84"/>
      <c r="E1" s="10"/>
      <c r="F1" s="11"/>
    </row>
    <row r="2" spans="1:6" ht="15.75">
      <c r="A2" s="57" t="s">
        <v>116</v>
      </c>
      <c r="B2" s="13"/>
      <c r="C2" s="13"/>
      <c r="D2" s="14" t="s">
        <v>177</v>
      </c>
      <c r="E2" s="3"/>
      <c r="F2" s="15"/>
    </row>
    <row r="3" spans="1:6" ht="15.75">
      <c r="A3" s="16" t="s">
        <v>0</v>
      </c>
      <c r="B3" s="13"/>
      <c r="C3" s="13"/>
      <c r="D3" s="13"/>
      <c r="E3" s="3"/>
      <c r="F3" s="15"/>
    </row>
    <row r="4" spans="1:6" ht="15.75">
      <c r="A4" s="17" t="s">
        <v>1</v>
      </c>
      <c r="B4" s="13"/>
      <c r="C4" s="13"/>
      <c r="D4" s="18"/>
      <c r="E4" s="3"/>
      <c r="F4" s="15"/>
    </row>
    <row r="5" spans="1:6" ht="12.75">
      <c r="A5" s="85" t="s">
        <v>2</v>
      </c>
      <c r="B5" s="86"/>
      <c r="C5" s="86"/>
      <c r="D5" s="86"/>
      <c r="E5" s="86"/>
      <c r="F5" s="15"/>
    </row>
    <row r="6" spans="1:6" ht="15.75">
      <c r="A6" s="17" t="s">
        <v>3</v>
      </c>
      <c r="B6" s="13"/>
      <c r="C6" s="13"/>
      <c r="D6" s="13"/>
      <c r="E6" s="3"/>
      <c r="F6" s="15"/>
    </row>
    <row r="7" spans="1:6" ht="15.75">
      <c r="A7" s="19" t="s">
        <v>4</v>
      </c>
      <c r="B7" s="20"/>
      <c r="C7" s="20"/>
      <c r="D7" s="20"/>
      <c r="E7" s="3"/>
      <c r="F7" s="15"/>
    </row>
    <row r="8" spans="1:6" ht="12.75">
      <c r="A8" s="31"/>
      <c r="B8" s="3"/>
      <c r="C8" s="3"/>
      <c r="D8" s="3"/>
      <c r="E8" s="3"/>
      <c r="F8" s="15"/>
    </row>
    <row r="9" spans="1:6" ht="12.75">
      <c r="A9" s="31"/>
      <c r="B9" s="3"/>
      <c r="C9" s="3"/>
      <c r="D9" s="3"/>
      <c r="E9" s="3"/>
      <c r="F9" s="15"/>
    </row>
    <row r="10" spans="1:6" ht="12.75">
      <c r="A10" s="31"/>
      <c r="B10" s="3"/>
      <c r="C10" s="3"/>
      <c r="D10" s="3"/>
      <c r="E10" s="3"/>
      <c r="F10" s="15"/>
    </row>
    <row r="11" spans="1:6" ht="12.75">
      <c r="A11" s="31"/>
      <c r="B11" s="3"/>
      <c r="C11" s="3"/>
      <c r="D11" s="3"/>
      <c r="E11" s="3"/>
      <c r="F11" s="15"/>
    </row>
    <row r="12" spans="1:6" ht="12.75">
      <c r="A12" s="31"/>
      <c r="B12" s="3"/>
      <c r="C12" s="3"/>
      <c r="D12" s="3"/>
      <c r="E12" s="3"/>
      <c r="F12" s="15"/>
    </row>
    <row r="13" spans="1:6" ht="12.75">
      <c r="A13" s="31"/>
      <c r="B13" s="3"/>
      <c r="C13" s="3"/>
      <c r="D13" s="3"/>
      <c r="E13" s="3"/>
      <c r="F13" s="15"/>
    </row>
    <row r="14" spans="1:6" ht="12.75">
      <c r="A14" s="31"/>
      <c r="B14" s="3"/>
      <c r="C14" s="3"/>
      <c r="D14" s="3"/>
      <c r="E14" s="3"/>
      <c r="F14" s="15"/>
    </row>
    <row r="15" spans="1:6" ht="12.75">
      <c r="A15" s="31"/>
      <c r="B15" s="3"/>
      <c r="C15" s="3"/>
      <c r="D15" s="3"/>
      <c r="E15" s="3"/>
      <c r="F15" s="15"/>
    </row>
    <row r="16" spans="1:6" ht="12.75">
      <c r="A16" s="31"/>
      <c r="B16" s="3"/>
      <c r="C16" s="3"/>
      <c r="D16" s="3"/>
      <c r="E16" s="3"/>
      <c r="F16" s="15"/>
    </row>
    <row r="17" spans="1:6" ht="12.75">
      <c r="A17" s="31"/>
      <c r="B17" s="3"/>
      <c r="C17" s="3"/>
      <c r="D17" s="3"/>
      <c r="E17" s="3"/>
      <c r="F17" s="15"/>
    </row>
    <row r="18" spans="1:6" ht="12.75">
      <c r="A18" s="31"/>
      <c r="B18" s="3"/>
      <c r="C18" s="3"/>
      <c r="D18" s="3"/>
      <c r="E18" s="3"/>
      <c r="F18" s="15"/>
    </row>
    <row r="19" spans="1:6" ht="12.75">
      <c r="A19" s="31"/>
      <c r="B19" s="3"/>
      <c r="C19" s="3"/>
      <c r="D19" s="3"/>
      <c r="E19" s="3"/>
      <c r="F19" s="15"/>
    </row>
    <row r="20" spans="1:6" ht="12.75">
      <c r="A20" s="31"/>
      <c r="B20" s="3"/>
      <c r="C20" s="3"/>
      <c r="D20" s="3"/>
      <c r="E20" s="3"/>
      <c r="F20" s="15"/>
    </row>
    <row r="21" spans="1:6" ht="12.75">
      <c r="A21" s="31"/>
      <c r="B21" s="26" t="s">
        <v>141</v>
      </c>
      <c r="C21" s="3"/>
      <c r="D21" s="3"/>
      <c r="E21" s="3"/>
      <c r="F21" s="15"/>
    </row>
    <row r="22" spans="1:6" ht="12.75">
      <c r="A22" s="27" t="s">
        <v>5</v>
      </c>
      <c r="B22" s="28"/>
      <c r="C22" s="28"/>
      <c r="D22" s="29" t="s">
        <v>6</v>
      </c>
      <c r="E22" s="28" t="s">
        <v>7</v>
      </c>
      <c r="F22" s="30" t="s">
        <v>8</v>
      </c>
    </row>
    <row r="23" spans="1:6" ht="12.75">
      <c r="A23" s="16" t="s">
        <v>130</v>
      </c>
      <c r="B23" s="28"/>
      <c r="C23" s="28"/>
      <c r="D23" s="29"/>
      <c r="E23" s="28"/>
      <c r="F23" s="30"/>
    </row>
    <row r="24" spans="1:6" ht="12.75">
      <c r="A24" s="27"/>
      <c r="B24" s="28"/>
      <c r="C24" s="28"/>
      <c r="D24" s="29"/>
      <c r="E24" s="28"/>
      <c r="F24" s="30"/>
    </row>
    <row r="25" spans="1:6" ht="12.75">
      <c r="A25" s="31" t="s">
        <v>43</v>
      </c>
      <c r="B25" s="3"/>
      <c r="C25" s="32" t="s">
        <v>31</v>
      </c>
      <c r="D25" s="33">
        <v>5</v>
      </c>
      <c r="E25" s="3" t="s">
        <v>9</v>
      </c>
      <c r="F25" s="30"/>
    </row>
    <row r="26" spans="1:6" ht="12.75">
      <c r="A26" s="31" t="s">
        <v>48</v>
      </c>
      <c r="B26" s="3"/>
      <c r="C26" s="32" t="s">
        <v>49</v>
      </c>
      <c r="D26" s="33">
        <v>16</v>
      </c>
      <c r="E26" s="3" t="s">
        <v>9</v>
      </c>
      <c r="F26" s="30"/>
    </row>
    <row r="27" spans="1:6" ht="12.75">
      <c r="A27" s="31" t="s">
        <v>44</v>
      </c>
      <c r="B27" s="3"/>
      <c r="C27" s="32" t="s">
        <v>45</v>
      </c>
      <c r="D27" s="33">
        <v>4</v>
      </c>
      <c r="E27" s="3"/>
      <c r="F27" s="30"/>
    </row>
    <row r="28" spans="1:6" ht="12.75">
      <c r="A28" s="19" t="s">
        <v>10</v>
      </c>
      <c r="B28" s="3"/>
      <c r="C28" s="34" t="s">
        <v>11</v>
      </c>
      <c r="D28" s="33">
        <v>4</v>
      </c>
      <c r="E28" s="28"/>
      <c r="F28" s="30"/>
    </row>
    <row r="29" spans="1:6" ht="12.75">
      <c r="A29" s="19" t="s">
        <v>12</v>
      </c>
      <c r="B29" s="3"/>
      <c r="C29" s="32" t="s">
        <v>86</v>
      </c>
      <c r="D29" s="33">
        <v>3.3</v>
      </c>
      <c r="E29" s="35" t="s">
        <v>9</v>
      </c>
      <c r="F29" s="30"/>
    </row>
    <row r="30" spans="1:6" ht="12.75">
      <c r="A30" s="88" t="s">
        <v>13</v>
      </c>
      <c r="B30" s="89"/>
      <c r="C30" s="32" t="s">
        <v>168</v>
      </c>
      <c r="D30" s="33">
        <v>60</v>
      </c>
      <c r="E30" s="3" t="s">
        <v>29</v>
      </c>
      <c r="F30" s="30"/>
    </row>
    <row r="31" spans="1:6" ht="12.75">
      <c r="A31" s="31" t="s">
        <v>178</v>
      </c>
      <c r="B31" s="3"/>
      <c r="C31" s="32" t="s">
        <v>183</v>
      </c>
      <c r="D31" s="33">
        <v>2</v>
      </c>
      <c r="E31" s="3" t="s">
        <v>21</v>
      </c>
      <c r="F31" s="61"/>
    </row>
    <row r="32" spans="1:6" ht="12.75">
      <c r="A32" s="19" t="s">
        <v>17</v>
      </c>
      <c r="B32" s="3"/>
      <c r="C32" s="32" t="s">
        <v>19</v>
      </c>
      <c r="D32" s="33">
        <v>0.4</v>
      </c>
      <c r="E32" s="3" t="s">
        <v>9</v>
      </c>
      <c r="F32" s="15" t="s">
        <v>89</v>
      </c>
    </row>
    <row r="33" spans="1:6" ht="12.75">
      <c r="A33" s="38" t="s">
        <v>50</v>
      </c>
      <c r="B33" s="36"/>
      <c r="C33" s="34"/>
      <c r="D33" s="33">
        <v>30</v>
      </c>
      <c r="E33" s="35" t="s">
        <v>15</v>
      </c>
      <c r="F33" s="15" t="s">
        <v>167</v>
      </c>
    </row>
    <row r="34" spans="1:6" ht="12.75">
      <c r="A34" s="31" t="s">
        <v>55</v>
      </c>
      <c r="B34" s="3"/>
      <c r="C34" s="32" t="s">
        <v>63</v>
      </c>
      <c r="D34" s="33">
        <v>200</v>
      </c>
      <c r="E34" s="3" t="s">
        <v>68</v>
      </c>
      <c r="F34" s="62"/>
    </row>
    <row r="35" spans="1:6" ht="12.75">
      <c r="A35" s="31" t="s">
        <v>56</v>
      </c>
      <c r="B35" s="3"/>
      <c r="C35" s="32" t="s">
        <v>65</v>
      </c>
      <c r="D35" s="33">
        <v>1</v>
      </c>
      <c r="E35" s="3" t="s">
        <v>15</v>
      </c>
      <c r="F35" s="62"/>
    </row>
    <row r="36" spans="1:6" ht="12.75">
      <c r="A36" s="31" t="s">
        <v>122</v>
      </c>
      <c r="B36" s="3"/>
      <c r="C36" s="32" t="s">
        <v>166</v>
      </c>
      <c r="D36" s="33">
        <v>0.1</v>
      </c>
      <c r="E36" s="3" t="s">
        <v>9</v>
      </c>
      <c r="F36" s="62"/>
    </row>
    <row r="37" spans="1:6" ht="12.75">
      <c r="A37" s="31" t="s">
        <v>179</v>
      </c>
      <c r="B37" s="3"/>
      <c r="C37" s="32"/>
      <c r="D37" s="3">
        <f>(20.3-0.2*D31)/D31</f>
        <v>9.950000000000001</v>
      </c>
      <c r="E37" s="82" t="s">
        <v>22</v>
      </c>
      <c r="F37" s="62"/>
    </row>
    <row r="38" spans="1:6" ht="12.75">
      <c r="A38" s="42" t="s">
        <v>180</v>
      </c>
      <c r="B38" s="3"/>
      <c r="C38" s="32" t="s">
        <v>182</v>
      </c>
      <c r="D38" s="43">
        <v>10</v>
      </c>
      <c r="E38" s="82" t="s">
        <v>22</v>
      </c>
      <c r="F38" s="62"/>
    </row>
    <row r="39" spans="1:6" ht="12.75">
      <c r="A39" s="31" t="s">
        <v>181</v>
      </c>
      <c r="B39" s="3"/>
      <c r="C39" s="32" t="s">
        <v>142</v>
      </c>
      <c r="D39" s="44">
        <f>20.3/(D38+0.2)</f>
        <v>1.9901960784313728</v>
      </c>
      <c r="E39" s="3" t="s">
        <v>21</v>
      </c>
      <c r="F39" s="62"/>
    </row>
    <row r="40" spans="1:6" ht="12.75">
      <c r="A40" s="38" t="s">
        <v>32</v>
      </c>
      <c r="B40" s="3"/>
      <c r="C40" s="32" t="s">
        <v>33</v>
      </c>
      <c r="D40" s="3">
        <v>0.7</v>
      </c>
      <c r="E40" s="3" t="s">
        <v>9</v>
      </c>
      <c r="F40" s="62"/>
    </row>
    <row r="41" spans="1:6" ht="12.75">
      <c r="A41" s="31" t="s">
        <v>143</v>
      </c>
      <c r="B41" s="3"/>
      <c r="C41" s="32"/>
      <c r="D41" s="39">
        <f>D28*D29+D40+2</f>
        <v>15.899999999999999</v>
      </c>
      <c r="E41" s="3" t="s">
        <v>9</v>
      </c>
      <c r="F41" s="30"/>
    </row>
    <row r="42" spans="1:6" ht="12.75">
      <c r="A42" s="40" t="s">
        <v>35</v>
      </c>
      <c r="B42" s="36"/>
      <c r="C42" s="32" t="s">
        <v>34</v>
      </c>
      <c r="D42" s="39">
        <v>8.1</v>
      </c>
      <c r="E42" s="3" t="s">
        <v>9</v>
      </c>
      <c r="F42" s="30"/>
    </row>
    <row r="43" spans="1:6" ht="12.75">
      <c r="A43" s="38" t="s">
        <v>36</v>
      </c>
      <c r="B43" s="36"/>
      <c r="C43" s="32" t="s">
        <v>37</v>
      </c>
      <c r="D43" s="41">
        <v>0.199</v>
      </c>
      <c r="E43" s="3" t="s">
        <v>29</v>
      </c>
      <c r="F43" s="30"/>
    </row>
    <row r="44" spans="1:6" ht="12.75">
      <c r="A44" s="31" t="s">
        <v>80</v>
      </c>
      <c r="B44" s="36"/>
      <c r="C44" s="32"/>
      <c r="D44" s="39">
        <f>(D41-D42)/D43</f>
        <v>39.19597989949748</v>
      </c>
      <c r="E44" s="3" t="s">
        <v>22</v>
      </c>
      <c r="F44" s="30"/>
    </row>
    <row r="45" spans="1:6" ht="12.75">
      <c r="A45" s="42" t="s">
        <v>81</v>
      </c>
      <c r="B45" s="36"/>
      <c r="C45" s="32" t="s">
        <v>38</v>
      </c>
      <c r="D45" s="43">
        <v>39.2</v>
      </c>
      <c r="E45" s="3" t="s">
        <v>22</v>
      </c>
      <c r="F45" s="30"/>
    </row>
    <row r="46" spans="1:6" ht="12.75">
      <c r="A46" s="31" t="s">
        <v>144</v>
      </c>
      <c r="B46" s="3"/>
      <c r="C46" s="32" t="s">
        <v>42</v>
      </c>
      <c r="D46" s="44">
        <f>D45*D43+D42</f>
        <v>15.9008</v>
      </c>
      <c r="E46" s="3" t="s">
        <v>9</v>
      </c>
      <c r="F46" s="62"/>
    </row>
    <row r="47" spans="1:6" ht="12.75">
      <c r="A47" s="38" t="s">
        <v>83</v>
      </c>
      <c r="B47" s="3"/>
      <c r="C47" s="32" t="s">
        <v>26</v>
      </c>
      <c r="D47" s="3">
        <v>1.003</v>
      </c>
      <c r="E47" s="3" t="s">
        <v>9</v>
      </c>
      <c r="F47" s="62"/>
    </row>
    <row r="48" spans="1:6" ht="12.75">
      <c r="A48" s="38" t="s">
        <v>117</v>
      </c>
      <c r="B48" s="3"/>
      <c r="C48" s="32" t="s">
        <v>27</v>
      </c>
      <c r="D48" s="3">
        <v>653</v>
      </c>
      <c r="E48" s="3" t="s">
        <v>84</v>
      </c>
      <c r="F48" s="62"/>
    </row>
    <row r="49" spans="1:6" ht="12.75">
      <c r="A49" s="31" t="s">
        <v>30</v>
      </c>
      <c r="B49" s="3"/>
      <c r="C49" s="32"/>
      <c r="D49" s="44">
        <f>D48*D47/D30</f>
        <v>10.915983333333333</v>
      </c>
      <c r="E49" s="3" t="s">
        <v>22</v>
      </c>
      <c r="F49" s="62"/>
    </row>
    <row r="50" spans="1:6" ht="12.75">
      <c r="A50" s="42" t="s">
        <v>82</v>
      </c>
      <c r="B50" s="3"/>
      <c r="C50" s="32" t="s">
        <v>28</v>
      </c>
      <c r="D50" s="45">
        <v>11</v>
      </c>
      <c r="E50" s="3" t="s">
        <v>22</v>
      </c>
      <c r="F50" s="30"/>
    </row>
    <row r="51" spans="1:6" ht="12.75">
      <c r="A51" s="31" t="s">
        <v>87</v>
      </c>
      <c r="B51" s="3"/>
      <c r="C51" s="32" t="s">
        <v>164</v>
      </c>
      <c r="D51" s="46">
        <f>(D47*D48)/D50</f>
        <v>59.541727272727265</v>
      </c>
      <c r="E51" s="3" t="s">
        <v>29</v>
      </c>
      <c r="F51" s="30"/>
    </row>
    <row r="52" spans="1:6" ht="12.75">
      <c r="A52" s="38" t="s">
        <v>85</v>
      </c>
      <c r="B52" s="3"/>
      <c r="C52" s="32" t="s">
        <v>39</v>
      </c>
      <c r="D52" s="3">
        <v>68</v>
      </c>
      <c r="E52" s="3" t="s">
        <v>40</v>
      </c>
      <c r="F52" s="62"/>
    </row>
    <row r="53" spans="1:6" ht="12.75">
      <c r="A53" s="38" t="s">
        <v>41</v>
      </c>
      <c r="B53" s="3"/>
      <c r="C53" s="32" t="s">
        <v>163</v>
      </c>
      <c r="D53" s="44">
        <f>(1-D52*D39/1000)*100</f>
        <v>86.46666666666667</v>
      </c>
      <c r="E53" s="3" t="s">
        <v>15</v>
      </c>
      <c r="F53" s="62"/>
    </row>
    <row r="54" spans="1:6" ht="12.75">
      <c r="A54" s="31" t="s">
        <v>174</v>
      </c>
      <c r="B54" s="3"/>
      <c r="C54" s="32" t="s">
        <v>162</v>
      </c>
      <c r="D54" s="44">
        <f>D25*(D53/100/(1-D53/100))-D32</f>
        <v>31.54581280788178</v>
      </c>
      <c r="E54" s="3" t="s">
        <v>9</v>
      </c>
      <c r="F54" s="61" t="s">
        <v>159</v>
      </c>
    </row>
    <row r="55" spans="1:6" ht="12.75">
      <c r="A55" s="31" t="s">
        <v>114</v>
      </c>
      <c r="B55" s="3"/>
      <c r="C55" s="32" t="s">
        <v>161</v>
      </c>
      <c r="D55" s="44">
        <f>100*(D46+D32)/(D25+D46+D32)</f>
        <v>76.52670322241418</v>
      </c>
      <c r="E55" s="3" t="s">
        <v>15</v>
      </c>
      <c r="F55" s="62"/>
    </row>
    <row r="56" spans="1:6" ht="12.75">
      <c r="A56" s="38" t="s">
        <v>47</v>
      </c>
      <c r="B56" s="3"/>
      <c r="C56" s="32" t="s">
        <v>46</v>
      </c>
      <c r="D56" s="3">
        <v>90</v>
      </c>
      <c r="E56" s="3" t="s">
        <v>15</v>
      </c>
      <c r="F56" s="61" t="s">
        <v>160</v>
      </c>
    </row>
    <row r="57" spans="1:6" ht="12.75">
      <c r="A57" s="31" t="s">
        <v>175</v>
      </c>
      <c r="B57" s="3"/>
      <c r="C57" s="32" t="s">
        <v>156</v>
      </c>
      <c r="D57" s="47">
        <f>100*(D46*D27*D51/1000)/(D56*D25)</f>
        <v>0.841565419571717</v>
      </c>
      <c r="E57" s="3" t="s">
        <v>14</v>
      </c>
      <c r="F57" s="62"/>
    </row>
    <row r="58" spans="1:6" ht="12.75">
      <c r="A58" s="31" t="s">
        <v>176</v>
      </c>
      <c r="B58" s="3"/>
      <c r="C58" s="32" t="s">
        <v>157</v>
      </c>
      <c r="D58" s="47">
        <f>100*(D46*D27*D51/1000)/(D56*D26)</f>
        <v>0.2629891936161616</v>
      </c>
      <c r="E58" s="3" t="s">
        <v>14</v>
      </c>
      <c r="F58" s="62"/>
    </row>
    <row r="59" spans="1:6" ht="12.75">
      <c r="A59" s="38" t="s">
        <v>58</v>
      </c>
      <c r="B59" s="36"/>
      <c r="C59" s="32" t="s">
        <v>127</v>
      </c>
      <c r="D59" s="47">
        <f>D57*D33/100</f>
        <v>0.2524696258715151</v>
      </c>
      <c r="E59" s="48" t="s">
        <v>14</v>
      </c>
      <c r="F59" s="61" t="s">
        <v>158</v>
      </c>
    </row>
    <row r="60" spans="1:6" ht="12.75">
      <c r="A60" s="31" t="s">
        <v>51</v>
      </c>
      <c r="B60" s="3"/>
      <c r="C60" s="32" t="s">
        <v>147</v>
      </c>
      <c r="D60" s="44">
        <f>(D25*D55)/(D39*D59)/100</f>
        <v>7.6151419988200235</v>
      </c>
      <c r="E60" s="48" t="s">
        <v>24</v>
      </c>
      <c r="F60" s="62"/>
    </row>
    <row r="61" spans="1:6" ht="12.75">
      <c r="A61" s="42" t="s">
        <v>52</v>
      </c>
      <c r="B61" s="3"/>
      <c r="C61" s="32" t="s">
        <v>145</v>
      </c>
      <c r="D61" s="45">
        <v>10</v>
      </c>
      <c r="E61" s="3" t="s">
        <v>24</v>
      </c>
      <c r="F61" s="61" t="s">
        <v>146</v>
      </c>
    </row>
    <row r="62" spans="1:6" ht="12.75">
      <c r="A62" s="38" t="s">
        <v>59</v>
      </c>
      <c r="B62" s="36"/>
      <c r="C62" s="32" t="s">
        <v>128</v>
      </c>
      <c r="D62" s="44">
        <f>(D25*D55)/(D39*D61)/100</f>
        <v>0.1922592051400553</v>
      </c>
      <c r="E62" s="35" t="s">
        <v>16</v>
      </c>
      <c r="F62" s="15"/>
    </row>
    <row r="63" spans="1:7" ht="15">
      <c r="A63" s="38" t="s">
        <v>60</v>
      </c>
      <c r="B63" s="48"/>
      <c r="C63" s="48"/>
      <c r="D63" s="44">
        <f>3.6*D39/2</f>
        <v>3.582352941176471</v>
      </c>
      <c r="E63" s="48" t="s">
        <v>61</v>
      </c>
      <c r="F63" s="15"/>
      <c r="G63" s="7"/>
    </row>
    <row r="64" spans="1:7" ht="15">
      <c r="A64" s="38" t="s">
        <v>57</v>
      </c>
      <c r="B64" s="48"/>
      <c r="C64" s="48"/>
      <c r="D64" s="58">
        <f>2*D46/D61</f>
        <v>3.18016</v>
      </c>
      <c r="E64" s="48" t="s">
        <v>61</v>
      </c>
      <c r="F64" s="15"/>
      <c r="G64" s="7"/>
    </row>
    <row r="65" spans="1:6" ht="12.75">
      <c r="A65" s="31" t="s">
        <v>53</v>
      </c>
      <c r="B65" s="3"/>
      <c r="C65" s="32" t="s">
        <v>54</v>
      </c>
      <c r="D65" s="47">
        <f>D57+0.5*D62</f>
        <v>0.9376950221417447</v>
      </c>
      <c r="E65" s="3" t="s">
        <v>14</v>
      </c>
      <c r="F65" s="62"/>
    </row>
    <row r="66" spans="1:6" ht="12.75">
      <c r="A66" s="31" t="s">
        <v>118</v>
      </c>
      <c r="B66" s="3"/>
      <c r="C66" s="32" t="s">
        <v>119</v>
      </c>
      <c r="D66" s="59">
        <f>D26+D46</f>
        <v>31.9008</v>
      </c>
      <c r="E66" s="3" t="s">
        <v>9</v>
      </c>
      <c r="F66" s="62"/>
    </row>
    <row r="67" spans="1:6" ht="12.75">
      <c r="A67" s="31" t="s">
        <v>120</v>
      </c>
      <c r="B67" s="3"/>
      <c r="C67" s="32" t="s">
        <v>121</v>
      </c>
      <c r="D67" s="47">
        <f>D65</f>
        <v>0.9376950221417447</v>
      </c>
      <c r="E67" s="3" t="s">
        <v>14</v>
      </c>
      <c r="F67" s="62"/>
    </row>
    <row r="68" spans="1:6" ht="12.75">
      <c r="A68" s="31" t="s">
        <v>62</v>
      </c>
      <c r="B68" s="3"/>
      <c r="C68" s="32" t="s">
        <v>64</v>
      </c>
      <c r="D68" s="3">
        <v>200</v>
      </c>
      <c r="E68" s="3" t="s">
        <v>69</v>
      </c>
      <c r="F68" s="62"/>
    </row>
    <row r="69" spans="1:6" ht="12.75">
      <c r="A69" s="31" t="s">
        <v>67</v>
      </c>
      <c r="B69" s="3"/>
      <c r="C69" s="32" t="s">
        <v>66</v>
      </c>
      <c r="D69" s="3">
        <v>250</v>
      </c>
      <c r="E69" s="3" t="s">
        <v>18</v>
      </c>
      <c r="F69" s="62"/>
    </row>
    <row r="70" spans="1:6" ht="12.75">
      <c r="A70" s="31" t="s">
        <v>73</v>
      </c>
      <c r="B70" s="3"/>
      <c r="C70" s="32" t="s">
        <v>71</v>
      </c>
      <c r="D70" s="3">
        <f>1000*D68*(1-D35/100)/(D34*D69)</f>
        <v>3.96</v>
      </c>
      <c r="E70" s="3" t="s">
        <v>70</v>
      </c>
      <c r="F70" s="61"/>
    </row>
    <row r="71" spans="1:6" ht="12.75">
      <c r="A71" s="31" t="s">
        <v>72</v>
      </c>
      <c r="B71" s="3"/>
      <c r="C71" s="32" t="s">
        <v>165</v>
      </c>
      <c r="D71" s="47">
        <f>D51*D27/1000*((D55/100+D62/D57/12)/(1-D55/100))^0.5</f>
        <v>0.4353482832879043</v>
      </c>
      <c r="E71" s="3" t="s">
        <v>14</v>
      </c>
      <c r="F71" s="15"/>
    </row>
    <row r="72" spans="1:6" ht="12.75">
      <c r="A72" s="31" t="s">
        <v>74</v>
      </c>
      <c r="B72" s="3"/>
      <c r="C72" s="32" t="s">
        <v>75</v>
      </c>
      <c r="D72" s="47">
        <f>D62/(8*D39*0.01*D25)</f>
        <v>0.2415078685256852</v>
      </c>
      <c r="E72" s="3" t="s">
        <v>70</v>
      </c>
      <c r="F72" s="62"/>
    </row>
    <row r="73" spans="1:6" ht="12.75">
      <c r="A73" s="31" t="s">
        <v>76</v>
      </c>
      <c r="B73" s="3"/>
      <c r="C73" s="32" t="s">
        <v>155</v>
      </c>
      <c r="D73" s="47">
        <f>D62/12^0.5</f>
        <v>0.055500451920897205</v>
      </c>
      <c r="E73" s="3" t="s">
        <v>14</v>
      </c>
      <c r="F73" s="62"/>
    </row>
    <row r="74" spans="1:6" ht="12.75">
      <c r="A74" s="31" t="s">
        <v>123</v>
      </c>
      <c r="B74" s="3"/>
      <c r="C74" s="32" t="s">
        <v>153</v>
      </c>
      <c r="D74" s="44">
        <f>D51*D27*D55/100/D39/D36/1000</f>
        <v>0.9157956126496397</v>
      </c>
      <c r="E74" s="3" t="s">
        <v>70</v>
      </c>
      <c r="F74" s="62"/>
    </row>
    <row r="75" spans="1:6" ht="12.75">
      <c r="A75" s="31" t="s">
        <v>124</v>
      </c>
      <c r="B75" s="3"/>
      <c r="C75" s="32" t="s">
        <v>154</v>
      </c>
      <c r="D75" s="44">
        <f>D57*((1-D55/100)/D55/100)^0.5*100</f>
        <v>0.4660885396201308</v>
      </c>
      <c r="E75" s="3" t="s">
        <v>14</v>
      </c>
      <c r="F75" s="62"/>
    </row>
    <row r="76" spans="1:6" ht="15">
      <c r="A76" s="31" t="s">
        <v>113</v>
      </c>
      <c r="B76" s="3"/>
      <c r="C76" s="32" t="s">
        <v>77</v>
      </c>
      <c r="D76" s="3">
        <v>0.104</v>
      </c>
      <c r="E76" s="3" t="s">
        <v>9</v>
      </c>
      <c r="F76" s="25"/>
    </row>
    <row r="77" spans="1:6" ht="15">
      <c r="A77" s="31" t="s">
        <v>171</v>
      </c>
      <c r="B77" s="48"/>
      <c r="C77" s="28"/>
      <c r="D77" s="47">
        <f>D76/3</f>
        <v>0.034666666666666665</v>
      </c>
      <c r="E77" s="48" t="s">
        <v>20</v>
      </c>
      <c r="F77" s="25"/>
    </row>
    <row r="78" spans="1:6" ht="15">
      <c r="A78" s="42" t="s">
        <v>23</v>
      </c>
      <c r="B78" s="3"/>
      <c r="C78" s="32" t="s">
        <v>152</v>
      </c>
      <c r="D78" s="49">
        <v>0.033</v>
      </c>
      <c r="E78" s="3" t="s">
        <v>20</v>
      </c>
      <c r="F78" s="25"/>
    </row>
    <row r="79" spans="1:6" ht="15">
      <c r="A79" s="31" t="s">
        <v>115</v>
      </c>
      <c r="B79" s="3"/>
      <c r="C79" s="32" t="s">
        <v>78</v>
      </c>
      <c r="D79" s="3">
        <v>20.3</v>
      </c>
      <c r="E79" s="3" t="s">
        <v>69</v>
      </c>
      <c r="F79" s="25"/>
    </row>
    <row r="80" spans="1:6" ht="15">
      <c r="A80" s="31" t="s">
        <v>172</v>
      </c>
      <c r="B80" s="3"/>
      <c r="D80" s="44">
        <f>(D76-3*D78)/D79*10^6</f>
        <v>246.30541871921136</v>
      </c>
      <c r="E80" s="3" t="s">
        <v>20</v>
      </c>
      <c r="F80" s="25"/>
    </row>
    <row r="81" spans="1:6" ht="15.75" thickBot="1">
      <c r="A81" s="42" t="s">
        <v>173</v>
      </c>
      <c r="B81" s="3"/>
      <c r="C81" s="32" t="s">
        <v>79</v>
      </c>
      <c r="D81" s="45">
        <v>249</v>
      </c>
      <c r="E81" s="3" t="s">
        <v>20</v>
      </c>
      <c r="F81" s="74"/>
    </row>
    <row r="82" spans="1:6" ht="15.75" thickTop="1">
      <c r="A82" s="76"/>
      <c r="B82" s="10"/>
      <c r="C82" s="71"/>
      <c r="D82" s="72"/>
      <c r="E82" s="10"/>
      <c r="F82" s="77"/>
    </row>
    <row r="83" spans="1:6" ht="15.75" thickBot="1">
      <c r="A83" s="78"/>
      <c r="B83" s="66"/>
      <c r="C83" s="67"/>
      <c r="D83" s="68"/>
      <c r="E83" s="66"/>
      <c r="F83" s="79"/>
    </row>
    <row r="84" spans="1:6" ht="15.75" thickTop="1">
      <c r="A84" s="70"/>
      <c r="B84" s="10"/>
      <c r="C84" s="71"/>
      <c r="D84" s="72"/>
      <c r="E84" s="10"/>
      <c r="F84" s="75"/>
    </row>
    <row r="85" spans="1:6" ht="15">
      <c r="A85" s="16" t="s">
        <v>131</v>
      </c>
      <c r="B85" s="3"/>
      <c r="C85" s="32"/>
      <c r="D85" s="44"/>
      <c r="E85" s="3"/>
      <c r="F85" s="25"/>
    </row>
    <row r="86" spans="1:6" ht="15">
      <c r="A86" s="38"/>
      <c r="B86" s="3"/>
      <c r="C86" s="32"/>
      <c r="D86" s="44"/>
      <c r="E86" s="3"/>
      <c r="F86" s="25"/>
    </row>
    <row r="87" spans="1:6" ht="15">
      <c r="A87" s="31" t="s">
        <v>132</v>
      </c>
      <c r="B87" s="3"/>
      <c r="C87" s="32" t="s">
        <v>133</v>
      </c>
      <c r="D87" s="33">
        <v>5</v>
      </c>
      <c r="E87" s="35" t="s">
        <v>9</v>
      </c>
      <c r="F87" s="25"/>
    </row>
    <row r="88" spans="1:6" ht="12.75">
      <c r="A88" s="31" t="s">
        <v>92</v>
      </c>
      <c r="B88" s="3"/>
      <c r="C88" s="32" t="s">
        <v>93</v>
      </c>
      <c r="D88" s="33">
        <v>34</v>
      </c>
      <c r="E88" s="3" t="s">
        <v>94</v>
      </c>
      <c r="F88" s="61" t="s">
        <v>95</v>
      </c>
    </row>
    <row r="89" spans="1:6" ht="12.75">
      <c r="A89" s="31" t="s">
        <v>170</v>
      </c>
      <c r="B89" s="48"/>
      <c r="C89" s="32" t="s">
        <v>98</v>
      </c>
      <c r="D89" s="33">
        <v>1.5</v>
      </c>
      <c r="E89" s="3"/>
      <c r="F89" s="30"/>
    </row>
    <row r="90" spans="1:6" ht="15">
      <c r="A90" s="31" t="s">
        <v>134</v>
      </c>
      <c r="B90" s="3"/>
      <c r="C90" s="32" t="s">
        <v>135</v>
      </c>
      <c r="D90" s="47">
        <f>100*(D46*D27*D51/1000)/(D56*D87)</f>
        <v>0.841565419571717</v>
      </c>
      <c r="E90" s="48" t="s">
        <v>14</v>
      </c>
      <c r="F90" s="25"/>
    </row>
    <row r="91" spans="1:6" ht="15">
      <c r="A91" s="31" t="s">
        <v>136</v>
      </c>
      <c r="B91" s="3"/>
      <c r="C91" s="32" t="s">
        <v>137</v>
      </c>
      <c r="D91" s="44">
        <f>100*(D46+D32)/(D87+D46+D32)</f>
        <v>76.52670322241418</v>
      </c>
      <c r="E91" s="48" t="s">
        <v>15</v>
      </c>
      <c r="F91" s="25"/>
    </row>
    <row r="92" spans="1:6" ht="12.75">
      <c r="A92" s="31" t="s">
        <v>96</v>
      </c>
      <c r="B92" s="48"/>
      <c r="C92" s="32" t="s">
        <v>97</v>
      </c>
      <c r="D92" s="47">
        <v>0.3</v>
      </c>
      <c r="E92" s="3" t="s">
        <v>20</v>
      </c>
      <c r="F92" s="30"/>
    </row>
    <row r="93" spans="1:6" ht="15">
      <c r="A93" s="31" t="s">
        <v>99</v>
      </c>
      <c r="B93" s="22"/>
      <c r="C93" s="32" t="s">
        <v>100</v>
      </c>
      <c r="D93" s="50">
        <v>10</v>
      </c>
      <c r="E93" s="22" t="s">
        <v>40</v>
      </c>
      <c r="F93" s="62"/>
    </row>
    <row r="94" spans="1:6" ht="15">
      <c r="A94" s="31" t="s">
        <v>101</v>
      </c>
      <c r="B94" s="22"/>
      <c r="C94" s="32" t="s">
        <v>102</v>
      </c>
      <c r="D94" s="50">
        <v>10</v>
      </c>
      <c r="E94" s="22" t="s">
        <v>40</v>
      </c>
      <c r="F94" s="62"/>
    </row>
    <row r="95" spans="1:6" ht="15">
      <c r="A95" s="31" t="s">
        <v>125</v>
      </c>
      <c r="B95" s="22"/>
      <c r="C95" s="32" t="s">
        <v>129</v>
      </c>
      <c r="D95" s="92">
        <v>0</v>
      </c>
      <c r="E95" s="22" t="s">
        <v>9</v>
      </c>
      <c r="F95" s="61" t="s">
        <v>139</v>
      </c>
    </row>
    <row r="96" spans="1:6" ht="15">
      <c r="A96" s="31" t="s">
        <v>103</v>
      </c>
      <c r="B96" s="22"/>
      <c r="C96" s="32" t="s">
        <v>104</v>
      </c>
      <c r="D96" s="51">
        <f>D90*D90*D92*D89*D91/100</f>
        <v>0.2438940927404478</v>
      </c>
      <c r="E96" s="22" t="s">
        <v>105</v>
      </c>
      <c r="F96" s="25"/>
    </row>
    <row r="97" spans="1:6" ht="15">
      <c r="A97" s="31" t="s">
        <v>106</v>
      </c>
      <c r="B97" s="22"/>
      <c r="C97" s="32" t="s">
        <v>107</v>
      </c>
      <c r="D97" s="51">
        <f>(D90+D51*D27/1000)*(D46+D32+D87)*(D93+D94)*D39/2/1000</f>
        <v>0.45772842788573576</v>
      </c>
      <c r="E97" s="22" t="s">
        <v>105</v>
      </c>
      <c r="F97" s="25"/>
    </row>
    <row r="98" spans="1:6" ht="15">
      <c r="A98" s="31" t="s">
        <v>108</v>
      </c>
      <c r="B98" s="22"/>
      <c r="C98" s="32" t="s">
        <v>109</v>
      </c>
      <c r="D98" s="51">
        <f>(D51*D40+(D27-1)*D51*(D40+D95))/1000</f>
        <v>0.16671683636363632</v>
      </c>
      <c r="E98" s="22" t="s">
        <v>105</v>
      </c>
      <c r="F98" s="62"/>
    </row>
    <row r="99" spans="1:6" ht="15">
      <c r="A99" s="31" t="s">
        <v>110</v>
      </c>
      <c r="B99" s="22"/>
      <c r="C99" s="32" t="s">
        <v>150</v>
      </c>
      <c r="D99" s="51">
        <f>D96+D97+D98</f>
        <v>0.8683393569898199</v>
      </c>
      <c r="E99" s="22" t="s">
        <v>105</v>
      </c>
      <c r="F99" s="61" t="s">
        <v>151</v>
      </c>
    </row>
    <row r="100" spans="1:6" ht="15">
      <c r="A100" s="31" t="s">
        <v>111</v>
      </c>
      <c r="B100" s="22"/>
      <c r="C100" s="32" t="s">
        <v>148</v>
      </c>
      <c r="D100" s="52">
        <f>D99*D88</f>
        <v>29.523538137653876</v>
      </c>
      <c r="E100" s="22" t="s">
        <v>112</v>
      </c>
      <c r="F100" s="61" t="s">
        <v>149</v>
      </c>
    </row>
    <row r="101" spans="1:6" ht="12.75">
      <c r="A101" s="42"/>
      <c r="B101" s="3"/>
      <c r="C101" s="32"/>
      <c r="D101" s="35"/>
      <c r="E101" s="3"/>
      <c r="F101" s="62"/>
    </row>
    <row r="102" spans="1:6" ht="12.75">
      <c r="A102" s="27" t="s">
        <v>25</v>
      </c>
      <c r="B102" s="3"/>
      <c r="C102" s="32"/>
      <c r="D102" s="3"/>
      <c r="E102" s="3"/>
      <c r="F102" s="62"/>
    </row>
    <row r="103" spans="1:6" ht="12.75">
      <c r="A103" s="42"/>
      <c r="B103" s="3"/>
      <c r="C103" s="32"/>
      <c r="D103" s="3"/>
      <c r="E103" s="3"/>
      <c r="F103" s="62"/>
    </row>
    <row r="104" spans="1:6" ht="12.75">
      <c r="A104" s="31" t="str">
        <f>"Average LED current with R_ISET= "&amp;TEXT(D50,"###.##")&amp;"kOhm"</f>
        <v>Average LED current with R_ISET= 11.kOhm</v>
      </c>
      <c r="B104" s="3"/>
      <c r="C104" s="32"/>
      <c r="D104" s="53">
        <f>D51</f>
        <v>59.541727272727265</v>
      </c>
      <c r="E104" s="3" t="s">
        <v>29</v>
      </c>
      <c r="F104" s="62"/>
    </row>
    <row r="105" spans="1:6" ht="12.75">
      <c r="A105" s="31" t="s">
        <v>144</v>
      </c>
      <c r="B105" s="3"/>
      <c r="C105" s="32"/>
      <c r="D105" s="54">
        <f>D46</f>
        <v>15.9008</v>
      </c>
      <c r="E105" s="3" t="s">
        <v>9</v>
      </c>
      <c r="F105" s="62"/>
    </row>
    <row r="106" spans="1:6" ht="12.75">
      <c r="A106" s="31" t="str">
        <f>"Inductor ripple current with L1 = L2 = "&amp;TEXT(D61,"###")&amp;"uH"</f>
        <v>Inductor ripple current with L1 = L2 = 10uH</v>
      </c>
      <c r="B106" s="3"/>
      <c r="C106" s="3"/>
      <c r="D106" s="54">
        <f>D62</f>
        <v>0.1922592051400553</v>
      </c>
      <c r="E106" s="35" t="s">
        <v>16</v>
      </c>
      <c r="F106" s="62"/>
    </row>
    <row r="107" spans="1:6" ht="12.75">
      <c r="A107" s="31" t="s">
        <v>88</v>
      </c>
      <c r="B107" s="3"/>
      <c r="C107" s="32"/>
      <c r="D107" s="53">
        <f>D106/D57*100</f>
        <v>22.845425996460065</v>
      </c>
      <c r="E107" s="3" t="s">
        <v>15</v>
      </c>
      <c r="F107" s="62"/>
    </row>
    <row r="108" spans="1:6" ht="15">
      <c r="A108" s="31" t="s">
        <v>110</v>
      </c>
      <c r="B108" s="3"/>
      <c r="C108" s="32"/>
      <c r="D108" s="54">
        <f>D99</f>
        <v>0.8683393569898199</v>
      </c>
      <c r="E108" s="22" t="s">
        <v>105</v>
      </c>
      <c r="F108" s="62"/>
    </row>
    <row r="109" spans="1:6" ht="15">
      <c r="A109" s="31" t="s">
        <v>111</v>
      </c>
      <c r="B109" s="3"/>
      <c r="C109" s="34"/>
      <c r="D109" s="53">
        <f>D100</f>
        <v>29.523538137653876</v>
      </c>
      <c r="E109" s="22" t="s">
        <v>112</v>
      </c>
      <c r="F109" s="62"/>
    </row>
    <row r="110" spans="1:6" ht="15">
      <c r="A110" s="21"/>
      <c r="B110" s="22"/>
      <c r="C110" s="22"/>
      <c r="D110" s="22"/>
      <c r="E110" s="22"/>
      <c r="F110" s="25"/>
    </row>
    <row r="111" spans="1:6" ht="15.75" thickBot="1">
      <c r="A111" s="55" t="s">
        <v>138</v>
      </c>
      <c r="B111" s="56"/>
      <c r="C111" s="56"/>
      <c r="D111" s="56"/>
      <c r="E111" s="56"/>
      <c r="F111" s="74"/>
    </row>
    <row r="112" ht="13.5" thickTop="1"/>
  </sheetData>
  <sheetProtection/>
  <mergeCells count="3">
    <mergeCell ref="A1:D1"/>
    <mergeCell ref="A5:E5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Allegro Employee</dc:creator>
  <cp:keywords/>
  <dc:description/>
  <cp:lastModifiedBy>nlee</cp:lastModifiedBy>
  <cp:lastPrinted>2012-03-21T13:42:41Z</cp:lastPrinted>
  <dcterms:created xsi:type="dcterms:W3CDTF">2011-05-24T13:36:41Z</dcterms:created>
  <dcterms:modified xsi:type="dcterms:W3CDTF">2012-03-21T15:04:13Z</dcterms:modified>
  <cp:category/>
  <cp:version/>
  <cp:contentType/>
  <cp:contentStatus/>
</cp:coreProperties>
</file>